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9EA492D9-76A4-7045-A04C-5B9FCFFF4A6B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J113" i="2"/>
  <c r="J109" i="2"/>
  <c r="H96" i="2"/>
  <c r="G101" i="2"/>
  <c r="G99" i="2"/>
  <c r="G97" i="2"/>
  <c r="G96" i="2"/>
  <c r="H87" i="2"/>
  <c r="H86" i="2"/>
  <c r="H84" i="2"/>
  <c r="H83" i="2"/>
  <c r="G87" i="2"/>
  <c r="G86" i="2"/>
  <c r="G85" i="2"/>
  <c r="G84" i="2"/>
  <c r="G83" i="2"/>
  <c r="H78" i="2"/>
  <c r="H77" i="2"/>
  <c r="H76" i="2"/>
  <c r="H75" i="2"/>
  <c r="G78" i="2"/>
  <c r="G77" i="2"/>
  <c r="G76" i="2"/>
  <c r="G75" i="2"/>
  <c r="H63" i="2"/>
  <c r="H62" i="2"/>
  <c r="H61" i="2"/>
  <c r="H59" i="2"/>
  <c r="H58" i="2"/>
  <c r="G63" i="2"/>
  <c r="G62" i="2"/>
  <c r="G61" i="2"/>
  <c r="G60" i="2"/>
  <c r="G59" i="2"/>
  <c r="G58" i="2"/>
  <c r="H53" i="2"/>
  <c r="H52" i="2"/>
  <c r="H51" i="2"/>
  <c r="G53" i="2"/>
  <c r="G52" i="2"/>
  <c r="G51" i="2"/>
  <c r="J45" i="2"/>
  <c r="J34" i="2"/>
  <c r="J16" i="2"/>
  <c r="J15" i="2"/>
  <c r="J10" i="2"/>
  <c r="J9" i="2"/>
  <c r="J8" i="2"/>
  <c r="J7" i="2"/>
  <c r="E47" i="1"/>
  <c r="K113" i="2"/>
  <c r="J62" i="1"/>
  <c r="J61" i="1"/>
  <c r="J59" i="1"/>
  <c r="J58" i="1"/>
  <c r="B3" i="2"/>
  <c r="C2" i="3"/>
  <c r="E15" i="3"/>
  <c r="F6" i="3" s="1"/>
  <c r="E20" i="3"/>
  <c r="E21" i="3" s="1"/>
  <c r="E24" i="3"/>
  <c r="F13" i="3" l="1"/>
  <c r="E34" i="3"/>
  <c r="J27" i="2" s="1"/>
  <c r="F12" i="3"/>
  <c r="E33" i="3"/>
  <c r="J26" i="2" s="1"/>
  <c r="E40" i="3"/>
  <c r="J33" i="2" s="1"/>
  <c r="J35" i="2" s="1"/>
  <c r="E30" i="3"/>
  <c r="J23" i="2" s="1"/>
  <c r="E32" i="3"/>
  <c r="J25" i="2" s="1"/>
  <c r="E35" i="3"/>
  <c r="J28" i="2" s="1"/>
  <c r="F11" i="3"/>
  <c r="E29" i="3"/>
  <c r="J22" i="2" s="1"/>
  <c r="E31" i="3"/>
  <c r="J24" i="2" s="1"/>
  <c r="F14" i="3"/>
  <c r="E28" i="3"/>
  <c r="F20" i="3"/>
  <c r="F21" i="3"/>
  <c r="F24" i="3"/>
  <c r="F17" i="3"/>
  <c r="F22" i="3"/>
  <c r="F41" i="3"/>
  <c r="F40" i="3"/>
  <c r="F35" i="3"/>
  <c r="F33" i="3"/>
  <c r="E26" i="3"/>
  <c r="F26" i="3" s="1"/>
  <c r="C9" i="3"/>
  <c r="H103" i="2"/>
  <c r="G103" i="2"/>
  <c r="I101" i="2"/>
  <c r="I99" i="2"/>
  <c r="I97" i="2"/>
  <c r="I96" i="2"/>
  <c r="H88" i="2"/>
  <c r="G88" i="2"/>
  <c r="I87" i="2"/>
  <c r="I86" i="2"/>
  <c r="I84" i="2"/>
  <c r="I83" i="2"/>
  <c r="H79" i="2"/>
  <c r="G79" i="2"/>
  <c r="I78" i="2"/>
  <c r="I77" i="2"/>
  <c r="I76" i="2"/>
  <c r="I75" i="2"/>
  <c r="G64" i="2"/>
  <c r="I63" i="2"/>
  <c r="I62" i="2"/>
  <c r="I61" i="2"/>
  <c r="I59" i="2"/>
  <c r="I58" i="2"/>
  <c r="H54" i="2"/>
  <c r="G54" i="2"/>
  <c r="I53" i="2"/>
  <c r="I52" i="2"/>
  <c r="I51" i="2"/>
  <c r="J17" i="2"/>
  <c r="J11" i="2"/>
  <c r="F30" i="3" l="1"/>
  <c r="F34" i="3"/>
  <c r="E36" i="3"/>
  <c r="F36" i="3" s="1"/>
  <c r="F31" i="3"/>
  <c r="F29" i="3"/>
  <c r="F32" i="3"/>
  <c r="F28" i="3"/>
  <c r="J21" i="2"/>
  <c r="J29" i="2" s="1"/>
  <c r="F15" i="3"/>
  <c r="I103" i="2"/>
  <c r="J105" i="2" s="1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J38" i="1" s="1"/>
  <c r="H60" i="2" s="1"/>
  <c r="F43" i="3"/>
  <c r="F45" i="3" l="1"/>
  <c r="J39" i="2"/>
  <c r="J43" i="2" s="1"/>
  <c r="J47" i="2" s="1"/>
  <c r="H64" i="2"/>
  <c r="I64" i="2" s="1"/>
  <c r="I60" i="2"/>
  <c r="E47" i="3"/>
  <c r="K43" i="2" l="1"/>
  <c r="F47" i="3"/>
  <c r="J60" i="1"/>
  <c r="H85" i="2" s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<sst xmlns="http://schemas.openxmlformats.org/spreadsheetml/2006/main" count="238" uniqueCount="112">
  <si>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</si>
  <si>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</si>
  <si>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</si>
  <si>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</si>
  <si>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</si>
  <si>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</si>
  <si>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</si>
  <si>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</si>
  <si>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</si>
  <si>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</si>
  <si>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</si>
  <si>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</si>
  <si>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</si>
  <si>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</si>
  <si>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</si>
  <si>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</si>
  <si>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</si>
  <si>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</si>
  <si>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</si>
  <si>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</si>
  <si>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</si>
  <si>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</si>
  <si>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</si>
  <si>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</si>
  <si>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</si>
  <si>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</si>
  <si>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</si>
  <si>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</si>
  <si>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</si>
  <si>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</si>
  <si>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</si>
  <si>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</si>
  <si>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</si>
  <si>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</si>
  <si>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</si>
  <si>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</si>
  <si>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</si>
  <si>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</si>
  <si>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</si>
  <si>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</si>
  <si>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</si>
  <si>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</si>
  <si>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</si>
  <si>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</si>
  <si>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</si>
  <si>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</si>
  <si>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</si>
  <si>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</si>
  <si>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</si>
  <si>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</si>
  <si>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</si>
  <si>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</si>
  <si>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</si>
  <si>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</si>
  <si>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</si>
  <si>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</si>
  <si>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</si>
  <si>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</si>
  <si>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</si>
  <si>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</si>
  <si>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</si>
  <si>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</si>
  <si>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</si>
  <si>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</si>
  <si>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</si>
  <si>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</si>
  <si>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</si>
  <si>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</si>
  <si>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</si>
  <si>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</si>
  <si>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</si>
  <si>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</si>
  <si>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</si>
  <si>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</si>
  <si>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</si>
  <si>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</si>
  <si>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</si>
  <si>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</si>
  <si>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</si>
  <si>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</si>
  <si>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</si>
  <si>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</si>
  <si>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</si>
  <si>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</si>
  <si>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</si>
  <si>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</si>
  <si>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</si>
  <si>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</si>
  <si>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</si>
  <si>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</si>
  <si>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</si>
  <si>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</si>
  <si>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</si>
  <si>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</si>
  <si>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</si>
  <si>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</si>
  <si>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</si>
  <si>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</si>
  <si>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</si>
  <si>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</si>
  <si>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</si>
  <si>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</si>
  <si>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</si>
  <si>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</si>
  <si>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</si>
  <si>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</si>
  <si>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</si>
  <si>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Brasserie Chez Moranne inc.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</si>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</sst>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36" fillId="0" borderId="13" xfId="2" applyNumberFormat="1" applyFont="1" applyBorder="1" applyAlignment="1">
      <alignment horizontal="right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6" fillId="0" borderId="12" xfId="2" applyNumberFormat="1" applyFont="1" applyBorder="1"/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165" fontId="36" fillId="0" borderId="0" xfId="2" applyNumberFormat="1" applyFont="1"/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6" fillId="11" borderId="0" xfId="2" applyNumberFormat="1" applyFont="1" applyFill="1"/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21" fillId="6" borderId="9" xfId="2" applyFont="1" applyFill="1" applyBorder="1" applyAlignment="1">
      <alignment vertical="center"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30" fillId="0" borderId="0" xfId="2" applyFont="1" applyAlignment="1">
      <alignment horizontal="right" vertical="center" wrapText="1"/>
    </xf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22" activePane="bottomRight" state="frozen"/>
      <selection pane="topRight" activeCell="C1" sqref="C1"/>
      <selection pane="bottomLeft" activeCell="A10" sqref="A10"/>
      <selection pane="bottomRight" activeCell="C36" sqref="C36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107</v>
      </c>
      <c r="D2" s="81"/>
      <c r="H2" s="1" t="str">
        <f>C2</f>
        <v>Brasserie Chez Moranne inc.</v>
      </c>
      <c r="I2" s="81"/>
      <c r="AL2" t="s">
        <v>0</v>
      </c>
    </row>
    <row r="3" spans="3:52" x14ac:dyDescent="0.15">
      <c r="C3" s="247" t="s">
        <v>104</v>
      </c>
      <c r="D3" s="81"/>
      <c r="H3" s="247" t="s">
        <v>105</v>
      </c>
      <c r="I3" s="81"/>
      <c r="AL3" t="s">
        <v>0</v>
      </c>
    </row>
    <row r="4" spans="3:52" ht="14" thickBot="1" x14ac:dyDescent="0.2">
      <c r="C4" s="248"/>
      <c r="D4" s="81"/>
      <c r="H4" s="248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10833.333333333334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10987.5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60</v>
      </c>
      <c r="D7" s="81"/>
      <c r="E7" s="8" t="s">
        <v>0</v>
      </c>
      <c r="F7" s="9"/>
      <c r="G7" s="6"/>
      <c r="H7" s="7">
        <f>C7</f>
        <v>60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10833.333333333334</v>
      </c>
      <c r="D9" s="81"/>
      <c r="E9" s="11" t="s">
        <v>3</v>
      </c>
      <c r="F9" s="15" t="s">
        <v>0</v>
      </c>
      <c r="G9" s="16"/>
      <c r="H9" s="14">
        <f>+J30/H7</f>
        <v>10987.5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0</v>
      </c>
      <c r="F14" s="21">
        <f>E14/E30</f>
        <v>0</v>
      </c>
      <c r="H14" s="17" t="str">
        <f>C14</f>
        <v xml:space="preserve"> Trésorerie et équivalent de trésorerie</v>
      </c>
      <c r="I14" s="81"/>
      <c r="J14" s="229">
        <v>29250</v>
      </c>
      <c r="K14" s="21">
        <f>J14/J30</f>
        <v>4.4368600682593858E-2</v>
      </c>
    </row>
    <row r="15" spans="3:52" ht="14" thickTop="1" x14ac:dyDescent="0.15">
      <c r="C15" s="17" t="s">
        <v>8</v>
      </c>
      <c r="D15" s="81"/>
      <c r="E15" s="22">
        <v>120000</v>
      </c>
      <c r="F15" s="21">
        <f>E15/E30</f>
        <v>0.18461538461538463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0.15168752370117558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0.14615384615384616</v>
      </c>
      <c r="H16" s="17" t="str">
        <f>C16</f>
        <v xml:space="preserve"> Stocks</v>
      </c>
      <c r="I16" s="81"/>
      <c r="J16" s="22">
        <v>110000</v>
      </c>
      <c r="K16" s="21">
        <f>J16/J30</f>
        <v>0.16685627607129314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5.3846153846153849E-2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3.0337504740235114E-2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250000</v>
      </c>
      <c r="F19" s="63">
        <f>E19/E30</f>
        <v>0.38461538461538464</v>
      </c>
      <c r="H19" s="61" t="str">
        <f>C19</f>
        <v>Total des actifs courants</v>
      </c>
      <c r="I19" s="82"/>
      <c r="J19" s="62">
        <f>SUM(J14:J17)</f>
        <v>259250</v>
      </c>
      <c r="K19" s="63">
        <f>J19/J30</f>
        <v>0.39324990519529768</v>
      </c>
      <c r="N19" s="245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0</v>
      </c>
      <c r="F23" s="25">
        <f>E23/E30</f>
        <v>0</v>
      </c>
      <c r="H23" s="90" t="str">
        <f>C23</f>
        <v xml:space="preserve"> Placements</v>
      </c>
      <c r="I23" s="81"/>
      <c r="J23" s="22">
        <v>50000</v>
      </c>
      <c r="K23" s="25">
        <f>J23/J30</f>
        <v>7.584376185058779E-2</v>
      </c>
    </row>
    <row r="24" spans="2:52" x14ac:dyDescent="0.15">
      <c r="C24" s="90" t="s">
        <v>14</v>
      </c>
      <c r="D24" s="81"/>
      <c r="E24" s="22">
        <v>300000</v>
      </c>
      <c r="F24" s="25">
        <f>E24/E30</f>
        <v>0.46153846153846156</v>
      </c>
      <c r="H24" s="90" t="str">
        <f>C24</f>
        <v xml:space="preserve"> Immobilisations corporelles </v>
      </c>
      <c r="I24" s="81"/>
      <c r="J24" s="22">
        <v>270000</v>
      </c>
      <c r="K24" s="25">
        <f>J24/J30</f>
        <v>0.40955631399317405</v>
      </c>
      <c r="N24" s="243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7.6923076923076927E-2</v>
      </c>
      <c r="H25" s="90" t="str">
        <f>C25</f>
        <v xml:space="preserve"> Immobilisations incorporelles</v>
      </c>
      <c r="I25" s="81"/>
      <c r="J25" s="22">
        <v>40000</v>
      </c>
      <c r="K25" s="25">
        <f>J25/J30</f>
        <v>6.0675009480470228E-2</v>
      </c>
      <c r="N25" s="243" t="s">
        <v>101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7.6923076923076927E-2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6.0675009480470228E-2</v>
      </c>
      <c r="N26" s="243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400000</v>
      </c>
      <c r="F28" s="66">
        <f>E28/E30</f>
        <v>0.61538461538461542</v>
      </c>
      <c r="H28" s="59" t="str">
        <f>C28</f>
        <v>Total des actifs non courant</v>
      </c>
      <c r="I28" s="83"/>
      <c r="J28" s="65">
        <f>SUM(J23:J26)</f>
        <v>400000</v>
      </c>
      <c r="K28" s="66">
        <f>J28/J30</f>
        <v>0.60675009480470232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650000</v>
      </c>
      <c r="F30" s="69">
        <f>E30/E30</f>
        <v>1</v>
      </c>
      <c r="H30" s="67" t="str">
        <f>C30</f>
        <v>TOTAL DES ACTIFS</v>
      </c>
      <c r="I30" s="83"/>
      <c r="J30" s="79">
        <f>+J19+J28</f>
        <v>659250</v>
      </c>
      <c r="K30" s="69">
        <f>J30/J30</f>
        <v>1</v>
      </c>
      <c r="N30" s="244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30000</v>
      </c>
      <c r="F36" s="25">
        <f>E36/E30</f>
        <v>4.6153846153846156E-2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0</v>
      </c>
      <c r="F38" s="25">
        <f>E38/E30</f>
        <v>0</v>
      </c>
      <c r="H38" s="17" t="str">
        <f t="shared" si="0"/>
        <v xml:space="preserve"> Fournisseurs et autres créditeurs </v>
      </c>
      <c r="I38" s="81"/>
      <c r="J38" s="34">
        <f>+'État des Résultats'!E45+(20000)</f>
        <v>27862.5</v>
      </c>
      <c r="K38" s="25">
        <f>J38/J30</f>
        <v>4.2263936291240048E-2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27000</v>
      </c>
      <c r="F41" s="25">
        <f>E41/E30</f>
        <v>4.1538461538461538E-2</v>
      </c>
      <c r="H41" s="17" t="str">
        <f t="shared" si="0"/>
        <v xml:space="preserve"> Partie courante de la dette</v>
      </c>
      <c r="I41" s="81"/>
      <c r="J41" s="34">
        <v>27000</v>
      </c>
      <c r="K41" s="25">
        <f>J41/J30</f>
        <v>4.0955631399317405E-2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57000</v>
      </c>
      <c r="F43" s="73">
        <f>E43/E30</f>
        <v>8.7692307692307694E-2</v>
      </c>
      <c r="H43" s="59" t="str">
        <f>C43</f>
        <v>Total des passifs courants</v>
      </c>
      <c r="I43" s="81"/>
      <c r="J43" s="72">
        <f>SUM(J36:J41)</f>
        <v>54862.5</v>
      </c>
      <c r="K43" s="73">
        <f>J43/J30</f>
        <v>8.3219567690557453E-2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f>270000-27000</f>
        <v>243000</v>
      </c>
      <c r="F47" s="25">
        <f>E47/E30</f>
        <v>0.37384615384615383</v>
      </c>
      <c r="H47" s="17" t="str">
        <f>C47</f>
        <v xml:space="preserve"> Emprunts hypothécaires </v>
      </c>
      <c r="I47" s="81"/>
      <c r="J47" s="34">
        <v>216000</v>
      </c>
      <c r="K47" s="25">
        <f>J47/J30</f>
        <v>0.32764505119453924</v>
      </c>
      <c r="N47" s="243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243000</v>
      </c>
      <c r="F52" s="63">
        <f>E52/E30</f>
        <v>0.37384615384615383</v>
      </c>
      <c r="H52" s="61" t="str">
        <f>C52</f>
        <v>Total des passifs non courant</v>
      </c>
      <c r="I52" s="82"/>
      <c r="J52" s="74">
        <f>+SUM(J47:J50)</f>
        <v>216000</v>
      </c>
      <c r="K52" s="63">
        <f>J52/J30</f>
        <v>0.32764505119453924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300000</v>
      </c>
      <c r="F54" s="70">
        <f>E54/E30</f>
        <v>0.46153846153846156</v>
      </c>
      <c r="H54" s="75" t="str">
        <f>C54</f>
        <v>TOTAL DES PASSIFS</v>
      </c>
      <c r="I54" s="86"/>
      <c r="J54" s="68">
        <f>+J43+J52</f>
        <v>270862.5</v>
      </c>
      <c r="K54" s="70">
        <f>J54/J30</f>
        <v>0.41086461888509668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350000</v>
      </c>
      <c r="F58" s="44">
        <f>E58/$E$30</f>
        <v>0.53846153846153844</v>
      </c>
      <c r="H58" s="92" t="str">
        <f>C58</f>
        <v xml:space="preserve"> Capital actions</v>
      </c>
      <c r="I58" s="84"/>
      <c r="J58" s="34">
        <f>E58</f>
        <v>350000</v>
      </c>
      <c r="K58" s="44">
        <f>J58/$J$30</f>
        <v>0.53090633295411449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38387.5</v>
      </c>
      <c r="K60" s="44">
        <f>J60/$J$30</f>
        <v>5.8229048160788777E-2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350000</v>
      </c>
      <c r="F64" s="78">
        <f>E64/E30</f>
        <v>0.53846153846153844</v>
      </c>
      <c r="H64" s="75" t="str">
        <f>C64</f>
        <v>Total des capitaux propres</v>
      </c>
      <c r="I64" s="82"/>
      <c r="J64" s="77">
        <f>+SUM(J58:J62)</f>
        <v>388387.5</v>
      </c>
      <c r="K64" s="78">
        <f>J64/J30</f>
        <v>0.58913538111490327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650000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659250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12" activePane="bottomRight" state="frozen"/>
      <selection pane="topRight" activeCell="C1" sqref="C1"/>
      <selection pane="bottomLeft" activeCell="A10" sqref="A10"/>
      <selection pane="bottomRight" activeCell="C43" sqref="C43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6" t="s">
        <v>0</v>
      </c>
    </row>
    <row r="2" spans="3:52" ht="14" thickTop="1" x14ac:dyDescent="0.15">
      <c r="C2" s="218" t="str">
        <f>'Bilan début-fin'!C2</f>
        <v>Brasserie Chez Moranne inc.</v>
      </c>
      <c r="D2" s="175"/>
      <c r="AL2" s="93" t="s">
        <v>0</v>
      </c>
    </row>
    <row r="3" spans="3:52" x14ac:dyDescent="0.15">
      <c r="C3" s="249" t="s">
        <v>106</v>
      </c>
      <c r="D3" s="175"/>
      <c r="AL3" s="93" t="s">
        <v>0</v>
      </c>
    </row>
    <row r="4" spans="3:52" ht="14" thickBot="1" x14ac:dyDescent="0.2">
      <c r="C4" s="250"/>
      <c r="D4" s="175"/>
    </row>
    <row r="5" spans="3:52" ht="15" thickTop="1" thickBot="1" x14ac:dyDescent="0.2">
      <c r="C5" s="217"/>
      <c r="E5" s="216"/>
    </row>
    <row r="6" spans="3:52" ht="17" thickTop="1" x14ac:dyDescent="0.3">
      <c r="C6" s="215" t="s">
        <v>80</v>
      </c>
      <c r="D6" s="174"/>
      <c r="E6" s="214" t="s">
        <v>79</v>
      </c>
      <c r="F6" s="5">
        <f>+E15/$C$7/364</f>
        <v>80.128205128205138</v>
      </c>
      <c r="G6" s="211"/>
      <c r="H6" s="246" t="s">
        <v>103</v>
      </c>
      <c r="AR6" s="211"/>
      <c r="AU6" s="211"/>
      <c r="AV6" s="211"/>
      <c r="AW6" s="211"/>
      <c r="AX6" s="211"/>
      <c r="AY6" s="211"/>
      <c r="AZ6" s="211"/>
    </row>
    <row r="7" spans="3:52" x14ac:dyDescent="0.15">
      <c r="C7" s="222">
        <f>'Bilan début-fin'!C7</f>
        <v>60</v>
      </c>
      <c r="D7" s="174"/>
      <c r="E7" s="213" t="s">
        <v>0</v>
      </c>
      <c r="F7" s="212"/>
      <c r="G7" s="211"/>
      <c r="AR7" s="211"/>
      <c r="AU7" s="211"/>
      <c r="AV7" s="211"/>
      <c r="AW7" s="211"/>
      <c r="AX7" s="211"/>
      <c r="AY7" s="211"/>
      <c r="AZ7" s="211"/>
    </row>
    <row r="8" spans="3:52" x14ac:dyDescent="0.15">
      <c r="C8" s="210" t="s">
        <v>78</v>
      </c>
      <c r="D8" s="174"/>
      <c r="E8" s="209" t="s">
        <v>99</v>
      </c>
      <c r="F8" s="208" t="s">
        <v>2</v>
      </c>
      <c r="G8" s="207"/>
    </row>
    <row r="9" spans="3:52" ht="14" thickBot="1" x14ac:dyDescent="0.2">
      <c r="C9" s="206">
        <f>+E15/C7</f>
        <v>29166.666666666668</v>
      </c>
      <c r="D9" s="174"/>
      <c r="E9" s="227" t="s">
        <v>0</v>
      </c>
      <c r="F9" s="205" t="s">
        <v>0</v>
      </c>
      <c r="G9" s="94"/>
    </row>
    <row r="10" spans="3:52" ht="14" thickTop="1" x14ac:dyDescent="0.15">
      <c r="C10" s="204" t="s">
        <v>48</v>
      </c>
      <c r="D10" s="174"/>
      <c r="E10" s="203"/>
      <c r="F10" s="179"/>
    </row>
    <row r="11" spans="3:52" ht="14" thickBot="1" x14ac:dyDescent="0.2">
      <c r="C11" s="223" t="s">
        <v>98</v>
      </c>
      <c r="D11" s="174"/>
      <c r="E11" s="225">
        <v>0</v>
      </c>
      <c r="F11" s="224">
        <f>+E11/E$15</f>
        <v>0</v>
      </c>
    </row>
    <row r="12" spans="3:52" ht="14" thickTop="1" x14ac:dyDescent="0.15">
      <c r="C12" s="192" t="s">
        <v>81</v>
      </c>
      <c r="D12" s="174"/>
      <c r="E12" s="226">
        <v>1000000</v>
      </c>
      <c r="F12" s="224">
        <f t="shared" ref="F12:F14" si="0">+E12/E$15</f>
        <v>0.5714285714285714</v>
      </c>
    </row>
    <row r="13" spans="3:52" x14ac:dyDescent="0.15">
      <c r="C13" s="192" t="s">
        <v>82</v>
      </c>
      <c r="D13" s="174"/>
      <c r="E13" s="226">
        <v>700000</v>
      </c>
      <c r="F13" s="224">
        <f t="shared" si="0"/>
        <v>0.4</v>
      </c>
    </row>
    <row r="14" spans="3:52" ht="14" thickBot="1" x14ac:dyDescent="0.2">
      <c r="C14" s="184" t="s">
        <v>83</v>
      </c>
      <c r="D14" s="174"/>
      <c r="E14" s="225">
        <v>50000</v>
      </c>
      <c r="F14" s="224">
        <f t="shared" si="0"/>
        <v>2.8571428571428571E-2</v>
      </c>
    </row>
    <row r="15" spans="3:52" ht="15" thickTop="1" thickBot="1" x14ac:dyDescent="0.2">
      <c r="C15" s="189" t="s">
        <v>77</v>
      </c>
      <c r="D15" s="170"/>
      <c r="E15" s="202">
        <f>+SUM(E12:E14)</f>
        <v>1750000</v>
      </c>
      <c r="F15" s="187">
        <f>SUM(F11:F14)</f>
        <v>1</v>
      </c>
      <c r="AR15" s="165"/>
      <c r="AS15" s="165"/>
      <c r="AT15" s="165"/>
      <c r="AU15" s="165"/>
      <c r="AV15" s="165"/>
      <c r="AW15" s="165"/>
      <c r="AX15" s="165"/>
      <c r="AY15" s="165"/>
      <c r="AZ15" s="165"/>
    </row>
    <row r="16" spans="3:52" ht="14" thickTop="1" x14ac:dyDescent="0.15">
      <c r="C16" s="186"/>
      <c r="D16" s="174"/>
      <c r="E16" s="180"/>
      <c r="F16" s="179"/>
    </row>
    <row r="17" spans="2:52" x14ac:dyDescent="0.15">
      <c r="B17" s="201"/>
      <c r="C17" s="219" t="s">
        <v>49</v>
      </c>
      <c r="D17" s="200"/>
      <c r="E17" s="283">
        <v>550000</v>
      </c>
      <c r="F17" s="199">
        <f>+E17/E$15</f>
        <v>0.31428571428571428</v>
      </c>
      <c r="AT17" s="176" t="s">
        <v>0</v>
      </c>
    </row>
    <row r="18" spans="2:52" x14ac:dyDescent="0.15">
      <c r="C18" s="192"/>
      <c r="D18" s="174"/>
      <c r="E18" s="178"/>
      <c r="F18" s="177"/>
    </row>
    <row r="19" spans="2:52" x14ac:dyDescent="0.15">
      <c r="C19" s="185" t="s">
        <v>76</v>
      </c>
      <c r="D19" s="174"/>
      <c r="E19" s="178"/>
      <c r="F19" s="177"/>
    </row>
    <row r="20" spans="2:52" x14ac:dyDescent="0.15">
      <c r="C20" s="192" t="s">
        <v>84</v>
      </c>
      <c r="D20" s="174"/>
      <c r="E20" s="198">
        <f>E22/1.12</f>
        <v>446428.57142857136</v>
      </c>
      <c r="F20" s="177">
        <f>+E20/E$15</f>
        <v>0.25510204081632648</v>
      </c>
    </row>
    <row r="21" spans="2:52" x14ac:dyDescent="0.15">
      <c r="C21" s="192" t="s">
        <v>85</v>
      </c>
      <c r="D21" s="174"/>
      <c r="E21" s="198">
        <f>E51*E20</f>
        <v>58035.714285714283</v>
      </c>
      <c r="F21" s="177">
        <f>E21/E$15</f>
        <v>3.3163265306122444E-2</v>
      </c>
      <c r="H21" s="157"/>
      <c r="I21" s="160"/>
    </row>
    <row r="22" spans="2:52" x14ac:dyDescent="0.15">
      <c r="C22" s="220" t="s">
        <v>108</v>
      </c>
      <c r="D22" s="197"/>
      <c r="E22" s="283">
        <v>500000</v>
      </c>
      <c r="F22" s="196">
        <f>E22/E$15</f>
        <v>0.2857142857142857</v>
      </c>
      <c r="H22" s="157"/>
      <c r="I22" s="160"/>
      <c r="AS22" s="176" t="s">
        <v>0</v>
      </c>
    </row>
    <row r="23" spans="2:52" x14ac:dyDescent="0.15">
      <c r="C23" s="192"/>
      <c r="D23" s="174"/>
      <c r="E23" s="178"/>
      <c r="F23" s="177"/>
      <c r="H23" s="157"/>
      <c r="I23" s="160"/>
    </row>
    <row r="24" spans="2:52" x14ac:dyDescent="0.15">
      <c r="C24" s="185" t="s">
        <v>75</v>
      </c>
      <c r="D24" s="197"/>
      <c r="E24" s="191">
        <f>E17+E22</f>
        <v>1050000</v>
      </c>
      <c r="F24" s="196">
        <f>E24/E$15</f>
        <v>0.6</v>
      </c>
      <c r="H24" s="157"/>
      <c r="I24" s="160"/>
      <c r="AR24" s="195"/>
    </row>
    <row r="25" spans="2:52" ht="14" thickBot="1" x14ac:dyDescent="0.2">
      <c r="C25" s="184"/>
      <c r="D25" s="174"/>
      <c r="E25" s="173"/>
      <c r="F25" s="172"/>
      <c r="H25" s="157"/>
      <c r="I25" s="160"/>
    </row>
    <row r="26" spans="2:52" ht="15" thickTop="1" thickBot="1" x14ac:dyDescent="0.2">
      <c r="C26" s="189" t="s">
        <v>74</v>
      </c>
      <c r="D26" s="170"/>
      <c r="E26" s="188">
        <f>E15-E24</f>
        <v>700000</v>
      </c>
      <c r="F26" s="187">
        <f>E26/E$15</f>
        <v>0.4</v>
      </c>
      <c r="H26" s="157"/>
      <c r="I26" s="160"/>
      <c r="AR26" s="167"/>
      <c r="AS26" s="165"/>
      <c r="AT26" s="165"/>
      <c r="AU26" s="165"/>
      <c r="AV26" s="165"/>
      <c r="AW26" s="165"/>
      <c r="AX26" s="165"/>
      <c r="AY26" s="165"/>
      <c r="AZ26" s="165"/>
    </row>
    <row r="27" spans="2:52" ht="14" thickTop="1" x14ac:dyDescent="0.15">
      <c r="C27" s="186"/>
      <c r="D27" s="174"/>
      <c r="E27" s="180"/>
      <c r="F27" s="179"/>
      <c r="H27" s="157"/>
      <c r="I27" s="160"/>
    </row>
    <row r="28" spans="2:52" x14ac:dyDescent="0.15">
      <c r="C28" s="192" t="s">
        <v>86</v>
      </c>
      <c r="D28" s="174"/>
      <c r="E28" s="282">
        <f>0.05*E15</f>
        <v>87500</v>
      </c>
      <c r="F28" s="177">
        <f>E28/$E$15</f>
        <v>0.05</v>
      </c>
    </row>
    <row r="29" spans="2:52" x14ac:dyDescent="0.15">
      <c r="C29" s="194" t="s">
        <v>87</v>
      </c>
      <c r="D29" s="193"/>
      <c r="E29" s="282">
        <f>0.02*E15</f>
        <v>35000</v>
      </c>
      <c r="F29" s="177">
        <f t="shared" ref="F29:F36" si="1">E29/E$15</f>
        <v>0.02</v>
      </c>
    </row>
    <row r="30" spans="2:52" x14ac:dyDescent="0.15">
      <c r="C30" s="194" t="s">
        <v>88</v>
      </c>
      <c r="D30" s="193"/>
      <c r="E30" s="282">
        <f>0.01*E15</f>
        <v>17500</v>
      </c>
      <c r="F30" s="177">
        <f t="shared" si="1"/>
        <v>0.01</v>
      </c>
    </row>
    <row r="31" spans="2:52" x14ac:dyDescent="0.15">
      <c r="C31" s="194" t="s">
        <v>89</v>
      </c>
      <c r="D31" s="193"/>
      <c r="E31" s="282">
        <f>0.1*E15</f>
        <v>175000</v>
      </c>
      <c r="F31" s="177">
        <f t="shared" si="1"/>
        <v>0.1</v>
      </c>
    </row>
    <row r="32" spans="2:52" x14ac:dyDescent="0.15">
      <c r="C32" s="192" t="s">
        <v>90</v>
      </c>
      <c r="D32" s="174"/>
      <c r="E32" s="282">
        <f>0.03*E15</f>
        <v>52500</v>
      </c>
      <c r="F32" s="177">
        <f t="shared" si="1"/>
        <v>0.03</v>
      </c>
    </row>
    <row r="33" spans="3:52" x14ac:dyDescent="0.15">
      <c r="C33" s="192" t="s">
        <v>91</v>
      </c>
      <c r="D33" s="174"/>
      <c r="E33" s="282">
        <f>0.05*E15</f>
        <v>87500</v>
      </c>
      <c r="F33" s="177">
        <f t="shared" si="1"/>
        <v>0.05</v>
      </c>
    </row>
    <row r="34" spans="3:52" x14ac:dyDescent="0.15">
      <c r="C34" s="192" t="s">
        <v>92</v>
      </c>
      <c r="D34" s="174"/>
      <c r="E34" s="282">
        <f>0.05*E15</f>
        <v>87500</v>
      </c>
      <c r="F34" s="177">
        <f t="shared" si="1"/>
        <v>0.05</v>
      </c>
    </row>
    <row r="35" spans="3:52" x14ac:dyDescent="0.15">
      <c r="C35" s="192" t="s">
        <v>93</v>
      </c>
      <c r="D35" s="174"/>
      <c r="E35" s="282">
        <f>0.005*E15</f>
        <v>8750</v>
      </c>
      <c r="F35" s="177">
        <f t="shared" si="1"/>
        <v>5.0000000000000001E-3</v>
      </c>
    </row>
    <row r="36" spans="3:52" x14ac:dyDescent="0.15">
      <c r="C36" s="220" t="s">
        <v>73</v>
      </c>
      <c r="D36" s="174"/>
      <c r="E36" s="191">
        <f>SUM(E28:E35)</f>
        <v>551250</v>
      </c>
      <c r="F36" s="190">
        <f t="shared" si="1"/>
        <v>0.315</v>
      </c>
      <c r="AS36" s="176" t="s">
        <v>0</v>
      </c>
    </row>
    <row r="37" spans="3:52" ht="14" thickBot="1" x14ac:dyDescent="0.2">
      <c r="C37" s="184"/>
      <c r="D37" s="174"/>
      <c r="E37" s="173"/>
      <c r="F37" s="172"/>
    </row>
    <row r="38" spans="3:52" ht="15" thickTop="1" thickBot="1" x14ac:dyDescent="0.2">
      <c r="C38" s="189" t="s">
        <v>72</v>
      </c>
      <c r="D38" s="170"/>
      <c r="E38" s="188">
        <f>E26-E36</f>
        <v>148750</v>
      </c>
      <c r="F38" s="187">
        <f>E38/E$15</f>
        <v>8.5000000000000006E-2</v>
      </c>
      <c r="AR38" s="167"/>
      <c r="AS38" s="165"/>
      <c r="AT38" s="165"/>
      <c r="AU38" s="165"/>
      <c r="AV38" s="165"/>
      <c r="AW38" s="165"/>
      <c r="AX38" s="165"/>
      <c r="AY38" s="165"/>
      <c r="AZ38" s="165"/>
    </row>
    <row r="39" spans="3:52" ht="14" thickTop="1" x14ac:dyDescent="0.15">
      <c r="C39" s="186"/>
      <c r="D39" s="174"/>
      <c r="E39" s="180"/>
      <c r="F39" s="179"/>
    </row>
    <row r="40" spans="3:52" x14ac:dyDescent="0.15">
      <c r="C40" s="185" t="s">
        <v>94</v>
      </c>
      <c r="D40" s="174"/>
      <c r="E40" s="282">
        <f>0.03*E15</f>
        <v>52500</v>
      </c>
      <c r="F40" s="177">
        <f>E40/E$15</f>
        <v>0.03</v>
      </c>
      <c r="AS40" s="176" t="s">
        <v>0</v>
      </c>
    </row>
    <row r="41" spans="3:52" x14ac:dyDescent="0.15">
      <c r="C41" s="185" t="s">
        <v>95</v>
      </c>
      <c r="D41" s="174"/>
      <c r="E41" s="282">
        <v>50000</v>
      </c>
      <c r="F41" s="177">
        <f>E41/E$15</f>
        <v>2.8571428571428571E-2</v>
      </c>
      <c r="AS41" s="176"/>
    </row>
    <row r="42" spans="3:52" ht="14" thickBot="1" x14ac:dyDescent="0.2">
      <c r="C42" s="184"/>
      <c r="D42" s="174"/>
      <c r="E42" s="173"/>
      <c r="F42" s="172"/>
    </row>
    <row r="43" spans="3:52" ht="15" thickTop="1" thickBot="1" x14ac:dyDescent="0.2">
      <c r="C43" s="183" t="s">
        <v>71</v>
      </c>
      <c r="D43" s="170"/>
      <c r="E43" s="182">
        <f>E38-(E40+E41)</f>
        <v>46250</v>
      </c>
      <c r="F43" s="181">
        <f>E43/E$15</f>
        <v>2.642857142857143E-2</v>
      </c>
      <c r="AR43" s="167"/>
      <c r="AS43" s="165"/>
      <c r="AT43" s="165"/>
      <c r="AU43" s="165"/>
      <c r="AV43" s="165"/>
      <c r="AW43" s="165"/>
      <c r="AX43" s="165"/>
      <c r="AY43" s="165"/>
      <c r="AZ43" s="165"/>
    </row>
    <row r="44" spans="3:52" ht="14" thickTop="1" x14ac:dyDescent="0.15">
      <c r="C44" s="175"/>
      <c r="D44" s="174"/>
      <c r="E44" s="180"/>
      <c r="F44" s="179"/>
    </row>
    <row r="45" spans="3:52" x14ac:dyDescent="0.15">
      <c r="C45" s="175" t="s">
        <v>96</v>
      </c>
      <c r="D45" s="174"/>
      <c r="E45" s="178">
        <f>+E43*E49</f>
        <v>7862.5000000000009</v>
      </c>
      <c r="F45" s="177">
        <f>E45/E$15</f>
        <v>4.4928571428571431E-3</v>
      </c>
      <c r="AS45" s="176" t="s">
        <v>0</v>
      </c>
    </row>
    <row r="46" spans="3:52" ht="14" thickBot="1" x14ac:dyDescent="0.2">
      <c r="C46" s="175"/>
      <c r="D46" s="174"/>
      <c r="E46" s="173"/>
      <c r="F46" s="172"/>
    </row>
    <row r="47" spans="3:52" ht="15" thickTop="1" thickBot="1" x14ac:dyDescent="0.2">
      <c r="C47" s="171" t="s">
        <v>70</v>
      </c>
      <c r="D47" s="170"/>
      <c r="E47" s="169">
        <f>E43-E45</f>
        <v>38387.5</v>
      </c>
      <c r="F47" s="168">
        <f>E47/E$15</f>
        <v>2.1935714285714284E-2</v>
      </c>
      <c r="AR47" s="167"/>
      <c r="AS47" s="166" t="s">
        <v>0</v>
      </c>
      <c r="AT47" s="166" t="s">
        <v>0</v>
      </c>
      <c r="AU47" s="165"/>
      <c r="AV47" s="165"/>
      <c r="AW47" s="165"/>
      <c r="AX47" s="165"/>
      <c r="AY47" s="165"/>
      <c r="AZ47" s="165"/>
    </row>
    <row r="48" spans="3:52" ht="15" thickTop="1" thickBot="1" x14ac:dyDescent="0.2">
      <c r="C48" s="164"/>
      <c r="E48" s="163"/>
      <c r="P48" s="162"/>
    </row>
    <row r="49" spans="3:42" ht="15" thickTop="1" thickBot="1" x14ac:dyDescent="0.2">
      <c r="C49" s="221" t="s">
        <v>69</v>
      </c>
      <c r="D49" s="161"/>
      <c r="E49" s="284">
        <v>0.17</v>
      </c>
      <c r="F49" s="228" t="s">
        <v>0</v>
      </c>
      <c r="AP49" s="157" t="s">
        <v>0</v>
      </c>
    </row>
    <row r="50" spans="3:42" ht="15" thickTop="1" thickBot="1" x14ac:dyDescent="0.2">
      <c r="H50" s="157"/>
      <c r="I50" s="160"/>
    </row>
    <row r="51" spans="3:42" ht="15" thickTop="1" thickBot="1" x14ac:dyDescent="0.2">
      <c r="C51" s="221" t="s">
        <v>97</v>
      </c>
      <c r="E51" s="284">
        <v>0.13</v>
      </c>
      <c r="F51" s="175"/>
      <c r="H51" s="157"/>
      <c r="I51" s="160"/>
    </row>
    <row r="52" spans="3:42" ht="14" thickTop="1" x14ac:dyDescent="0.15">
      <c r="H52" s="157"/>
      <c r="I52" s="160"/>
    </row>
    <row r="53" spans="3:42" x14ac:dyDescent="0.15">
      <c r="H53" s="157"/>
      <c r="I53" s="160"/>
    </row>
    <row r="54" spans="3:42" x14ac:dyDescent="0.15">
      <c r="H54" s="157"/>
      <c r="I54" s="160"/>
    </row>
    <row r="55" spans="3:42" x14ac:dyDescent="0.15">
      <c r="H55" s="157"/>
      <c r="I55" s="160"/>
    </row>
    <row r="56" spans="3:42" x14ac:dyDescent="0.15">
      <c r="I56" s="160"/>
    </row>
    <row r="57" spans="3:42" x14ac:dyDescent="0.15">
      <c r="I57" s="160"/>
    </row>
    <row r="58" spans="3:42" x14ac:dyDescent="0.15">
      <c r="I58" s="160"/>
    </row>
    <row r="59" spans="3:42" x14ac:dyDescent="0.15">
      <c r="I59" s="160"/>
    </row>
    <row r="60" spans="3:42" x14ac:dyDescent="0.15">
      <c r="I60" s="160"/>
    </row>
  </sheetData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/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53" t="s">
        <v>47</v>
      </c>
      <c r="C2" s="254"/>
      <c r="D2" s="254"/>
      <c r="E2" s="254"/>
      <c r="F2" s="254"/>
      <c r="G2" s="254"/>
      <c r="H2" s="254"/>
      <c r="I2" s="254"/>
      <c r="J2" s="254"/>
      <c r="K2" s="255"/>
    </row>
    <row r="3" spans="2:11" ht="14" customHeight="1" x14ac:dyDescent="0.2">
      <c r="B3" s="253" t="str">
        <f>'Bilan début-fin'!C2</f>
        <v>Brasserie Chez Moranne inc.</v>
      </c>
      <c r="C3" s="254"/>
      <c r="D3" s="254"/>
      <c r="E3" s="254"/>
      <c r="F3" s="254"/>
      <c r="G3" s="254"/>
      <c r="H3" s="254"/>
      <c r="I3" s="254"/>
      <c r="J3" s="254"/>
      <c r="K3" s="255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6" t="str">
        <f>'État des Résultats'!C10</f>
        <v>Revenus</v>
      </c>
      <c r="C5" s="257"/>
      <c r="D5" s="257"/>
      <c r="E5" s="257"/>
      <c r="F5" s="257"/>
      <c r="G5" s="257"/>
      <c r="H5" s="257"/>
      <c r="I5" s="257"/>
      <c r="J5" s="257"/>
      <c r="K5" s="258"/>
    </row>
    <row r="6" spans="2:11" ht="17" thickTop="1" x14ac:dyDescent="0.2">
      <c r="B6" s="95"/>
      <c r="C6" s="239"/>
      <c r="D6" s="239"/>
      <c r="E6" s="239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40" t="str">
        <f>'État des Résultats'!C11</f>
        <v xml:space="preserve"> Chambres</v>
      </c>
      <c r="D7" s="241"/>
      <c r="E7" s="241"/>
      <c r="F7" s="95"/>
      <c r="G7" s="95"/>
      <c r="H7" s="95"/>
      <c r="I7" s="95"/>
      <c r="J7" s="99">
        <f>'État des Résultats'!E11</f>
        <v>0</v>
      </c>
      <c r="K7" s="97"/>
    </row>
    <row r="8" spans="2:11" ht="16" x14ac:dyDescent="0.2">
      <c r="B8" s="95">
        <v>4200</v>
      </c>
      <c r="C8" s="259" t="str">
        <f>'État des Résultats'!C12</f>
        <v xml:space="preserve"> Nourriture</v>
      </c>
      <c r="D8" s="259"/>
      <c r="E8" s="259"/>
      <c r="F8" s="95"/>
      <c r="G8" s="95"/>
      <c r="H8" s="95"/>
      <c r="I8" s="95"/>
      <c r="J8" s="99">
        <f>'État des Résultats'!E12</f>
        <v>1000000</v>
      </c>
      <c r="K8" s="97"/>
    </row>
    <row r="9" spans="2:11" ht="16" x14ac:dyDescent="0.2">
      <c r="B9" s="95">
        <v>4300</v>
      </c>
      <c r="C9" s="259" t="str">
        <f>'État des Résultats'!C13</f>
        <v xml:space="preserve"> Boisson</v>
      </c>
      <c r="D9" s="259"/>
      <c r="E9" s="259"/>
      <c r="F9" s="95"/>
      <c r="G9" s="95"/>
      <c r="H9" s="95"/>
      <c r="I9" s="95"/>
      <c r="J9" s="99">
        <f>'État des Résultats'!E13</f>
        <v>700000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f>'État des Résultats'!E14</f>
        <v>50000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1750000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6" t="str">
        <f>'État des Résultats'!C24</f>
        <v xml:space="preserve">   « Prime Cost »</v>
      </c>
      <c r="C13" s="257"/>
      <c r="D13" s="257"/>
      <c r="E13" s="257"/>
      <c r="F13" s="257"/>
      <c r="G13" s="257"/>
      <c r="H13" s="257"/>
      <c r="I13" s="257"/>
      <c r="J13" s="257"/>
      <c r="K13" s="258"/>
    </row>
    <row r="14" spans="2:11" ht="17" thickTop="1" x14ac:dyDescent="0.2">
      <c r="B14" s="240"/>
      <c r="C14" s="242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40">
        <v>5000</v>
      </c>
      <c r="C15" s="240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f>'État des Résultats'!E17</f>
        <v>550000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f>'État des Résultats'!E22</f>
        <v>500000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1050000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6" t="s">
        <v>50</v>
      </c>
      <c r="C19" s="260"/>
      <c r="D19" s="260"/>
      <c r="E19" s="260"/>
      <c r="F19" s="260"/>
      <c r="G19" s="260"/>
      <c r="H19" s="260"/>
      <c r="I19" s="260"/>
      <c r="J19" s="260"/>
      <c r="K19" s="261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f>'État des Résultats'!E28</f>
        <v>87500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f>'État des Résultats'!E29</f>
        <v>35000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f>'État des Résultats'!E30</f>
        <v>17500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f>'État des Résultats'!E31</f>
        <v>175000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f>'État des Résultats'!E32</f>
        <v>52500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f>'État des Résultats'!E33</f>
        <v>87500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f>'État des Résultats'!E34</f>
        <v>87500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f>'État des Résultats'!E35</f>
        <v>8750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551250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6" t="str">
        <f>'État des Résultats'!C38</f>
        <v>Bénéfices nets avant frais financiers, amort. et impôt (BAIIA)</v>
      </c>
      <c r="C31" s="262"/>
      <c r="D31" s="262"/>
      <c r="E31" s="262"/>
      <c r="F31" s="262"/>
      <c r="G31" s="262"/>
      <c r="H31" s="262"/>
      <c r="I31" s="262"/>
      <c r="J31" s="262"/>
      <c r="K31" s="263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f>'État des Résultats'!E40</f>
        <v>52500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f>'État des Résultats'!E41</f>
        <v>50000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102500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64" t="str">
        <f>'État des Résultats'!C45</f>
        <v xml:space="preserve"> Impôts </v>
      </c>
      <c r="C37" s="265"/>
      <c r="D37" s="265"/>
      <c r="E37" s="265"/>
      <c r="F37" s="265"/>
      <c r="G37" s="265"/>
      <c r="H37" s="265"/>
      <c r="I37" s="265"/>
      <c r="J37" s="265"/>
      <c r="K37" s="266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f>'État des Résultats'!E45</f>
        <v>7862.5000000000009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67" t="s">
        <v>52</v>
      </c>
      <c r="C41" s="268"/>
      <c r="D41" s="268"/>
      <c r="E41" s="268"/>
      <c r="F41" s="268"/>
      <c r="G41" s="268"/>
      <c r="H41" s="268"/>
      <c r="I41" s="268"/>
      <c r="J41" s="268"/>
      <c r="K41" s="269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70" t="s">
        <v>53</v>
      </c>
      <c r="D43" s="270"/>
      <c r="E43" s="270"/>
      <c r="F43" s="270"/>
      <c r="G43" s="270"/>
      <c r="H43" s="270"/>
      <c r="I43" s="270"/>
      <c r="J43" s="101">
        <f>+J11-(J17+J29+J35+J39)</f>
        <v>38387.5</v>
      </c>
      <c r="K43" s="230">
        <f>+J43/J113</f>
        <v>1.3123931623931624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51" t="s">
        <v>54</v>
      </c>
      <c r="D45" s="252"/>
      <c r="E45" s="252"/>
      <c r="F45" s="252"/>
      <c r="G45" s="252"/>
      <c r="H45" s="252"/>
      <c r="I45" s="252"/>
      <c r="J45" s="108">
        <f>'État des Résultats'!E41</f>
        <v>50000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72" t="s">
        <v>55</v>
      </c>
      <c r="D47" s="272"/>
      <c r="E47" s="272"/>
      <c r="F47" s="272"/>
      <c r="G47" s="272"/>
      <c r="H47" s="272"/>
      <c r="I47" s="272"/>
      <c r="J47" s="101">
        <f>+J43+J45</f>
        <v>88387.5</v>
      </c>
      <c r="K47" s="230">
        <f>J47/J113</f>
        <v>3.0217948717948717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f>'Bilan début-fin'!E15</f>
        <v>120000</v>
      </c>
      <c r="H51" s="116">
        <f>'Bilan début-fin'!J15</f>
        <v>100000</v>
      </c>
      <c r="I51" s="117">
        <f>G51-H51</f>
        <v>20000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f>'Bilan début-fin'!E16</f>
        <v>95000</v>
      </c>
      <c r="H52" s="116">
        <f>'Bilan début-fin'!J16</f>
        <v>110000</v>
      </c>
      <c r="I52" s="117">
        <f>G52-H52</f>
        <v>-15000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f>'Bilan début-fin'!E17</f>
        <v>35000</v>
      </c>
      <c r="H53" s="116">
        <f>'Bilan début-fin'!J17</f>
        <v>20000</v>
      </c>
      <c r="I53" s="117">
        <f>G53-H53</f>
        <v>15000</v>
      </c>
      <c r="J53" s="115"/>
      <c r="K53" s="231"/>
    </row>
    <row r="54" spans="2:11" ht="19" x14ac:dyDescent="0.35">
      <c r="B54" s="95"/>
      <c r="C54" s="113"/>
      <c r="D54" s="113"/>
      <c r="E54" s="113"/>
      <c r="F54" s="113"/>
      <c r="G54" s="118">
        <f>+SUM(G51:G53)</f>
        <v>250000</v>
      </c>
      <c r="H54" s="118">
        <f>+SUM(H51:H53)</f>
        <v>230000</v>
      </c>
      <c r="I54" s="119">
        <f>G54-H54</f>
        <v>20000</v>
      </c>
      <c r="J54" s="120" t="s">
        <v>0</v>
      </c>
      <c r="K54" s="232">
        <f>I54/J113</f>
        <v>0.68376068376068377</v>
      </c>
    </row>
    <row r="55" spans="2:11" ht="16" x14ac:dyDescent="0.2">
      <c r="B55" s="95"/>
      <c r="C55" s="113"/>
      <c r="D55" s="113"/>
      <c r="E55" s="113"/>
      <c r="F55" s="113"/>
      <c r="G55" s="121"/>
      <c r="H55" s="121"/>
      <c r="I55" s="121"/>
      <c r="J55" s="121"/>
      <c r="K55" s="231"/>
    </row>
    <row r="56" spans="2:11" ht="20" x14ac:dyDescent="0.35">
      <c r="B56" s="111">
        <v>2000</v>
      </c>
      <c r="C56" s="122" t="s">
        <v>20</v>
      </c>
      <c r="D56" s="113"/>
      <c r="E56" s="113"/>
      <c r="F56" s="113"/>
      <c r="G56" s="123" t="s">
        <v>3</v>
      </c>
      <c r="H56" s="123" t="s">
        <v>4</v>
      </c>
      <c r="I56" s="123" t="s">
        <v>56</v>
      </c>
      <c r="J56" s="115"/>
      <c r="K56" s="231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f>'Bilan début-fin'!E36</f>
        <v>30000</v>
      </c>
      <c r="H58" s="116">
        <f>'Bilan début-fin'!J36</f>
        <v>0</v>
      </c>
      <c r="I58" s="117">
        <f t="shared" ref="I58:I64" si="0">H58-G58</f>
        <v>-30000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f>'Bilan début-fin'!E37</f>
        <v>0</v>
      </c>
      <c r="H59" s="116">
        <f>'Bilan début-fin'!J37</f>
        <v>0</v>
      </c>
      <c r="I59" s="117">
        <f t="shared" si="0"/>
        <v>0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f>'Bilan début-fin'!E38</f>
        <v>0</v>
      </c>
      <c r="H60" s="116">
        <f>'Bilan début-fin'!J38</f>
        <v>27862.5</v>
      </c>
      <c r="I60" s="117">
        <f t="shared" si="0"/>
        <v>27862.5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f>'Bilan début-fin'!E39</f>
        <v>0</v>
      </c>
      <c r="H61" s="116">
        <f>'Bilan début-fin'!J39</f>
        <v>0</v>
      </c>
      <c r="I61" s="117">
        <f t="shared" si="0"/>
        <v>0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f>'Bilan début-fin'!E40</f>
        <v>0</v>
      </c>
      <c r="H62" s="116">
        <f>'Bilan début-fin'!J40</f>
        <v>0</v>
      </c>
      <c r="I62" s="117">
        <f t="shared" si="0"/>
        <v>0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f>'Bilan début-fin'!E41</f>
        <v>27000</v>
      </c>
      <c r="H63" s="116">
        <f>'Bilan début-fin'!J41</f>
        <v>27000</v>
      </c>
      <c r="I63" s="117">
        <f t="shared" si="0"/>
        <v>0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4">
        <f>+SUM(G58:G63)</f>
        <v>57000</v>
      </c>
      <c r="H64" s="118">
        <f>+SUM(H58:H63)</f>
        <v>54862.5</v>
      </c>
      <c r="I64" s="125">
        <f t="shared" si="0"/>
        <v>-2137.5</v>
      </c>
      <c r="J64" s="126" t="s">
        <v>0</v>
      </c>
      <c r="K64" s="230">
        <f>I64/J113</f>
        <v>-7.3076923076923081E-2</v>
      </c>
    </row>
    <row r="65" spans="2:11" ht="19" x14ac:dyDescent="0.3">
      <c r="B65" s="111" t="s">
        <v>0</v>
      </c>
      <c r="C65" s="127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8"/>
      <c r="H66" s="129"/>
      <c r="I66" s="129"/>
      <c r="J66" s="126"/>
      <c r="K66" s="97"/>
    </row>
    <row r="67" spans="2:11" ht="19" x14ac:dyDescent="0.35">
      <c r="B67" s="95"/>
      <c r="C67" s="273" t="s">
        <v>57</v>
      </c>
      <c r="D67" s="273"/>
      <c r="E67" s="273"/>
      <c r="F67" s="273"/>
      <c r="G67" s="273"/>
      <c r="H67" s="273"/>
      <c r="I67" s="273"/>
      <c r="J67" s="118">
        <f>+I54+I64</f>
        <v>17862.5</v>
      </c>
      <c r="K67" s="230">
        <f>J67/J113</f>
        <v>0.61068376068376073</v>
      </c>
    </row>
    <row r="68" spans="2:11" ht="20" thickBot="1" x14ac:dyDescent="0.4">
      <c r="B68" s="95"/>
      <c r="C68" s="130"/>
      <c r="D68" s="130"/>
      <c r="E68" s="130"/>
      <c r="F68" s="130"/>
      <c r="G68" s="130"/>
      <c r="H68" s="130"/>
      <c r="I68" s="130"/>
      <c r="J68" s="104"/>
      <c r="K68" s="97"/>
    </row>
    <row r="69" spans="2:11" ht="21" thickTop="1" thickBot="1" x14ac:dyDescent="0.4">
      <c r="B69" s="131"/>
      <c r="C69" s="274" t="s">
        <v>58</v>
      </c>
      <c r="D69" s="275"/>
      <c r="E69" s="275"/>
      <c r="F69" s="275"/>
      <c r="G69" s="275"/>
      <c r="H69" s="275"/>
      <c r="I69" s="275"/>
      <c r="J69" s="132">
        <f>+J47+J67</f>
        <v>106250</v>
      </c>
      <c r="K69" s="233">
        <f>J69/J113</f>
        <v>3.6324786324786325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76" t="s">
        <v>59</v>
      </c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4" t="s">
        <v>28</v>
      </c>
      <c r="D73" s="135"/>
      <c r="E73" s="135"/>
      <c r="F73" s="135"/>
      <c r="G73" s="136" t="s">
        <v>3</v>
      </c>
      <c r="H73" s="136" t="s">
        <v>4</v>
      </c>
      <c r="I73" s="136" t="s">
        <v>56</v>
      </c>
      <c r="J73" s="95"/>
      <c r="K73" s="97"/>
    </row>
    <row r="74" spans="2:11" ht="19" x14ac:dyDescent="0.3">
      <c r="B74" s="111"/>
      <c r="C74" s="134"/>
      <c r="D74" s="135"/>
      <c r="E74" s="135"/>
      <c r="F74" s="135"/>
      <c r="G74" s="137"/>
      <c r="H74" s="137"/>
      <c r="I74" s="137"/>
      <c r="J74" s="95"/>
      <c r="K74" s="97"/>
    </row>
    <row r="75" spans="2:11" ht="16" x14ac:dyDescent="0.2">
      <c r="B75" s="95">
        <v>2600</v>
      </c>
      <c r="C75" s="135" t="str">
        <f>'Bilan début-fin'!C47</f>
        <v xml:space="preserve"> Emprunts hypothécaires </v>
      </c>
      <c r="D75" s="135"/>
      <c r="E75" s="135"/>
      <c r="F75" s="135"/>
      <c r="G75" s="138">
        <f>'Bilan début-fin'!E47</f>
        <v>243000</v>
      </c>
      <c r="H75" s="138">
        <f>'Bilan début-fin'!J47</f>
        <v>216000</v>
      </c>
      <c r="I75" s="139">
        <f>H75-G75</f>
        <v>-27000</v>
      </c>
      <c r="J75" s="95"/>
      <c r="K75" s="97"/>
    </row>
    <row r="76" spans="2:11" ht="16" x14ac:dyDescent="0.2">
      <c r="B76" s="95">
        <v>2700</v>
      </c>
      <c r="C76" s="135" t="str">
        <f>'Bilan début-fin'!C48</f>
        <v xml:space="preserve"> Emprunts obligataires</v>
      </c>
      <c r="D76" s="135"/>
      <c r="E76" s="135"/>
      <c r="F76" s="135"/>
      <c r="G76" s="138">
        <f>'Bilan début-fin'!E48</f>
        <v>0</v>
      </c>
      <c r="H76" s="138">
        <f>'Bilan début-fin'!J48</f>
        <v>0</v>
      </c>
      <c r="I76" s="139">
        <f>H76-G76</f>
        <v>0</v>
      </c>
      <c r="J76" s="95"/>
      <c r="K76" s="97"/>
    </row>
    <row r="77" spans="2:11" ht="16" x14ac:dyDescent="0.2">
      <c r="B77" s="95">
        <v>2800</v>
      </c>
      <c r="C77" s="135" t="str">
        <f>'Bilan début-fin'!C49</f>
        <v xml:space="preserve"> Obligations découlant de contrats de location-financement</v>
      </c>
      <c r="D77" s="135"/>
      <c r="E77" s="135"/>
      <c r="F77" s="135"/>
      <c r="G77" s="138">
        <f>'Bilan début-fin'!E49</f>
        <v>0</v>
      </c>
      <c r="H77" s="138">
        <f>'Bilan début-fin'!J49</f>
        <v>0</v>
      </c>
      <c r="I77" s="139">
        <f>H77-G77</f>
        <v>0</v>
      </c>
      <c r="J77" s="95"/>
      <c r="K77" s="97"/>
    </row>
    <row r="78" spans="2:11" ht="16" x14ac:dyDescent="0.2">
      <c r="B78" s="95">
        <v>2900</v>
      </c>
      <c r="C78" s="135" t="str">
        <f>'Bilan début-fin'!C50</f>
        <v xml:space="preserve"> Impôts différés</v>
      </c>
      <c r="D78" s="135"/>
      <c r="E78" s="135"/>
      <c r="F78" s="135"/>
      <c r="G78" s="138">
        <f>'Bilan début-fin'!E50</f>
        <v>0</v>
      </c>
      <c r="H78" s="138">
        <f>'Bilan début-fin'!J50</f>
        <v>0</v>
      </c>
      <c r="I78" s="139">
        <f>H78-G78</f>
        <v>0</v>
      </c>
      <c r="J78" s="95"/>
      <c r="K78" s="97"/>
    </row>
    <row r="79" spans="2:11" ht="19" x14ac:dyDescent="0.35">
      <c r="B79" s="95" t="s">
        <v>0</v>
      </c>
      <c r="C79" s="135" t="s">
        <v>0</v>
      </c>
      <c r="D79" s="135"/>
      <c r="E79" s="135"/>
      <c r="F79" s="135"/>
      <c r="G79" s="140">
        <f>+SUM(G75:G78)</f>
        <v>243000</v>
      </c>
      <c r="H79" s="140">
        <f>+SUM(H75:H78)</f>
        <v>216000</v>
      </c>
      <c r="I79" s="141">
        <f>H79-G79</f>
        <v>-27000</v>
      </c>
      <c r="J79" s="109" t="s">
        <v>0</v>
      </c>
      <c r="K79" s="230">
        <f>I79/J113</f>
        <v>-0.92307692307692313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2" t="s">
        <v>60</v>
      </c>
      <c r="D81" s="95"/>
      <c r="E81" s="95"/>
      <c r="F81" s="95"/>
      <c r="G81" s="143" t="s">
        <v>3</v>
      </c>
      <c r="H81" s="143" t="s">
        <v>4</v>
      </c>
      <c r="I81" s="143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4">
        <f>'Bilan début-fin'!E58</f>
        <v>350000</v>
      </c>
      <c r="H83" s="144">
        <f>'Bilan début-fin'!J58</f>
        <v>350000</v>
      </c>
      <c r="I83" s="145">
        <f>H83-G83</f>
        <v>0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4">
        <f>'Bilan début-fin'!E59</f>
        <v>0</v>
      </c>
      <c r="H84" s="144">
        <f>'Bilan début-fin'!J59</f>
        <v>0</v>
      </c>
      <c r="I84" s="145">
        <f>H84-G84</f>
        <v>0</v>
      </c>
      <c r="J84" s="95"/>
      <c r="K84" s="97"/>
    </row>
    <row r="85" spans="2:11" ht="16" x14ac:dyDescent="0.2">
      <c r="B85" s="146">
        <v>3200</v>
      </c>
      <c r="C85" s="146" t="str">
        <f>'Bilan début-fin'!C60</f>
        <v xml:space="preserve"> Résultats non distribués</v>
      </c>
      <c r="D85" s="146"/>
      <c r="E85" s="146"/>
      <c r="F85" s="146"/>
      <c r="G85" s="147">
        <f>'Bilan début-fin'!E60</f>
        <v>0</v>
      </c>
      <c r="H85" s="147">
        <f>'Bilan début-fin'!J60</f>
        <v>38387.5</v>
      </c>
      <c r="I85" s="148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4">
        <f>'Bilan début-fin'!E61</f>
        <v>0</v>
      </c>
      <c r="H86" s="144">
        <f>'Bilan début-fin'!J61</f>
        <v>0</v>
      </c>
      <c r="I86" s="145">
        <f>H86-G86</f>
        <v>0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4">
        <f>'Bilan début-fin'!E62</f>
        <v>0</v>
      </c>
      <c r="H87" s="144">
        <f>'Bilan début-fin'!J62</f>
        <v>0</v>
      </c>
      <c r="I87" s="145">
        <f>H87-G87</f>
        <v>0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350000</v>
      </c>
      <c r="H88" s="101">
        <f>+H83+H84+H86+H87</f>
        <v>350000</v>
      </c>
      <c r="I88" s="149">
        <f>+I83+I84+I86+I87</f>
        <v>0</v>
      </c>
      <c r="J88" s="109" t="s">
        <v>0</v>
      </c>
      <c r="K88" s="230">
        <f>I88/J113</f>
        <v>0</v>
      </c>
    </row>
    <row r="89" spans="2:11" ht="20" thickBot="1" x14ac:dyDescent="0.4">
      <c r="B89" s="95"/>
      <c r="C89" s="95"/>
      <c r="D89" s="95"/>
      <c r="E89" s="95"/>
      <c r="F89" s="95"/>
      <c r="G89" s="104"/>
      <c r="H89" s="150"/>
      <c r="I89" s="104"/>
      <c r="J89" s="109"/>
      <c r="K89" s="97"/>
    </row>
    <row r="90" spans="2:11" ht="21" thickTop="1" thickBot="1" x14ac:dyDescent="0.4">
      <c r="B90" s="277" t="s">
        <v>61</v>
      </c>
      <c r="C90" s="278"/>
      <c r="D90" s="278"/>
      <c r="E90" s="278"/>
      <c r="F90" s="278"/>
      <c r="G90" s="278"/>
      <c r="H90" s="278"/>
      <c r="I90" s="278"/>
      <c r="J90" s="132">
        <f>+I79+I88</f>
        <v>-27000</v>
      </c>
      <c r="K90" s="233">
        <f>J90/J113</f>
        <v>-0.92307692307692313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67" t="s">
        <v>62</v>
      </c>
      <c r="C92" s="279"/>
      <c r="D92" s="279"/>
      <c r="E92" s="279"/>
      <c r="F92" s="279"/>
      <c r="G92" s="279"/>
      <c r="H92" s="279"/>
      <c r="I92" s="279"/>
      <c r="J92" s="279"/>
      <c r="K92" s="280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51">
        <v>1000</v>
      </c>
      <c r="C94" s="142" t="s">
        <v>12</v>
      </c>
      <c r="D94" s="95"/>
      <c r="E94" s="95"/>
      <c r="F94" s="95"/>
      <c r="G94" s="143" t="s">
        <v>3</v>
      </c>
      <c r="H94" s="143" t="s">
        <v>4</v>
      </c>
      <c r="I94" s="143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4">
        <f>'Bilan début-fin'!E23</f>
        <v>0</v>
      </c>
      <c r="H96" s="144">
        <f>'Bilan début-fin'!J23</f>
        <v>50000</v>
      </c>
      <c r="I96" s="145">
        <f>G96-H96</f>
        <v>-50000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4">
        <f>'Bilan début-fin'!E24</f>
        <v>300000</v>
      </c>
      <c r="H97" s="144">
        <v>300000</v>
      </c>
      <c r="I97" s="145">
        <f>G97-H97</f>
        <v>0</v>
      </c>
      <c r="J97" s="95"/>
      <c r="K97" s="97"/>
    </row>
    <row r="98" spans="2:12" ht="16" x14ac:dyDescent="0.2">
      <c r="B98" s="146"/>
      <c r="C98" s="146" t="s">
        <v>109</v>
      </c>
      <c r="D98" s="146"/>
      <c r="E98" s="146"/>
      <c r="F98" s="146"/>
      <c r="G98" s="147">
        <v>0</v>
      </c>
      <c r="H98" s="147">
        <v>30000</v>
      </c>
      <c r="I98" s="148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4">
        <f>'Bilan début-fin'!E25</f>
        <v>50000</v>
      </c>
      <c r="H99" s="144">
        <v>50000</v>
      </c>
      <c r="I99" s="145">
        <f>G99-H99</f>
        <v>0</v>
      </c>
      <c r="J99" s="95"/>
      <c r="K99" s="97"/>
    </row>
    <row r="100" spans="2:12" ht="16" x14ac:dyDescent="0.2">
      <c r="B100" s="146"/>
      <c r="C100" s="146" t="s">
        <v>110</v>
      </c>
      <c r="D100" s="146"/>
      <c r="E100" s="146"/>
      <c r="F100" s="146"/>
      <c r="G100" s="147">
        <v>0</v>
      </c>
      <c r="H100" s="147">
        <v>10000</v>
      </c>
      <c r="I100" s="148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4">
        <f>'Bilan début-fin'!E26</f>
        <v>50000</v>
      </c>
      <c r="H101" s="144">
        <v>50000</v>
      </c>
      <c r="I101" s="145">
        <f>G101-H101</f>
        <v>0</v>
      </c>
      <c r="J101" s="95"/>
      <c r="K101" s="97"/>
    </row>
    <row r="102" spans="2:12" ht="16" x14ac:dyDescent="0.2">
      <c r="B102" s="146"/>
      <c r="C102" s="146" t="s">
        <v>111</v>
      </c>
      <c r="D102" s="146"/>
      <c r="E102" s="146"/>
      <c r="F102" s="146"/>
      <c r="G102" s="147">
        <v>0</v>
      </c>
      <c r="H102" s="147">
        <v>10000</v>
      </c>
      <c r="I102" s="148" t="s">
        <v>0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400000</v>
      </c>
      <c r="H103" s="101">
        <f>+H96+H97+H99+H101</f>
        <v>450000</v>
      </c>
      <c r="I103" s="149">
        <f>+G103-H103</f>
        <v>-50000</v>
      </c>
      <c r="J103" s="95"/>
      <c r="K103" s="234">
        <f>I103/J113</f>
        <v>-1.7094017094017093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77" t="s">
        <v>63</v>
      </c>
      <c r="C105" s="278"/>
      <c r="D105" s="278"/>
      <c r="E105" s="278"/>
      <c r="F105" s="278"/>
      <c r="G105" s="278"/>
      <c r="H105" s="278"/>
      <c r="I105" s="278"/>
      <c r="J105" s="152">
        <f>I103</f>
        <v>-50000</v>
      </c>
      <c r="K105" s="133">
        <f>J105/J113</f>
        <v>-1.7094017094017093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70" t="s">
        <v>64</v>
      </c>
      <c r="D107" s="270"/>
      <c r="E107" s="270"/>
      <c r="F107" s="270"/>
      <c r="G107" s="270"/>
      <c r="H107" s="270"/>
      <c r="I107" s="270"/>
      <c r="J107" s="153">
        <f>J69+J90+J105</f>
        <v>29250</v>
      </c>
      <c r="K107" s="230">
        <f>J107/J113</f>
        <v>1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4" t="s">
        <v>0</v>
      </c>
      <c r="K108" s="95"/>
    </row>
    <row r="109" spans="2:12" ht="16" x14ac:dyDescent="0.2">
      <c r="B109" s="95"/>
      <c r="C109" s="270" t="s">
        <v>65</v>
      </c>
      <c r="D109" s="270"/>
      <c r="E109" s="270"/>
      <c r="F109" s="270"/>
      <c r="G109" s="270"/>
      <c r="H109" s="270"/>
      <c r="I109" s="270"/>
      <c r="J109" s="155">
        <f>'Bilan début-fin'!E14</f>
        <v>0</v>
      </c>
      <c r="K109" s="238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4"/>
      <c r="K110" s="95" t="s">
        <v>0</v>
      </c>
    </row>
    <row r="111" spans="2:12" ht="21" thickTop="1" thickBot="1" x14ac:dyDescent="0.4">
      <c r="B111" s="95"/>
      <c r="C111" s="270" t="s">
        <v>66</v>
      </c>
      <c r="D111" s="270"/>
      <c r="E111" s="270"/>
      <c r="F111" s="270"/>
      <c r="G111" s="270"/>
      <c r="H111" s="270"/>
      <c r="I111" s="270"/>
      <c r="J111" s="156">
        <f>+J107+J109</f>
        <v>29250</v>
      </c>
      <c r="K111" s="237" t="s">
        <v>0</v>
      </c>
      <c r="L111" s="157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8"/>
      <c r="K112" s="95"/>
    </row>
    <row r="113" spans="2:12" ht="18" customHeight="1" thickTop="1" thickBot="1" x14ac:dyDescent="0.4">
      <c r="B113" s="95"/>
      <c r="C113" s="281" t="s">
        <v>67</v>
      </c>
      <c r="D113" s="281"/>
      <c r="E113" s="281"/>
      <c r="F113" s="281"/>
      <c r="G113" s="281"/>
      <c r="H113" s="281"/>
      <c r="I113" s="281"/>
      <c r="J113" s="236">
        <f>'Bilan début-fin'!J14</f>
        <v>29250</v>
      </c>
      <c r="K113" s="235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51" t="s">
        <v>68</v>
      </c>
      <c r="D115" s="271"/>
      <c r="E115" s="271"/>
      <c r="F115" s="271"/>
      <c r="G115" s="271"/>
      <c r="H115" s="271"/>
      <c r="I115" s="271"/>
      <c r="J115" s="159">
        <f>J111-J113</f>
        <v>0</v>
      </c>
      <c r="K115" s="234">
        <f>J115/J113</f>
        <v>0</v>
      </c>
      <c r="L115" s="93" t="s">
        <v>0</v>
      </c>
    </row>
    <row r="116" spans="2:12" x14ac:dyDescent="0.15">
      <c r="J116" s="157" t="s">
        <v>0</v>
      </c>
    </row>
    <row r="117" spans="2:12" x14ac:dyDescent="0.15">
      <c r="J117" s="157" t="s">
        <v>0</v>
      </c>
    </row>
    <row r="118" spans="2:12" x14ac:dyDescent="0.15">
      <c r="J118" s="157"/>
    </row>
    <row r="119" spans="2:12" x14ac:dyDescent="0.15">
      <c r="J119" s="157"/>
    </row>
    <row r="120" spans="2:12" x14ac:dyDescent="0.15">
      <c r="J120" s="157"/>
    </row>
    <row r="121" spans="2:12" x14ac:dyDescent="0.15">
      <c r="J121" s="157"/>
    </row>
    <row r="122" spans="2:12" x14ac:dyDescent="0.15">
      <c r="J122" s="157"/>
    </row>
  </sheetData>
  <mergeCells count="24"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2022-03-24T17:01:29Z</dcterms:modified>
</cp:coreProperties>
</file>