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9EFC25A4-F08B-5D4D-AEE1-A2EA26B768C2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3" i="2" l="1"/>
  <c r="J109" i="2"/>
  <c r="I101" i="2"/>
  <c r="I99" i="2"/>
  <c r="I97" i="2"/>
  <c r="H96" i="2"/>
  <c r="G101" i="2"/>
  <c r="G99" i="2"/>
  <c r="G97" i="2"/>
  <c r="G96" i="2"/>
  <c r="I96" i="2" s="1"/>
  <c r="I103" i="2" s="1"/>
  <c r="I87" i="2"/>
  <c r="I86" i="2"/>
  <c r="I84" i="2"/>
  <c r="I83" i="2"/>
  <c r="H87" i="2"/>
  <c r="H86" i="2"/>
  <c r="H85" i="2"/>
  <c r="H84" i="2"/>
  <c r="H83" i="2"/>
  <c r="G87" i="2"/>
  <c r="G86" i="2"/>
  <c r="G85" i="2"/>
  <c r="G84" i="2"/>
  <c r="G83" i="2"/>
  <c r="I76" i="2"/>
  <c r="I77" i="2"/>
  <c r="I78" i="2"/>
  <c r="I75" i="2"/>
  <c r="H78" i="2"/>
  <c r="H77" i="2"/>
  <c r="H76" i="2"/>
  <c r="H75" i="2"/>
  <c r="G78" i="2"/>
  <c r="G77" i="2"/>
  <c r="G76" i="2"/>
  <c r="G75" i="2"/>
  <c r="I61" i="2"/>
  <c r="I62" i="2"/>
  <c r="I63" i="2"/>
  <c r="I58" i="2"/>
  <c r="H63" i="2"/>
  <c r="H62" i="2"/>
  <c r="H61" i="2"/>
  <c r="H60" i="2"/>
  <c r="H59" i="2"/>
  <c r="H58" i="2"/>
  <c r="G63" i="2"/>
  <c r="G62" i="2"/>
  <c r="G61" i="2"/>
  <c r="G60" i="2"/>
  <c r="I60" i="2" s="1"/>
  <c r="G59" i="2"/>
  <c r="I59" i="2" s="1"/>
  <c r="G58" i="2"/>
  <c r="I52" i="2"/>
  <c r="I53" i="2"/>
  <c r="I51" i="2"/>
  <c r="H53" i="2"/>
  <c r="H52" i="2"/>
  <c r="H51" i="2"/>
  <c r="G53" i="2"/>
  <c r="G52" i="2"/>
  <c r="G51" i="2"/>
  <c r="J45" i="2"/>
  <c r="J39" i="2"/>
  <c r="J34" i="2"/>
  <c r="J33" i="2"/>
  <c r="J28" i="2"/>
  <c r="J27" i="2"/>
  <c r="J26" i="2"/>
  <c r="J25" i="2"/>
  <c r="J24" i="2"/>
  <c r="J23" i="2"/>
  <c r="J22" i="2"/>
  <c r="J21" i="2"/>
  <c r="J16" i="2"/>
  <c r="J15" i="2"/>
  <c r="J10" i="2"/>
  <c r="J9" i="2"/>
  <c r="J8" i="2"/>
  <c r="J7" i="2"/>
  <c r="J38" i="1"/>
  <c r="B31" i="2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K113" i="2"/>
  <c r="J62" i="1"/>
  <c r="J61" i="1"/>
  <c r="J59" i="1"/>
  <c r="J58" i="1"/>
  <c r="B3" i="2"/>
  <c r="C2" i="3"/>
  <c r="E15" i="3"/>
  <c r="E20" i="3"/>
  <c r="E21" i="3" s="1"/>
  <c r="E24" i="3"/>
  <c r="F6" i="3" l="1"/>
  <c r="F13" i="3"/>
  <c r="E34" i="3"/>
  <c r="F12" i="3"/>
  <c r="E33" i="3"/>
  <c r="E40" i="3"/>
  <c r="J35" i="2" s="1"/>
  <c r="E30" i="3"/>
  <c r="E32" i="3"/>
  <c r="E35" i="3"/>
  <c r="F11" i="3"/>
  <c r="E29" i="3"/>
  <c r="E31" i="3"/>
  <c r="F14" i="3"/>
  <c r="E28" i="3"/>
  <c r="F20" i="3"/>
  <c r="F21" i="3"/>
  <c r="F24" i="3"/>
  <c r="F17" i="3"/>
  <c r="F22" i="3"/>
  <c r="F41" i="3"/>
  <c r="F40" i="3"/>
  <c r="F35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F30" i="3" l="1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F43" i="3" l="1"/>
  <c r="F45" i="3"/>
  <c r="J43" i="2"/>
  <c r="J47" i="2" s="1"/>
  <c r="H64" i="2"/>
  <c r="I64" i="2" s="1"/>
  <c r="E47" i="3"/>
  <c r="K43" i="2" l="1"/>
  <c r="F47" i="3"/>
  <c r="J60" i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<sst xmlns="http://schemas.openxmlformats.org/spreadsheetml/2006/main" count="239" uniqueCount="113">
  <si>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</si>
  <si>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</si>
  <si>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</si>
  <si>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</si>
  <si>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</si>
  <si>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</si>
  <si>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</si>
  <si>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</si>
  <si>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</si>
  <si>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</si>
  <si>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</si>
  <si>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</si>
  <si>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</si>
  <si>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</si>
  <si>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</si>
  <si>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</si>
  <si>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</si>
  <si>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</si>
  <si>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</si>
  <si>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</si>
  <si>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</si>
  <si>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</si>
  <si>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</si>
  <si>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</si>
  <si>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</si>
  <si>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</si>
  <si>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</si>
  <si>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</si>
  <si>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</si>
  <si>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</si>
  <si>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</si>
  <si>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</si>
  <si>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</si>
  <si>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</si>
  <si>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</si>
  <si>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</si>
  <si>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</si>
  <si>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</si>
  <si>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</si>
  <si>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</si>
  <si>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</si>
  <si>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</si>
  <si>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</si>
  <si>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</si>
  <si>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</si>
  <si>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</si>
  <si>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</si>
  <si>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</si>
  <si>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</si>
  <si>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</si>
  <si>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</si>
  <si>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</si>
  <si>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</si>
  <si>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</si>
  <si>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</si>
  <si>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</si>
  <si>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</si>
  <si>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</si>
  <si>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</si>
  <si>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</si>
  <si>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</si>
  <si>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</si>
  <si>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</si>
  <si>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</si>
  <si>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</si>
  <si>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</si>
  <si>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</si>
  <si>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</si>
  <si>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</si>
  <si>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</si>
  <si>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</si>
  <si>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</si>
  <si>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</si>
  <si>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</si>
  <si>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</si>
  <si>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</si>
  <si>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</si>
  <si>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</si>
  <si>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</si>
  <si>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</si>
  <si>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</si>
  <si>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</si>
  <si>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</si>
  <si>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</si>
  <si>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</si>
  <si>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</si>
  <si>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</si>
  <si>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</si>
  <si>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</si>
  <si>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</si>
  <si>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</si>
  <si>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</si>
  <si>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</si>
  <si>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</si>
  <si>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</si>
  <si>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</si>
  <si>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</si>
  <si>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</si>
  <si>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</si>
  <si>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</si>
  <si>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</si>
  <si>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</si>
  <si>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</si>
  <si>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</si>
  <si>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</si>
  <si>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</si>
  <si>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</si>
  <si>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</si>
  <si>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</si>
  <si>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</si>
  <si>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</si>
  <si>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</si>
  <si>
    <t xml:space="preserve">Chez Laurie B.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</si>
</sst>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1" fillId="6" borderId="9" xfId="2" applyFont="1" applyFill="1" applyBorder="1" applyAlignment="1">
      <alignment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30" fillId="0" borderId="0" xfId="2" applyFont="1" applyAlignment="1">
      <alignment horizontal="right" vertical="center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G26" sqref="G26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112</v>
      </c>
      <c r="D2" s="81"/>
      <c r="H2" s="1" t="str">
        <f>C2</f>
        <v xml:space="preserve">Chez Laurie B. inc. </v>
      </c>
      <c r="I2" s="81"/>
      <c r="AL2" t="s">
        <v>0</v>
      </c>
    </row>
    <row r="3" spans="3:52" x14ac:dyDescent="0.15">
      <c r="C3" s="250" t="s">
        <v>104</v>
      </c>
      <c r="D3" s="81"/>
      <c r="H3" s="250" t="s">
        <v>105</v>
      </c>
      <c r="I3" s="81"/>
      <c r="AL3" t="s">
        <v>0</v>
      </c>
    </row>
    <row r="4" spans="3:52" ht="14" thickBot="1" x14ac:dyDescent="0.2">
      <c r="C4" s="251"/>
      <c r="D4" s="81"/>
      <c r="H4" s="251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12000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11096.428571428571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70</v>
      </c>
      <c r="D7" s="81"/>
      <c r="E7" s="8" t="s">
        <v>0</v>
      </c>
      <c r="F7" s="9"/>
      <c r="G7" s="6"/>
      <c r="H7" s="7">
        <f>C7</f>
        <v>70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12000</v>
      </c>
      <c r="D9" s="81"/>
      <c r="E9" s="11" t="s">
        <v>3</v>
      </c>
      <c r="F9" s="15" t="s">
        <v>0</v>
      </c>
      <c r="G9" s="16"/>
      <c r="H9" s="14">
        <f>+J30/H7</f>
        <v>11096.428571428571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100000</v>
      </c>
      <c r="F14" s="21">
        <f>E14/E30</f>
        <v>0.11904761904761904</v>
      </c>
      <c r="H14" s="17" t="str">
        <f>C14</f>
        <v xml:space="preserve"> Trésorerie et équivalent de trésorerie</v>
      </c>
      <c r="I14" s="81"/>
      <c r="J14" s="225">
        <v>51750</v>
      </c>
      <c r="K14" s="21">
        <f>J14/J30</f>
        <v>6.6623752816221432E-2</v>
      </c>
    </row>
    <row r="15" spans="3:52" ht="14" thickTop="1" x14ac:dyDescent="0.15">
      <c r="C15" s="17" t="s">
        <v>8</v>
      </c>
      <c r="D15" s="81"/>
      <c r="E15" s="22">
        <v>110000</v>
      </c>
      <c r="F15" s="21">
        <f>E15/E30</f>
        <v>0.13095238095238096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0.12874155133569359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0.1130952380952381</v>
      </c>
      <c r="H16" s="17" t="str">
        <f>C16</f>
        <v xml:space="preserve"> Stocks</v>
      </c>
      <c r="I16" s="81"/>
      <c r="J16" s="22">
        <v>105000</v>
      </c>
      <c r="K16" s="21">
        <f>J16/J30</f>
        <v>0.13517862890247828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4.1666666666666664E-2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2.5748310267138717E-2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340000</v>
      </c>
      <c r="F19" s="63">
        <f>E19/E30</f>
        <v>0.40476190476190477</v>
      </c>
      <c r="H19" s="61" t="str">
        <f>C19</f>
        <v>Total des actifs courants</v>
      </c>
      <c r="I19" s="82"/>
      <c r="J19" s="62">
        <f>SUM(J14:J17)</f>
        <v>276750</v>
      </c>
      <c r="K19" s="63">
        <f>J19/J30</f>
        <v>0.35629224332153203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5.9523809523809521E-2</v>
      </c>
      <c r="H23" s="90" t="str">
        <f>C23</f>
        <v xml:space="preserve"> Placements</v>
      </c>
      <c r="I23" s="81"/>
      <c r="J23" s="22">
        <v>100000</v>
      </c>
      <c r="K23" s="25">
        <f>J23/J30</f>
        <v>0.12874155133569359</v>
      </c>
    </row>
    <row r="24" spans="2:52" x14ac:dyDescent="0.15">
      <c r="C24" s="90" t="s">
        <v>14</v>
      </c>
      <c r="D24" s="81"/>
      <c r="E24" s="22">
        <v>350000</v>
      </c>
      <c r="F24" s="25">
        <f>E24/E30</f>
        <v>0.41666666666666669</v>
      </c>
      <c r="H24" s="90" t="str">
        <f>C24</f>
        <v xml:space="preserve"> Immobilisations corporelles </v>
      </c>
      <c r="I24" s="81"/>
      <c r="J24" s="22">
        <v>315000</v>
      </c>
      <c r="K24" s="25">
        <f>J24/J30</f>
        <v>0.40553588670743485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5.9523809523809521E-2</v>
      </c>
      <c r="H25" s="90" t="str">
        <f>C25</f>
        <v xml:space="preserve"> Immobilisations incorporelles</v>
      </c>
      <c r="I25" s="81"/>
      <c r="J25" s="22">
        <v>45000</v>
      </c>
      <c r="K25" s="25">
        <f>J25/J30</f>
        <v>5.7933698101062116E-2</v>
      </c>
      <c r="N25" s="239" t="s">
        <v>100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5.9523809523809521E-2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5.1496620534277435E-2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500000</v>
      </c>
      <c r="F28" s="66">
        <f>E28/E30</f>
        <v>0.59523809523809523</v>
      </c>
      <c r="H28" s="59" t="str">
        <f>C28</f>
        <v>Total des actifs non courant</v>
      </c>
      <c r="I28" s="83"/>
      <c r="J28" s="65">
        <f>SUM(J23:J26)</f>
        <v>500000</v>
      </c>
      <c r="K28" s="66">
        <f>J28/J30</f>
        <v>0.64370775667846802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840000</v>
      </c>
      <c r="F30" s="69">
        <f>E30/E30</f>
        <v>1</v>
      </c>
      <c r="H30" s="67" t="str">
        <f>C30</f>
        <v>TOTAL DES ACTIFS</v>
      </c>
      <c r="I30" s="83"/>
      <c r="J30" s="79">
        <f>+J19+J28</f>
        <v>776750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50000</v>
      </c>
      <c r="F37" s="25">
        <f>E37/E30</f>
        <v>5.9523809523809521E-2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25000</v>
      </c>
      <c r="F38" s="25">
        <f>E38/E30</f>
        <v>2.976190476190476E-2</v>
      </c>
      <c r="H38" s="17" t="str">
        <f t="shared" si="0"/>
        <v xml:space="preserve"> Fournisseurs et autres créditeurs </v>
      </c>
      <c r="I38" s="81"/>
      <c r="J38" s="34">
        <f>+'État des Résultats'!E45+(30000)</f>
        <v>32385</v>
      </c>
      <c r="K38" s="25">
        <f>J38/J30</f>
        <v>4.1692951400064369E-2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31500</v>
      </c>
      <c r="F41" s="25">
        <f>E41/E30</f>
        <v>3.7499999999999999E-2</v>
      </c>
      <c r="H41" s="17" t="str">
        <f t="shared" si="0"/>
        <v xml:space="preserve"> Partie courante de la dette</v>
      </c>
      <c r="I41" s="81"/>
      <c r="J41" s="34">
        <v>31500</v>
      </c>
      <c r="K41" s="25">
        <f>J41/J30</f>
        <v>4.0553588670743483E-2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106500</v>
      </c>
      <c r="F43" s="73">
        <f>E43/E30</f>
        <v>0.12678571428571428</v>
      </c>
      <c r="H43" s="59" t="str">
        <f>C43</f>
        <v>Total des passifs courants</v>
      </c>
      <c r="I43" s="81"/>
      <c r="J43" s="72">
        <f>SUM(J36:J41)</f>
        <v>63885</v>
      </c>
      <c r="K43" s="73">
        <f>J43/J30</f>
        <v>8.2246540070807853E-2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v>283500</v>
      </c>
      <c r="F47" s="25">
        <f>E47/E30</f>
        <v>0.33750000000000002</v>
      </c>
      <c r="H47" s="17" t="str">
        <f>C47</f>
        <v xml:space="preserve"> Emprunts hypothécaires </v>
      </c>
      <c r="I47" s="81"/>
      <c r="J47" s="34">
        <v>252000</v>
      </c>
      <c r="K47" s="25">
        <f>J47/J30</f>
        <v>0.32442870936594786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283500</v>
      </c>
      <c r="F52" s="63">
        <f>E52/E30</f>
        <v>0.33750000000000002</v>
      </c>
      <c r="H52" s="61" t="str">
        <f>C52</f>
        <v>Total des passifs non courant</v>
      </c>
      <c r="I52" s="82"/>
      <c r="J52" s="74">
        <f>+SUM(J47:J50)</f>
        <v>252000</v>
      </c>
      <c r="K52" s="63">
        <f>J52/J30</f>
        <v>0.32442870936594786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390000</v>
      </c>
      <c r="F54" s="70">
        <f>E54/E30</f>
        <v>0.4642857142857143</v>
      </c>
      <c r="H54" s="75" t="str">
        <f>C54</f>
        <v>TOTAL DES PASSIFS</v>
      </c>
      <c r="I54" s="86"/>
      <c r="J54" s="68">
        <f>+J43+J52</f>
        <v>315885</v>
      </c>
      <c r="K54" s="70">
        <f>J54/J30</f>
        <v>0.4066752494367557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450000</v>
      </c>
      <c r="F58" s="44">
        <f>E58/$E$30</f>
        <v>0.5357142857142857</v>
      </c>
      <c r="H58" s="92" t="str">
        <f>C58</f>
        <v xml:space="preserve"> Capital actions</v>
      </c>
      <c r="I58" s="84"/>
      <c r="J58" s="34">
        <f>E58</f>
        <v>450000</v>
      </c>
      <c r="K58" s="44">
        <f>J58/$J$30</f>
        <v>0.57933698101062114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10865</v>
      </c>
      <c r="K60" s="44">
        <f>J60/$J$30</f>
        <v>1.3987769552623109E-2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450000</v>
      </c>
      <c r="F64" s="78">
        <f>E64/E30</f>
        <v>0.5357142857142857</v>
      </c>
      <c r="H64" s="75" t="str">
        <f>C64</f>
        <v>Total des capitaux propres</v>
      </c>
      <c r="I64" s="82"/>
      <c r="J64" s="77">
        <f>+SUM(J58:J62)</f>
        <v>460865</v>
      </c>
      <c r="K64" s="78">
        <f>J64/J30</f>
        <v>0.5933247505632443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840000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776750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9" activePane="bottomRight" state="frozen"/>
      <selection pane="topRight" activeCell="C1" sqref="C1"/>
      <selection pane="bottomLeft" activeCell="A10" sqref="A10"/>
      <selection pane="bottomRight" activeCell="E40" sqref="E40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 xml:space="preserve">Chez Laurie B. inc. </v>
      </c>
      <c r="D2" s="171"/>
      <c r="AL2" s="93" t="s">
        <v>0</v>
      </c>
    </row>
    <row r="3" spans="3:52" x14ac:dyDescent="0.15">
      <c r="C3" s="252" t="s">
        <v>106</v>
      </c>
      <c r="D3" s="171"/>
      <c r="AL3" s="93" t="s">
        <v>0</v>
      </c>
    </row>
    <row r="4" spans="3:52" ht="14" thickBot="1" x14ac:dyDescent="0.2">
      <c r="C4" s="253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45.133437990580845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70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16428.571428571428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1000000</v>
      </c>
      <c r="F12" s="220">
        <f t="shared" ref="F12:F14" si="0">+E12/E$15</f>
        <v>0.86956521739130432</v>
      </c>
    </row>
    <row r="13" spans="3:52" x14ac:dyDescent="0.15">
      <c r="C13" s="188" t="s">
        <v>82</v>
      </c>
      <c r="D13" s="170"/>
      <c r="E13" s="222">
        <v>100000</v>
      </c>
      <c r="F13" s="220">
        <f t="shared" si="0"/>
        <v>8.6956521739130432E-2</v>
      </c>
    </row>
    <row r="14" spans="3:52" ht="14" thickBot="1" x14ac:dyDescent="0.2">
      <c r="C14" s="180" t="s">
        <v>83</v>
      </c>
      <c r="D14" s="170"/>
      <c r="E14" s="221">
        <v>50000</v>
      </c>
      <c r="F14" s="220">
        <f t="shared" si="0"/>
        <v>4.3478260869565216E-2</v>
      </c>
    </row>
    <row r="15" spans="3:52" ht="15" thickTop="1" thickBot="1" x14ac:dyDescent="0.2">
      <c r="C15" s="185" t="s">
        <v>77</v>
      </c>
      <c r="D15" s="166"/>
      <c r="E15" s="198">
        <f>+SUM(E12:E14)</f>
        <v>1150000</v>
      </c>
      <c r="F15" s="183">
        <f>SUM(F11:F14)</f>
        <v>1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44">
        <v>340000</v>
      </c>
      <c r="F17" s="195">
        <f>+E17/E$15</f>
        <v>0.29565217391304349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312499.99999999994</v>
      </c>
      <c r="F20" s="173">
        <f>+E20/E$15</f>
        <v>0.27173913043478254</v>
      </c>
    </row>
    <row r="21" spans="2:52" x14ac:dyDescent="0.15">
      <c r="C21" s="188" t="s">
        <v>85</v>
      </c>
      <c r="D21" s="170"/>
      <c r="E21" s="194">
        <f>E51*E20</f>
        <v>40624.999999999993</v>
      </c>
      <c r="F21" s="173">
        <f>E21/E$15</f>
        <v>3.5326086956521729E-2</v>
      </c>
      <c r="H21" s="153"/>
      <c r="I21" s="156"/>
    </row>
    <row r="22" spans="2:52" x14ac:dyDescent="0.15">
      <c r="C22" s="216" t="s">
        <v>107</v>
      </c>
      <c r="D22" s="193"/>
      <c r="E22" s="244">
        <v>350000</v>
      </c>
      <c r="F22" s="192">
        <f>E22/E$15</f>
        <v>0.30434782608695654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690000</v>
      </c>
      <c r="F24" s="192">
        <f>E24/E$15</f>
        <v>0.6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460000</v>
      </c>
      <c r="F26" s="183">
        <f>E26/E$15</f>
        <v>0.4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43">
        <f>0.05*E15</f>
        <v>57500</v>
      </c>
      <c r="F28" s="173">
        <f>E28/$E$15</f>
        <v>0.05</v>
      </c>
    </row>
    <row r="29" spans="2:52" x14ac:dyDescent="0.15">
      <c r="C29" s="190" t="s">
        <v>87</v>
      </c>
      <c r="D29" s="189"/>
      <c r="E29" s="243">
        <f>0.02*E15</f>
        <v>23000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43">
        <f>0.01*E15</f>
        <v>11500</v>
      </c>
      <c r="F30" s="173">
        <f t="shared" si="1"/>
        <v>0.01</v>
      </c>
    </row>
    <row r="31" spans="2:52" x14ac:dyDescent="0.15">
      <c r="C31" s="190" t="s">
        <v>89</v>
      </c>
      <c r="D31" s="189"/>
      <c r="E31" s="243">
        <f>0.1*E15</f>
        <v>115000</v>
      </c>
      <c r="F31" s="173">
        <f t="shared" si="1"/>
        <v>0.1</v>
      </c>
    </row>
    <row r="32" spans="2:52" x14ac:dyDescent="0.15">
      <c r="C32" s="188" t="s">
        <v>90</v>
      </c>
      <c r="D32" s="170"/>
      <c r="E32" s="243">
        <f>0.03*E15</f>
        <v>34500</v>
      </c>
      <c r="F32" s="173">
        <f t="shared" si="1"/>
        <v>0.03</v>
      </c>
    </row>
    <row r="33" spans="3:52" x14ac:dyDescent="0.15">
      <c r="C33" s="188" t="s">
        <v>91</v>
      </c>
      <c r="D33" s="170"/>
      <c r="E33" s="243">
        <f>0.05*E15</f>
        <v>57500</v>
      </c>
      <c r="F33" s="173">
        <f t="shared" si="1"/>
        <v>0.05</v>
      </c>
    </row>
    <row r="34" spans="3:52" x14ac:dyDescent="0.15">
      <c r="C34" s="188" t="s">
        <v>92</v>
      </c>
      <c r="D34" s="170"/>
      <c r="E34" s="243">
        <f>0.05*E15</f>
        <v>57500</v>
      </c>
      <c r="F34" s="173">
        <f t="shared" si="1"/>
        <v>0.05</v>
      </c>
    </row>
    <row r="35" spans="3:52" x14ac:dyDescent="0.15">
      <c r="C35" s="188" t="s">
        <v>93</v>
      </c>
      <c r="D35" s="170"/>
      <c r="E35" s="243">
        <f>0.005*E15</f>
        <v>5750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362250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97750</v>
      </c>
      <c r="F38" s="183">
        <f>E38/E$15</f>
        <v>8.5000000000000006E-2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43">
        <f>0.03*E15</f>
        <v>34500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43">
        <v>50000</v>
      </c>
      <c r="F41" s="173">
        <f>E41/E$15</f>
        <v>4.3478260869565216E-2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13250</v>
      </c>
      <c r="F43" s="177">
        <f>E43/E$15</f>
        <v>1.1521739130434782E-2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2385</v>
      </c>
      <c r="F45" s="173">
        <f>E45/E$15</f>
        <v>2.0739130434782611E-3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10865</v>
      </c>
      <c r="F47" s="164">
        <f>E47/E$15</f>
        <v>9.4478260869565213E-3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45">
        <v>0.18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45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sheetProtection algorithmName="SHA-512" hashValue="RlU2XJY9WroPzoZlRYJCcDIdlVkeggDkif/Up6zCzwvVfcgyuF2STVt4Uy1lXF1Vi/lmy4fImfyh/YbxpMn0tg==" saltValue="qvZ+gbqX0M2ncc9kGrVAVw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71" t="s">
        <v>47</v>
      </c>
      <c r="C2" s="272"/>
      <c r="D2" s="272"/>
      <c r="E2" s="272"/>
      <c r="F2" s="272"/>
      <c r="G2" s="272"/>
      <c r="H2" s="272"/>
      <c r="I2" s="272"/>
      <c r="J2" s="272"/>
      <c r="K2" s="273"/>
    </row>
    <row r="3" spans="2:11" ht="14" customHeight="1" x14ac:dyDescent="0.2">
      <c r="B3" s="271" t="str">
        <f>'Bilan début-fin'!C2</f>
        <v xml:space="preserve">Chez Laurie B. inc. </v>
      </c>
      <c r="C3" s="272"/>
      <c r="D3" s="272"/>
      <c r="E3" s="272"/>
      <c r="F3" s="272"/>
      <c r="G3" s="272"/>
      <c r="H3" s="272"/>
      <c r="I3" s="272"/>
      <c r="J3" s="272"/>
      <c r="K3" s="273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74" t="str">
        <f>'État des Résultats'!C10</f>
        <v>Revenus</v>
      </c>
      <c r="C5" s="275"/>
      <c r="D5" s="275"/>
      <c r="E5" s="275"/>
      <c r="F5" s="275"/>
      <c r="G5" s="275"/>
      <c r="H5" s="275"/>
      <c r="I5" s="275"/>
      <c r="J5" s="275"/>
      <c r="K5" s="276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f>'État des Résultats'!E11</f>
        <v>0</v>
      </c>
      <c r="K7" s="97"/>
    </row>
    <row r="8" spans="2:11" ht="16" x14ac:dyDescent="0.2">
      <c r="B8" s="95">
        <v>4200</v>
      </c>
      <c r="C8" s="277" t="str">
        <f>'État des Résultats'!C12</f>
        <v xml:space="preserve"> Nourriture</v>
      </c>
      <c r="D8" s="277"/>
      <c r="E8" s="277"/>
      <c r="F8" s="95"/>
      <c r="G8" s="95"/>
      <c r="H8" s="95"/>
      <c r="I8" s="95"/>
      <c r="J8" s="99">
        <f>'État des Résultats'!E12</f>
        <v>1000000</v>
      </c>
      <c r="K8" s="97"/>
    </row>
    <row r="9" spans="2:11" ht="16" x14ac:dyDescent="0.2">
      <c r="B9" s="95">
        <v>4300</v>
      </c>
      <c r="C9" s="277" t="str">
        <f>'État des Résultats'!C13</f>
        <v xml:space="preserve"> Boisson</v>
      </c>
      <c r="D9" s="277"/>
      <c r="E9" s="277"/>
      <c r="F9" s="95"/>
      <c r="G9" s="95"/>
      <c r="H9" s="95"/>
      <c r="I9" s="95"/>
      <c r="J9" s="99">
        <f>'État des Résultats'!E13</f>
        <v>100000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f>'État des Résultats'!E14</f>
        <v>50000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1150000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74" t="str">
        <f>'État des Résultats'!C24</f>
        <v xml:space="preserve">   « Prime Cost »</v>
      </c>
      <c r="C13" s="275"/>
      <c r="D13" s="275"/>
      <c r="E13" s="275"/>
      <c r="F13" s="275"/>
      <c r="G13" s="275"/>
      <c r="H13" s="275"/>
      <c r="I13" s="275"/>
      <c r="J13" s="275"/>
      <c r="K13" s="276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f>'État des Résultats'!E17</f>
        <v>340000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f>'État des Résultats'!E22</f>
        <v>350000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690000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74" t="s">
        <v>50</v>
      </c>
      <c r="C19" s="278"/>
      <c r="D19" s="278"/>
      <c r="E19" s="278"/>
      <c r="F19" s="278"/>
      <c r="G19" s="278"/>
      <c r="H19" s="278"/>
      <c r="I19" s="278"/>
      <c r="J19" s="278"/>
      <c r="K19" s="279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f>'État des Résultats'!E28</f>
        <v>57500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f>'État des Résultats'!E29</f>
        <v>23000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f>'État des Résultats'!E30</f>
        <v>11500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f>'État des Résultats'!E31</f>
        <v>115000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f>'État des Résultats'!E32</f>
        <v>34500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f>'État des Résultats'!E33</f>
        <v>57500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f>'État des Résultats'!E34</f>
        <v>57500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f>'État des Résultats'!E35</f>
        <v>5750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362250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74" t="str">
        <f>'État des Résultats'!C38</f>
        <v>Bénéfices nets avant frais financiers, amort. et impôt (BAIIA)</v>
      </c>
      <c r="C31" s="280"/>
      <c r="D31" s="280"/>
      <c r="E31" s="280"/>
      <c r="F31" s="280"/>
      <c r="G31" s="280"/>
      <c r="H31" s="280"/>
      <c r="I31" s="280"/>
      <c r="J31" s="280"/>
      <c r="K31" s="281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f>'État des Résultats'!E40</f>
        <v>34500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f>'État des Résultats'!E41</f>
        <v>50000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84500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82" t="str">
        <f>'État des Résultats'!C45</f>
        <v xml:space="preserve"> Impôts </v>
      </c>
      <c r="C37" s="283"/>
      <c r="D37" s="283"/>
      <c r="E37" s="283"/>
      <c r="F37" s="283"/>
      <c r="G37" s="283"/>
      <c r="H37" s="283"/>
      <c r="I37" s="283"/>
      <c r="J37" s="283"/>
      <c r="K37" s="284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f>'État des Résultats'!E45</f>
        <v>2385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65" t="s">
        <v>52</v>
      </c>
      <c r="C41" s="261"/>
      <c r="D41" s="261"/>
      <c r="E41" s="261"/>
      <c r="F41" s="261"/>
      <c r="G41" s="261"/>
      <c r="H41" s="261"/>
      <c r="I41" s="261"/>
      <c r="J41" s="261"/>
      <c r="K41" s="262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68" t="s">
        <v>53</v>
      </c>
      <c r="D43" s="268"/>
      <c r="E43" s="268"/>
      <c r="F43" s="268"/>
      <c r="G43" s="268"/>
      <c r="H43" s="268"/>
      <c r="I43" s="268"/>
      <c r="J43" s="101">
        <f>+J11-(J17+J29+J35+J39)</f>
        <v>10865</v>
      </c>
      <c r="K43" s="226">
        <f>+J43/J113</f>
        <v>0.20995169082125603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4" t="s">
        <v>54</v>
      </c>
      <c r="D45" s="270"/>
      <c r="E45" s="270"/>
      <c r="F45" s="270"/>
      <c r="G45" s="270"/>
      <c r="H45" s="270"/>
      <c r="I45" s="270"/>
      <c r="J45" s="108">
        <f>'État des Résultats'!E41</f>
        <v>50000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56" t="s">
        <v>55</v>
      </c>
      <c r="D47" s="256"/>
      <c r="E47" s="256"/>
      <c r="F47" s="256"/>
      <c r="G47" s="256"/>
      <c r="H47" s="256"/>
      <c r="I47" s="256"/>
      <c r="J47" s="101">
        <f>+J43+J45</f>
        <v>60865</v>
      </c>
      <c r="K47" s="226">
        <f>J47/J113</f>
        <v>1.1761352657004831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f>'Bilan début-fin'!E15</f>
        <v>110000</v>
      </c>
      <c r="H51" s="116">
        <f>'Bilan début-fin'!J15</f>
        <v>100000</v>
      </c>
      <c r="I51" s="246">
        <f>G51-H51</f>
        <v>10000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f>'Bilan début-fin'!E16</f>
        <v>95000</v>
      </c>
      <c r="H52" s="116">
        <f>'Bilan début-fin'!J16</f>
        <v>105000</v>
      </c>
      <c r="I52" s="246">
        <f t="shared" ref="I52:I53" si="0">G52-H52</f>
        <v>-10000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f>'Bilan début-fin'!E17</f>
        <v>35000</v>
      </c>
      <c r="H53" s="116">
        <f>'Bilan début-fin'!J17</f>
        <v>20000</v>
      </c>
      <c r="I53" s="246">
        <f t="shared" si="0"/>
        <v>15000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240000</v>
      </c>
      <c r="H54" s="117">
        <f>+SUM(H51:H53)</f>
        <v>225000</v>
      </c>
      <c r="I54" s="118">
        <f>G54-H54</f>
        <v>15000</v>
      </c>
      <c r="J54" s="119" t="s">
        <v>0</v>
      </c>
      <c r="K54" s="228">
        <f>I54/J113</f>
        <v>0.28985507246376813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f>'Bilan début-fin'!E36</f>
        <v>0</v>
      </c>
      <c r="H58" s="116">
        <f>'Bilan début-fin'!J36</f>
        <v>0</v>
      </c>
      <c r="I58" s="246">
        <f>H58-G58</f>
        <v>0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f>'Bilan début-fin'!E37</f>
        <v>50000</v>
      </c>
      <c r="H59" s="116">
        <f>'Bilan début-fin'!J37</f>
        <v>0</v>
      </c>
      <c r="I59" s="246">
        <f t="shared" ref="I59:I63" si="1">H59-G59</f>
        <v>-50000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f>'Bilan début-fin'!E38</f>
        <v>25000</v>
      </c>
      <c r="H60" s="116">
        <f>'Bilan début-fin'!J38</f>
        <v>32385</v>
      </c>
      <c r="I60" s="246">
        <f t="shared" si="1"/>
        <v>7385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f>'Bilan début-fin'!E39</f>
        <v>0</v>
      </c>
      <c r="H61" s="116">
        <f>'Bilan début-fin'!J39</f>
        <v>0</v>
      </c>
      <c r="I61" s="246">
        <f t="shared" si="1"/>
        <v>0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f>'Bilan début-fin'!E40</f>
        <v>0</v>
      </c>
      <c r="H62" s="116">
        <f>'Bilan début-fin'!J40</f>
        <v>0</v>
      </c>
      <c r="I62" s="246">
        <f t="shared" si="1"/>
        <v>0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f>'Bilan début-fin'!E41</f>
        <v>31500</v>
      </c>
      <c r="H63" s="116">
        <f>'Bilan début-fin'!J41</f>
        <v>31500</v>
      </c>
      <c r="I63" s="246">
        <f t="shared" si="1"/>
        <v>0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106500</v>
      </c>
      <c r="H64" s="117">
        <f>+SUM(H58:H63)</f>
        <v>63885</v>
      </c>
      <c r="I64" s="124">
        <f t="shared" ref="I64" si="2">H64-G64</f>
        <v>-42615</v>
      </c>
      <c r="J64" s="125" t="s">
        <v>0</v>
      </c>
      <c r="K64" s="226">
        <f>I64/J113</f>
        <v>-0.82347826086956522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57" t="s">
        <v>57</v>
      </c>
      <c r="D67" s="257"/>
      <c r="E67" s="257"/>
      <c r="F67" s="257"/>
      <c r="G67" s="257"/>
      <c r="H67" s="257"/>
      <c r="I67" s="257"/>
      <c r="J67" s="117">
        <f>+I54+I64</f>
        <v>-27615</v>
      </c>
      <c r="K67" s="226">
        <f>J67/J113</f>
        <v>-0.53362318840579714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58" t="s">
        <v>58</v>
      </c>
      <c r="D69" s="259"/>
      <c r="E69" s="259"/>
      <c r="F69" s="259"/>
      <c r="G69" s="259"/>
      <c r="H69" s="259"/>
      <c r="I69" s="259"/>
      <c r="J69" s="131">
        <f>+J47+J67</f>
        <v>33250</v>
      </c>
      <c r="K69" s="229">
        <f>J69/J113</f>
        <v>0.64251207729468596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60" t="s">
        <v>59</v>
      </c>
      <c r="C71" s="261"/>
      <c r="D71" s="261"/>
      <c r="E71" s="261"/>
      <c r="F71" s="261"/>
      <c r="G71" s="261"/>
      <c r="H71" s="261"/>
      <c r="I71" s="261"/>
      <c r="J71" s="261"/>
      <c r="K71" s="262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f>'Bilan début-fin'!E47</f>
        <v>283500</v>
      </c>
      <c r="H75" s="137">
        <f>'Bilan début-fin'!J47</f>
        <v>252000</v>
      </c>
      <c r="I75" s="247">
        <f>H75-G75</f>
        <v>-31500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f>'Bilan début-fin'!E48</f>
        <v>0</v>
      </c>
      <c r="H76" s="137">
        <f>'Bilan début-fin'!J48</f>
        <v>0</v>
      </c>
      <c r="I76" s="247">
        <f t="shared" ref="I76:I78" si="3">H76-G76</f>
        <v>0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f>'Bilan début-fin'!E49</f>
        <v>0</v>
      </c>
      <c r="H77" s="137">
        <f>'Bilan début-fin'!J49</f>
        <v>0</v>
      </c>
      <c r="I77" s="247">
        <f t="shared" si="3"/>
        <v>0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f>'Bilan début-fin'!E50</f>
        <v>0</v>
      </c>
      <c r="H78" s="137">
        <f>'Bilan début-fin'!J50</f>
        <v>0</v>
      </c>
      <c r="I78" s="247">
        <f t="shared" si="3"/>
        <v>0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283500</v>
      </c>
      <c r="H79" s="138">
        <f>+SUM(H75:H78)</f>
        <v>252000</v>
      </c>
      <c r="I79" s="139">
        <f>H79-G79</f>
        <v>-31500</v>
      </c>
      <c r="J79" s="109" t="s">
        <v>0</v>
      </c>
      <c r="K79" s="226">
        <f>I79/J113</f>
        <v>-0.60869565217391308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f>'Bilan début-fin'!E58</f>
        <v>450000</v>
      </c>
      <c r="H83" s="142">
        <f>'Bilan début-fin'!J58</f>
        <v>450000</v>
      </c>
      <c r="I83" s="99">
        <f>G83-H83</f>
        <v>0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f>'Bilan début-fin'!E59</f>
        <v>0</v>
      </c>
      <c r="H84" s="142">
        <f>'Bilan début-fin'!J59</f>
        <v>0</v>
      </c>
      <c r="I84" s="99">
        <f>G84-H84</f>
        <v>0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f>'Bilan début-fin'!E60</f>
        <v>0</v>
      </c>
      <c r="H85" s="144">
        <f>'Bilan début-fin'!J60</f>
        <v>10865</v>
      </c>
      <c r="I85" s="2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f>'Bilan début-fin'!E61</f>
        <v>0</v>
      </c>
      <c r="H86" s="142">
        <f>'Bilan début-fin'!J61</f>
        <v>0</v>
      </c>
      <c r="I86" s="99">
        <f>+G86-H86</f>
        <v>0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f>'Bilan début-fin'!E62</f>
        <v>0</v>
      </c>
      <c r="H87" s="142">
        <f>'Bilan début-fin'!J62</f>
        <v>0</v>
      </c>
      <c r="I87" s="99">
        <f>+G87-H87</f>
        <v>0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450000</v>
      </c>
      <c r="H88" s="101">
        <f>+H83+H84+H86+H87</f>
        <v>450000</v>
      </c>
      <c r="I88" s="145">
        <f>+I83+I84+I86+I87</f>
        <v>0</v>
      </c>
      <c r="J88" s="109" t="s">
        <v>0</v>
      </c>
      <c r="K88" s="226">
        <f>I88/J113</f>
        <v>0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63" t="s">
        <v>61</v>
      </c>
      <c r="C90" s="264"/>
      <c r="D90" s="264"/>
      <c r="E90" s="264"/>
      <c r="F90" s="264"/>
      <c r="G90" s="264"/>
      <c r="H90" s="264"/>
      <c r="I90" s="264"/>
      <c r="J90" s="131">
        <f>+I79+I88</f>
        <v>-31500</v>
      </c>
      <c r="K90" s="229">
        <f>J90/J113</f>
        <v>-0.60869565217391308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65" t="s">
        <v>62</v>
      </c>
      <c r="C92" s="266"/>
      <c r="D92" s="266"/>
      <c r="E92" s="266"/>
      <c r="F92" s="266"/>
      <c r="G92" s="266"/>
      <c r="H92" s="266"/>
      <c r="I92" s="266"/>
      <c r="J92" s="266"/>
      <c r="K92" s="267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f>'Bilan début-fin'!E23</f>
        <v>50000</v>
      </c>
      <c r="H96" s="142">
        <f>'Bilan début-fin'!J23</f>
        <v>100000</v>
      </c>
      <c r="I96" s="99">
        <f>G96-H96</f>
        <v>-50000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f>'Bilan début-fin'!E24</f>
        <v>350000</v>
      </c>
      <c r="H97" s="142">
        <v>350000</v>
      </c>
      <c r="I97" s="99">
        <f>G97-H97</f>
        <v>0</v>
      </c>
      <c r="J97" s="95"/>
      <c r="K97" s="97"/>
    </row>
    <row r="98" spans="2:12" ht="16" x14ac:dyDescent="0.2">
      <c r="B98" s="143"/>
      <c r="C98" s="143" t="s">
        <v>108</v>
      </c>
      <c r="D98" s="143"/>
      <c r="E98" s="143"/>
      <c r="F98" s="143"/>
      <c r="G98" s="144">
        <v>0</v>
      </c>
      <c r="H98" s="144">
        <v>35000</v>
      </c>
      <c r="I98" s="2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f>'Bilan début-fin'!E25</f>
        <v>50000</v>
      </c>
      <c r="H99" s="142">
        <v>50000</v>
      </c>
      <c r="I99" s="99">
        <f>G99-H99</f>
        <v>0</v>
      </c>
      <c r="J99" s="95"/>
      <c r="K99" s="97"/>
    </row>
    <row r="100" spans="2:12" ht="16" x14ac:dyDescent="0.2">
      <c r="B100" s="143"/>
      <c r="C100" s="143" t="s">
        <v>109</v>
      </c>
      <c r="D100" s="143"/>
      <c r="E100" s="143"/>
      <c r="F100" s="143"/>
      <c r="G100" s="144">
        <v>0</v>
      </c>
      <c r="H100" s="144">
        <v>5000</v>
      </c>
      <c r="I100" s="2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f>'Bilan début-fin'!E26</f>
        <v>50000</v>
      </c>
      <c r="H101" s="142">
        <v>50000</v>
      </c>
      <c r="I101" s="99">
        <f>G101-H101</f>
        <v>0</v>
      </c>
      <c r="J101" s="95"/>
      <c r="K101" s="97"/>
    </row>
    <row r="102" spans="2:12" ht="16" x14ac:dyDescent="0.2">
      <c r="B102" s="143"/>
      <c r="C102" s="143" t="s">
        <v>110</v>
      </c>
      <c r="D102" s="143"/>
      <c r="E102" s="143"/>
      <c r="F102" s="143"/>
      <c r="G102" s="144">
        <v>0</v>
      </c>
      <c r="H102" s="144">
        <v>10000</v>
      </c>
      <c r="I102" s="249" t="s">
        <v>111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500000</v>
      </c>
      <c r="H103" s="101">
        <f>+H96+H97+H99+H101</f>
        <v>550000</v>
      </c>
      <c r="I103" s="104">
        <f>+I96+I97+I99+I101</f>
        <v>-50000</v>
      </c>
      <c r="J103" s="95"/>
      <c r="K103" s="230">
        <f>I103/J113</f>
        <v>-0.96618357487922701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63" t="s">
        <v>63</v>
      </c>
      <c r="C105" s="264"/>
      <c r="D105" s="264"/>
      <c r="E105" s="264"/>
      <c r="F105" s="264"/>
      <c r="G105" s="264"/>
      <c r="H105" s="264"/>
      <c r="I105" s="264"/>
      <c r="J105" s="148">
        <f>I103</f>
        <v>-50000</v>
      </c>
      <c r="K105" s="132">
        <f>J105/J113</f>
        <v>-0.96618357487922701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68" t="s">
        <v>64</v>
      </c>
      <c r="D107" s="268"/>
      <c r="E107" s="268"/>
      <c r="F107" s="268"/>
      <c r="G107" s="268"/>
      <c r="H107" s="268"/>
      <c r="I107" s="268"/>
      <c r="J107" s="149">
        <f>J69+J90+J105</f>
        <v>-48250</v>
      </c>
      <c r="K107" s="226">
        <f>J107/J113</f>
        <v>-0.93236714975845414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68" t="s">
        <v>65</v>
      </c>
      <c r="D109" s="268"/>
      <c r="E109" s="268"/>
      <c r="F109" s="268"/>
      <c r="G109" s="268"/>
      <c r="H109" s="268"/>
      <c r="I109" s="268"/>
      <c r="J109" s="151">
        <f>'Bilan début-fin'!E14</f>
        <v>100000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68" t="s">
        <v>66</v>
      </c>
      <c r="D111" s="268"/>
      <c r="E111" s="268"/>
      <c r="F111" s="268"/>
      <c r="G111" s="268"/>
      <c r="H111" s="268"/>
      <c r="I111" s="268"/>
      <c r="J111" s="152">
        <f>+J107+J109</f>
        <v>51750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69" t="s">
        <v>67</v>
      </c>
      <c r="D113" s="269"/>
      <c r="E113" s="269"/>
      <c r="F113" s="269"/>
      <c r="G113" s="269"/>
      <c r="H113" s="269"/>
      <c r="I113" s="269"/>
      <c r="J113" s="232">
        <f>'Bilan début-fin'!J14</f>
        <v>51750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4" t="s">
        <v>68</v>
      </c>
      <c r="D115" s="255"/>
      <c r="E115" s="255"/>
      <c r="F115" s="255"/>
      <c r="G115" s="255"/>
      <c r="H115" s="255"/>
      <c r="I115" s="255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2022-03-25T18:45:44Z</dcterms:modified>
</cp:coreProperties>
</file>