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showInkAnnotation="0" codeName="ThisWorkbook"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1/Finance gaganante (430-853-ME)/Chez Les Petites Gâteries &amp; Cie/"/>
    </mc:Choice>
  </mc:AlternateContent>
  <xr:revisionPtr revIDLastSave="0" documentId="8_{6FACD621-00FD-C64D-BC03-C425339BAE68}" xr6:coauthVersionLast="46" xr6:coauthVersionMax="46" xr10:uidLastSave="{00000000-0000-0000-0000-000000000000}"/>
  <bookViews>
    <workbookView xWindow="400" yWindow="1340" windowWidth="50800" windowHeight="23800" tabRatio="728" xr2:uid="{00000000-000D-0000-FFFF-FFFF00000000}"/>
  </bookViews>
  <sheets>
    <sheet name="Calendrier 2021" sheetId="3" r:id="rId1"/>
    <sheet name="Achalandage 2021" sheetId="1" r:id="rId2"/>
    <sheet name="% Occupation" sheetId="2" r:id="rId3"/>
    <sheet name="Formule pour le calcul D" sheetId="5" r:id="rId4"/>
    <sheet name="Calcul CmO et PmO" sheetId="23" r:id="rId5"/>
    <sheet name="Coût marchandises vendues" sheetId="7" r:id="rId6"/>
    <sheet name=" Total des coûts de MO" sheetId="9" r:id="rId7"/>
    <sheet name="Salaire (planification)" sheetId="8" r:id="rId8"/>
    <sheet name="Coût d'occupation " sheetId="10" r:id="rId9"/>
    <sheet name="Coût direct d'exploitation " sheetId="11" r:id="rId10"/>
    <sheet name="Musique &amp; Divertissement" sheetId="12" r:id="rId11"/>
    <sheet name="Mark &amp; Communication marketing" sheetId="13" r:id="rId12"/>
    <sheet name="Services publics" sheetId="14" r:id="rId13"/>
    <sheet name="Administration &amp; Frais généraux" sheetId="15" r:id="rId14"/>
    <sheet name="Entretien &amp; Réparation" sheetId="16" r:id="rId15"/>
    <sheet name="Frais financier" sheetId="17" r:id="rId16"/>
    <sheet name="Amortissement" sheetId="18" r:id="rId17"/>
    <sheet name="État des Résultats" sheetId="6" r:id="rId18"/>
    <sheet name="Bilan début-fin" sheetId="19" r:id="rId19"/>
    <sheet name="Tableau de trésorerie" sheetId="21" r:id="rId20"/>
    <sheet name="Ind. de performance" sheetId="22" r:id="rId21"/>
    <sheet name="Notes" sheetId="20" r:id="rId22"/>
  </sheets>
  <externalReferences>
    <externalReference r:id="rId23"/>
  </externalReferences>
  <definedNames>
    <definedName name="image1" localSheetId="6">#REF!</definedName>
    <definedName name="image1" localSheetId="1">#REF!</definedName>
    <definedName name="image1" localSheetId="13">#REF!</definedName>
    <definedName name="image1" localSheetId="16">#REF!</definedName>
    <definedName name="image1" localSheetId="18">#REF!</definedName>
    <definedName name="image1" localSheetId="4">#REF!</definedName>
    <definedName name="image1" localSheetId="0">#REF!</definedName>
    <definedName name="image1" localSheetId="8">#REF!</definedName>
    <definedName name="image1" localSheetId="9">#REF!</definedName>
    <definedName name="image1" localSheetId="5">#REF!</definedName>
    <definedName name="image1" localSheetId="14">#REF!</definedName>
    <definedName name="image1" localSheetId="17">#REF!</definedName>
    <definedName name="image1" localSheetId="3">#REF!</definedName>
    <definedName name="image1" localSheetId="15">#REF!</definedName>
    <definedName name="image1" localSheetId="20">#REF!</definedName>
    <definedName name="image1" localSheetId="11">#REF!</definedName>
    <definedName name="image1" localSheetId="10">#REF!</definedName>
    <definedName name="image1" localSheetId="7">#REF!</definedName>
    <definedName name="image1" localSheetId="12">#REF!</definedName>
    <definedName name="image1" localSheetId="19">#REF!</definedName>
    <definedName name="image1">#REF!</definedName>
    <definedName name="image2" localSheetId="6">#REF!</definedName>
    <definedName name="image2" localSheetId="13">#REF!</definedName>
    <definedName name="image2" localSheetId="16">#REF!</definedName>
    <definedName name="image2" localSheetId="8">#REF!</definedName>
    <definedName name="image2" localSheetId="9">#REF!</definedName>
    <definedName name="image2" localSheetId="14">#REF!</definedName>
    <definedName name="image2" localSheetId="17">#REF!</definedName>
    <definedName name="image2" localSheetId="3">#REF!</definedName>
    <definedName name="image2" localSheetId="15">#REF!</definedName>
    <definedName name="image2" localSheetId="20">#REF!</definedName>
    <definedName name="image2" localSheetId="11">#REF!</definedName>
    <definedName name="image2" localSheetId="10">#REF!</definedName>
    <definedName name="image2" localSheetId="7">#REF!</definedName>
    <definedName name="image2" localSheetId="12">#REF!</definedName>
    <definedName name="image2" localSheetId="19">#REF!</definedName>
    <definedName name="image2">#REF!</definedName>
    <definedName name="_xlnm.Print_Area" localSheetId="6">' Total des coûts de MO'!$B$2:$AQ$38</definedName>
    <definedName name="_xlnm.Print_Area" localSheetId="13">'Administration &amp; Frais généraux'!$B$2:$AQ$29</definedName>
    <definedName name="_xlnm.Print_Area" localSheetId="16">Amortissement!$B$2:$AQ$24</definedName>
    <definedName name="_xlnm.Print_Area" localSheetId="18">'Bilan début-fin'!$C$2:$AQ$64</definedName>
    <definedName name="_xlnm.Print_Area" localSheetId="8">'Coût d''occupation '!$B$2:$AQ$26</definedName>
    <definedName name="_xlnm.Print_Area" localSheetId="9">'Coût direct d''exploitation '!$B$2:$AQ$34</definedName>
    <definedName name="_xlnm.Print_Area" localSheetId="5">'Coût marchandises vendues'!$B$2:$AP$37</definedName>
    <definedName name="_xlnm.Print_Area" localSheetId="14">'Entretien &amp; Réparation'!$B$2:$AQ$31</definedName>
    <definedName name="_xlnm.Print_Area" localSheetId="17">'État des Résultats'!$C$2:$AQ$45</definedName>
    <definedName name="_xlnm.Print_Area" localSheetId="15">'Frais financier'!$B$2:$AQ$24</definedName>
    <definedName name="_xlnm.Print_Area" localSheetId="11">'Mark &amp; Communication marketing'!$B$2:$AQ$25</definedName>
    <definedName name="_xlnm.Print_Area" localSheetId="10">'Musique &amp; Divertissement'!$B$2:$AQ$24</definedName>
    <definedName name="_xlnm.Print_Area" localSheetId="7">'Salaire (planification)'!$B$2:$AQ$69</definedName>
    <definedName name="_xlnm.Print_Area" localSheetId="12">'Services publics'!$B$2:$AQ$23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01" i="21" l="1"/>
  <c r="I87" i="21"/>
  <c r="I78" i="21"/>
  <c r="I53" i="21"/>
  <c r="I63" i="21"/>
  <c r="H99" i="21" l="1"/>
  <c r="G99" i="21"/>
  <c r="H98" i="21"/>
  <c r="G98" i="21"/>
  <c r="H96" i="21"/>
  <c r="G96" i="21"/>
  <c r="H95" i="21"/>
  <c r="G95" i="21"/>
  <c r="AL19" i="15"/>
  <c r="AI19" i="15"/>
  <c r="AF19" i="15"/>
  <c r="AC19" i="15"/>
  <c r="Z19" i="15"/>
  <c r="W19" i="15"/>
  <c r="T19" i="15"/>
  <c r="Q19" i="15"/>
  <c r="N19" i="15"/>
  <c r="K19" i="15"/>
  <c r="H19" i="15"/>
  <c r="H17" i="15"/>
  <c r="K17" i="15" s="1"/>
  <c r="N17" i="15" s="1"/>
  <c r="Q17" i="15" s="1"/>
  <c r="T17" i="15" s="1"/>
  <c r="W17" i="15" s="1"/>
  <c r="Z17" i="15" s="1"/>
  <c r="AC17" i="15" s="1"/>
  <c r="AF17" i="15" s="1"/>
  <c r="AI17" i="15" s="1"/>
  <c r="AL17" i="15" s="1"/>
  <c r="AL13" i="15"/>
  <c r="AI13" i="15"/>
  <c r="AF13" i="15"/>
  <c r="AC13" i="15"/>
  <c r="Z13" i="15"/>
  <c r="W13" i="15"/>
  <c r="T13" i="15"/>
  <c r="Q13" i="15"/>
  <c r="N13" i="15"/>
  <c r="K13" i="15"/>
  <c r="H13" i="15"/>
  <c r="H54" i="8"/>
  <c r="K54" i="8" s="1"/>
  <c r="N54" i="8" s="1"/>
  <c r="Q54" i="8" s="1"/>
  <c r="T54" i="8" s="1"/>
  <c r="W54" i="8" s="1"/>
  <c r="Z54" i="8" s="1"/>
  <c r="AC54" i="8" s="1"/>
  <c r="AF54" i="8" s="1"/>
  <c r="AI54" i="8" s="1"/>
  <c r="AL54" i="8" s="1"/>
  <c r="H48" i="8"/>
  <c r="K48" i="8" s="1"/>
  <c r="N48" i="8" s="1"/>
  <c r="Q48" i="8" s="1"/>
  <c r="T48" i="8" s="1"/>
  <c r="W48" i="8" s="1"/>
  <c r="Z48" i="8" s="1"/>
  <c r="AC48" i="8" s="1"/>
  <c r="AF48" i="8" s="1"/>
  <c r="AI48" i="8" s="1"/>
  <c r="AL48" i="8" s="1"/>
  <c r="H42" i="8"/>
  <c r="K42" i="8" s="1"/>
  <c r="N42" i="8" s="1"/>
  <c r="Q42" i="8" s="1"/>
  <c r="T42" i="8" s="1"/>
  <c r="W42" i="8" s="1"/>
  <c r="Z42" i="8" s="1"/>
  <c r="AC42" i="8" s="1"/>
  <c r="AF42" i="8" s="1"/>
  <c r="AI42" i="8" s="1"/>
  <c r="AL42" i="8" s="1"/>
  <c r="H36" i="8"/>
  <c r="K36" i="8" s="1"/>
  <c r="N36" i="8" s="1"/>
  <c r="Q36" i="8" s="1"/>
  <c r="T36" i="8" s="1"/>
  <c r="W36" i="8" s="1"/>
  <c r="Z36" i="8" s="1"/>
  <c r="AC36" i="8" s="1"/>
  <c r="AF36" i="8" s="1"/>
  <c r="AI36" i="8" s="1"/>
  <c r="AL36" i="8" s="1"/>
  <c r="H12" i="8"/>
  <c r="K12" i="8" s="1"/>
  <c r="N12" i="8" s="1"/>
  <c r="Q12" i="8" s="1"/>
  <c r="T12" i="8" s="1"/>
  <c r="W12" i="8" s="1"/>
  <c r="Z12" i="8" s="1"/>
  <c r="AC12" i="8" s="1"/>
  <c r="AF12" i="8" s="1"/>
  <c r="AI12" i="8" s="1"/>
  <c r="AL12" i="8" s="1"/>
  <c r="H30" i="8"/>
  <c r="K30" i="8" s="1"/>
  <c r="N30" i="8" s="1"/>
  <c r="Q30" i="8" s="1"/>
  <c r="T30" i="8" s="1"/>
  <c r="W30" i="8" s="1"/>
  <c r="Z30" i="8" s="1"/>
  <c r="AC30" i="8" s="1"/>
  <c r="AF30" i="8" s="1"/>
  <c r="AI30" i="8" s="1"/>
  <c r="AL30" i="8" s="1"/>
  <c r="H13" i="17"/>
  <c r="K13" i="17" s="1"/>
  <c r="N13" i="17" s="1"/>
  <c r="Q13" i="17" s="1"/>
  <c r="T13" i="17" s="1"/>
  <c r="W13" i="17" s="1"/>
  <c r="Z13" i="17" s="1"/>
  <c r="AC13" i="17" s="1"/>
  <c r="AF13" i="17" s="1"/>
  <c r="AI13" i="17" s="1"/>
  <c r="AL13" i="17" s="1"/>
  <c r="J47" i="19"/>
  <c r="H13" i="18"/>
  <c r="K13" i="18" s="1"/>
  <c r="N13" i="18" s="1"/>
  <c r="Q13" i="18" s="1"/>
  <c r="T13" i="18" s="1"/>
  <c r="W13" i="18" s="1"/>
  <c r="Z13" i="18" s="1"/>
  <c r="AC13" i="18" s="1"/>
  <c r="AF13" i="18" s="1"/>
  <c r="AI13" i="18" s="1"/>
  <c r="AL13" i="18" s="1"/>
  <c r="J24" i="19"/>
  <c r="H13" i="10"/>
  <c r="K13" i="10" s="1"/>
  <c r="N13" i="10" s="1"/>
  <c r="Q13" i="10" s="1"/>
  <c r="T13" i="10" s="1"/>
  <c r="W13" i="10" s="1"/>
  <c r="Z13" i="10" s="1"/>
  <c r="AC13" i="10" s="1"/>
  <c r="AF13" i="10" s="1"/>
  <c r="AI13" i="10" s="1"/>
  <c r="AL13" i="10" s="1"/>
  <c r="AL25" i="8"/>
  <c r="AI25" i="8"/>
  <c r="AF25" i="8"/>
  <c r="AC25" i="8"/>
  <c r="Z25" i="8"/>
  <c r="W25" i="8"/>
  <c r="T25" i="8"/>
  <c r="Q25" i="8"/>
  <c r="N25" i="8"/>
  <c r="K25" i="8"/>
  <c r="H25" i="8"/>
  <c r="E25" i="8"/>
  <c r="AL24" i="8"/>
  <c r="AI24" i="8"/>
  <c r="AF24" i="8"/>
  <c r="AC24" i="8"/>
  <c r="Z24" i="8"/>
  <c r="W24" i="8"/>
  <c r="T24" i="8"/>
  <c r="Q24" i="8"/>
  <c r="N24" i="8"/>
  <c r="K24" i="8"/>
  <c r="H24" i="8"/>
  <c r="H18" i="8"/>
  <c r="K18" i="8" s="1"/>
  <c r="N18" i="8" s="1"/>
  <c r="Q18" i="8" s="1"/>
  <c r="T18" i="8" s="1"/>
  <c r="W18" i="8" s="1"/>
  <c r="Z18" i="8" s="1"/>
  <c r="AC18" i="8" s="1"/>
  <c r="AF18" i="8" s="1"/>
  <c r="AI18" i="8" s="1"/>
  <c r="AL18" i="8" s="1"/>
  <c r="H520" i="23"/>
  <c r="H477" i="23"/>
  <c r="H434" i="23"/>
  <c r="H391" i="23"/>
  <c r="H348" i="23"/>
  <c r="H305" i="23"/>
  <c r="H262" i="23"/>
  <c r="H219" i="23"/>
  <c r="H176" i="23"/>
  <c r="H133" i="23"/>
  <c r="H90" i="23"/>
  <c r="H47" i="23"/>
  <c r="F411" i="23" l="1"/>
  <c r="F396" i="23"/>
  <c r="F439" i="23" s="1"/>
  <c r="F282" i="23"/>
  <c r="F267" i="23"/>
  <c r="AJ26" i="5"/>
  <c r="AJ18" i="5"/>
  <c r="AJ10" i="5"/>
  <c r="X26" i="5"/>
  <c r="X18" i="5"/>
  <c r="X10" i="5"/>
  <c r="F454" i="23"/>
  <c r="F497" i="23" s="1"/>
  <c r="F325" i="23"/>
  <c r="F368" i="23" s="1"/>
  <c r="F310" i="23"/>
  <c r="D247" i="23"/>
  <c r="D290" i="23" s="1"/>
  <c r="D333" i="23" s="1"/>
  <c r="D376" i="23" s="1"/>
  <c r="D419" i="23" s="1"/>
  <c r="D462" i="23" s="1"/>
  <c r="D505" i="23" s="1"/>
  <c r="D548" i="23" s="1"/>
  <c r="F197" i="23"/>
  <c r="F240" i="23" s="1"/>
  <c r="F196" i="23"/>
  <c r="F239" i="23" s="1"/>
  <c r="F181" i="23"/>
  <c r="F224" i="23" s="1"/>
  <c r="B158" i="23"/>
  <c r="B201" i="23" s="1"/>
  <c r="B244" i="23" s="1"/>
  <c r="B287" i="23" s="1"/>
  <c r="B330" i="23" s="1"/>
  <c r="B373" i="23" s="1"/>
  <c r="B416" i="23" s="1"/>
  <c r="B459" i="23" s="1"/>
  <c r="B502" i="23" s="1"/>
  <c r="B545" i="23" s="1"/>
  <c r="D120" i="23"/>
  <c r="D163" i="23" s="1"/>
  <c r="D206" i="23" s="1"/>
  <c r="D249" i="23" s="1"/>
  <c r="D292" i="23" s="1"/>
  <c r="D335" i="23" s="1"/>
  <c r="D378" i="23" s="1"/>
  <c r="D421" i="23" s="1"/>
  <c r="D464" i="23" s="1"/>
  <c r="D507" i="23" s="1"/>
  <c r="D550" i="23" s="1"/>
  <c r="C120" i="23"/>
  <c r="C163" i="23" s="1"/>
  <c r="C206" i="23" s="1"/>
  <c r="C249" i="23" s="1"/>
  <c r="C292" i="23" s="1"/>
  <c r="C335" i="23" s="1"/>
  <c r="C378" i="23" s="1"/>
  <c r="C421" i="23" s="1"/>
  <c r="C464" i="23" s="1"/>
  <c r="C507" i="23" s="1"/>
  <c r="C550" i="23" s="1"/>
  <c r="B117" i="23"/>
  <c r="B160" i="23" s="1"/>
  <c r="B203" i="23" s="1"/>
  <c r="B246" i="23" s="1"/>
  <c r="B289" i="23" s="1"/>
  <c r="B332" i="23" s="1"/>
  <c r="B375" i="23" s="1"/>
  <c r="B418" i="23" s="1"/>
  <c r="B461" i="23" s="1"/>
  <c r="B504" i="23" s="1"/>
  <c r="B547" i="23" s="1"/>
  <c r="B115" i="23"/>
  <c r="D113" i="23"/>
  <c r="D156" i="23" s="1"/>
  <c r="D199" i="23" s="1"/>
  <c r="D242" i="23" s="1"/>
  <c r="D285" i="23" s="1"/>
  <c r="D328" i="23" s="1"/>
  <c r="D371" i="23" s="1"/>
  <c r="D414" i="23" s="1"/>
  <c r="D457" i="23" s="1"/>
  <c r="D500" i="23" s="1"/>
  <c r="D543" i="23" s="1"/>
  <c r="D112" i="23"/>
  <c r="D155" i="23" s="1"/>
  <c r="D198" i="23" s="1"/>
  <c r="D241" i="23" s="1"/>
  <c r="D284" i="23" s="1"/>
  <c r="D327" i="23" s="1"/>
  <c r="D370" i="23" s="1"/>
  <c r="D413" i="23" s="1"/>
  <c r="D456" i="23" s="1"/>
  <c r="D499" i="23" s="1"/>
  <c r="D542" i="23" s="1"/>
  <c r="F111" i="23"/>
  <c r="F154" i="23" s="1"/>
  <c r="F110" i="23"/>
  <c r="C110" i="23"/>
  <c r="C153" i="23" s="1"/>
  <c r="C196" i="23" s="1"/>
  <c r="C239" i="23" s="1"/>
  <c r="C282" i="23" s="1"/>
  <c r="C325" i="23" s="1"/>
  <c r="C368" i="23" s="1"/>
  <c r="C411" i="23" s="1"/>
  <c r="C454" i="23" s="1"/>
  <c r="C497" i="23" s="1"/>
  <c r="C540" i="23" s="1"/>
  <c r="D109" i="23"/>
  <c r="D152" i="23" s="1"/>
  <c r="D195" i="23" s="1"/>
  <c r="D238" i="23" s="1"/>
  <c r="D281" i="23" s="1"/>
  <c r="D324" i="23" s="1"/>
  <c r="D367" i="23" s="1"/>
  <c r="D410" i="23" s="1"/>
  <c r="D453" i="23" s="1"/>
  <c r="D496" i="23" s="1"/>
  <c r="D539" i="23" s="1"/>
  <c r="B106" i="23"/>
  <c r="B149" i="23" s="1"/>
  <c r="B192" i="23" s="1"/>
  <c r="B235" i="23" s="1"/>
  <c r="B278" i="23" s="1"/>
  <c r="B321" i="23" s="1"/>
  <c r="B364" i="23" s="1"/>
  <c r="B407" i="23" s="1"/>
  <c r="B450" i="23" s="1"/>
  <c r="B493" i="23" s="1"/>
  <c r="B536" i="23" s="1"/>
  <c r="C105" i="23"/>
  <c r="C148" i="23" s="1"/>
  <c r="C191" i="23" s="1"/>
  <c r="C234" i="23" s="1"/>
  <c r="C277" i="23" s="1"/>
  <c r="C320" i="23" s="1"/>
  <c r="C363" i="23" s="1"/>
  <c r="C406" i="23" s="1"/>
  <c r="C449" i="23" s="1"/>
  <c r="C492" i="23" s="1"/>
  <c r="C535" i="23" s="1"/>
  <c r="B105" i="23"/>
  <c r="B148" i="23" s="1"/>
  <c r="B191" i="23" s="1"/>
  <c r="B234" i="23" s="1"/>
  <c r="B277" i="23" s="1"/>
  <c r="B320" i="23" s="1"/>
  <c r="B363" i="23" s="1"/>
  <c r="B406" i="23" s="1"/>
  <c r="B449" i="23" s="1"/>
  <c r="B492" i="23" s="1"/>
  <c r="B535" i="23" s="1"/>
  <c r="F104" i="23"/>
  <c r="F147" i="23" s="1"/>
  <c r="F190" i="23" s="1"/>
  <c r="D104" i="23"/>
  <c r="D147" i="23" s="1"/>
  <c r="D190" i="23" s="1"/>
  <c r="D233" i="23" s="1"/>
  <c r="D276" i="23" s="1"/>
  <c r="D319" i="23" s="1"/>
  <c r="D362" i="23" s="1"/>
  <c r="D405" i="23" s="1"/>
  <c r="D448" i="23" s="1"/>
  <c r="D491" i="23" s="1"/>
  <c r="D534" i="23" s="1"/>
  <c r="B103" i="23"/>
  <c r="B146" i="23" s="1"/>
  <c r="B189" i="23" s="1"/>
  <c r="B232" i="23" s="1"/>
  <c r="B275" i="23" s="1"/>
  <c r="B318" i="23" s="1"/>
  <c r="B361" i="23" s="1"/>
  <c r="B404" i="23" s="1"/>
  <c r="B447" i="23" s="1"/>
  <c r="B490" i="23" s="1"/>
  <c r="B533" i="23" s="1"/>
  <c r="F102" i="23"/>
  <c r="F145" i="23" s="1"/>
  <c r="F188" i="23" s="1"/>
  <c r="F231" i="23" s="1"/>
  <c r="F101" i="23"/>
  <c r="F99" i="23"/>
  <c r="F142" i="23" s="1"/>
  <c r="D99" i="23"/>
  <c r="D142" i="23" s="1"/>
  <c r="D185" i="23" s="1"/>
  <c r="D228" i="23" s="1"/>
  <c r="D271" i="23" s="1"/>
  <c r="D314" i="23" s="1"/>
  <c r="D357" i="23" s="1"/>
  <c r="D400" i="23" s="1"/>
  <c r="D443" i="23" s="1"/>
  <c r="D486" i="23" s="1"/>
  <c r="D529" i="23" s="1"/>
  <c r="C99" i="23"/>
  <c r="C142" i="23" s="1"/>
  <c r="C185" i="23" s="1"/>
  <c r="C228" i="23" s="1"/>
  <c r="C271" i="23" s="1"/>
  <c r="C314" i="23" s="1"/>
  <c r="C357" i="23" s="1"/>
  <c r="C400" i="23" s="1"/>
  <c r="C443" i="23" s="1"/>
  <c r="C486" i="23" s="1"/>
  <c r="C529" i="23" s="1"/>
  <c r="D96" i="23"/>
  <c r="D139" i="23" s="1"/>
  <c r="D182" i="23" s="1"/>
  <c r="D225" i="23" s="1"/>
  <c r="D268" i="23" s="1"/>
  <c r="D311" i="23" s="1"/>
  <c r="D354" i="23" s="1"/>
  <c r="D397" i="23" s="1"/>
  <c r="D440" i="23" s="1"/>
  <c r="D483" i="23" s="1"/>
  <c r="D526" i="23" s="1"/>
  <c r="C96" i="23"/>
  <c r="C139" i="23" s="1"/>
  <c r="C182" i="23" s="1"/>
  <c r="C225" i="23" s="1"/>
  <c r="C268" i="23" s="1"/>
  <c r="C311" i="23" s="1"/>
  <c r="C354" i="23" s="1"/>
  <c r="C397" i="23" s="1"/>
  <c r="C440" i="23" s="1"/>
  <c r="C483" i="23" s="1"/>
  <c r="C526" i="23" s="1"/>
  <c r="B96" i="23"/>
  <c r="B139" i="23" s="1"/>
  <c r="B182" i="23" s="1"/>
  <c r="B225" i="23" s="1"/>
  <c r="B268" i="23" s="1"/>
  <c r="B311" i="23" s="1"/>
  <c r="B354" i="23" s="1"/>
  <c r="B397" i="23" s="1"/>
  <c r="B440" i="23" s="1"/>
  <c r="B483" i="23" s="1"/>
  <c r="B526" i="23" s="1"/>
  <c r="D84" i="23"/>
  <c r="D127" i="23" s="1"/>
  <c r="D170" i="23" s="1"/>
  <c r="D213" i="23" s="1"/>
  <c r="D256" i="23" s="1"/>
  <c r="D299" i="23" s="1"/>
  <c r="D342" i="23" s="1"/>
  <c r="D385" i="23" s="1"/>
  <c r="D428" i="23" s="1"/>
  <c r="D471" i="23" s="1"/>
  <c r="D514" i="23" s="1"/>
  <c r="D557" i="23" s="1"/>
  <c r="D83" i="23"/>
  <c r="D126" i="23" s="1"/>
  <c r="D169" i="23" s="1"/>
  <c r="D212" i="23" s="1"/>
  <c r="D255" i="23" s="1"/>
  <c r="D298" i="23" s="1"/>
  <c r="D341" i="23" s="1"/>
  <c r="D384" i="23" s="1"/>
  <c r="D427" i="23" s="1"/>
  <c r="D470" i="23" s="1"/>
  <c r="D513" i="23" s="1"/>
  <c r="D556" i="23" s="1"/>
  <c r="H82" i="23"/>
  <c r="H125" i="23" s="1"/>
  <c r="H168" i="23" s="1"/>
  <c r="H211" i="23" s="1"/>
  <c r="H254" i="23" s="1"/>
  <c r="H297" i="23" s="1"/>
  <c r="H340" i="23" s="1"/>
  <c r="H383" i="23" s="1"/>
  <c r="H426" i="23" s="1"/>
  <c r="H469" i="23" s="1"/>
  <c r="H512" i="23" s="1"/>
  <c r="H555" i="23" s="1"/>
  <c r="G82" i="23"/>
  <c r="G125" i="23" s="1"/>
  <c r="G168" i="23" s="1"/>
  <c r="G211" i="23" s="1"/>
  <c r="G254" i="23" s="1"/>
  <c r="G297" i="23" s="1"/>
  <c r="G340" i="23" s="1"/>
  <c r="G383" i="23" s="1"/>
  <c r="G426" i="23" s="1"/>
  <c r="G469" i="23" s="1"/>
  <c r="G512" i="23" s="1"/>
  <c r="G555" i="23" s="1"/>
  <c r="F82" i="23"/>
  <c r="F125" i="23" s="1"/>
  <c r="F168" i="23" s="1"/>
  <c r="F211" i="23" s="1"/>
  <c r="F254" i="23" s="1"/>
  <c r="F297" i="23" s="1"/>
  <c r="F340" i="23" s="1"/>
  <c r="F383" i="23" s="1"/>
  <c r="F426" i="23" s="1"/>
  <c r="F469" i="23" s="1"/>
  <c r="F512" i="23" s="1"/>
  <c r="F555" i="23" s="1"/>
  <c r="E82" i="23"/>
  <c r="E125" i="23" s="1"/>
  <c r="E168" i="23" s="1"/>
  <c r="E211" i="23" s="1"/>
  <c r="E254" i="23" s="1"/>
  <c r="E297" i="23" s="1"/>
  <c r="E340" i="23" s="1"/>
  <c r="E383" i="23" s="1"/>
  <c r="E426" i="23" s="1"/>
  <c r="E469" i="23" s="1"/>
  <c r="E512" i="23" s="1"/>
  <c r="E555" i="23" s="1"/>
  <c r="D79" i="23"/>
  <c r="D122" i="23" s="1"/>
  <c r="D165" i="23" s="1"/>
  <c r="D208" i="23" s="1"/>
  <c r="D251" i="23" s="1"/>
  <c r="D294" i="23" s="1"/>
  <c r="D337" i="23" s="1"/>
  <c r="D380" i="23" s="1"/>
  <c r="D423" i="23" s="1"/>
  <c r="D466" i="23" s="1"/>
  <c r="D509" i="23" s="1"/>
  <c r="D552" i="23" s="1"/>
  <c r="F78" i="23"/>
  <c r="E78" i="23"/>
  <c r="D78" i="23"/>
  <c r="D121" i="23" s="1"/>
  <c r="D164" i="23" s="1"/>
  <c r="D207" i="23" s="1"/>
  <c r="D250" i="23" s="1"/>
  <c r="D293" i="23" s="1"/>
  <c r="D336" i="23" s="1"/>
  <c r="D379" i="23" s="1"/>
  <c r="D422" i="23" s="1"/>
  <c r="D465" i="23" s="1"/>
  <c r="D508" i="23" s="1"/>
  <c r="D551" i="23" s="1"/>
  <c r="C78" i="23"/>
  <c r="C121" i="23" s="1"/>
  <c r="C164" i="23" s="1"/>
  <c r="B78" i="23"/>
  <c r="B121" i="23" s="1"/>
  <c r="B164" i="23" s="1"/>
  <c r="B207" i="23" s="1"/>
  <c r="B250" i="23" s="1"/>
  <c r="B293" i="23" s="1"/>
  <c r="B336" i="23" s="1"/>
  <c r="B379" i="23" s="1"/>
  <c r="B422" i="23" s="1"/>
  <c r="B465" i="23" s="1"/>
  <c r="B508" i="23" s="1"/>
  <c r="B551" i="23" s="1"/>
  <c r="F77" i="23"/>
  <c r="F120" i="23" s="1"/>
  <c r="E77" i="23"/>
  <c r="E120" i="23" s="1"/>
  <c r="E163" i="23" s="1"/>
  <c r="D77" i="23"/>
  <c r="C77" i="23"/>
  <c r="B77" i="23"/>
  <c r="B120" i="23" s="1"/>
  <c r="B163" i="23" s="1"/>
  <c r="B206" i="23" s="1"/>
  <c r="B249" i="23" s="1"/>
  <c r="B292" i="23" s="1"/>
  <c r="B335" i="23" s="1"/>
  <c r="B378" i="23" s="1"/>
  <c r="B421" i="23" s="1"/>
  <c r="B464" i="23" s="1"/>
  <c r="B507" i="23" s="1"/>
  <c r="B550" i="23" s="1"/>
  <c r="F76" i="23"/>
  <c r="E76" i="23"/>
  <c r="D76" i="23"/>
  <c r="D119" i="23" s="1"/>
  <c r="D162" i="23" s="1"/>
  <c r="D205" i="23" s="1"/>
  <c r="D248" i="23" s="1"/>
  <c r="D291" i="23" s="1"/>
  <c r="D334" i="23" s="1"/>
  <c r="D377" i="23" s="1"/>
  <c r="D420" i="23" s="1"/>
  <c r="D463" i="23" s="1"/>
  <c r="D506" i="23" s="1"/>
  <c r="D549" i="23" s="1"/>
  <c r="C76" i="23"/>
  <c r="C119" i="23" s="1"/>
  <c r="C162" i="23" s="1"/>
  <c r="C205" i="23" s="1"/>
  <c r="C248" i="23" s="1"/>
  <c r="C291" i="23" s="1"/>
  <c r="C334" i="23" s="1"/>
  <c r="C377" i="23" s="1"/>
  <c r="C420" i="23" s="1"/>
  <c r="C463" i="23" s="1"/>
  <c r="C506" i="23" s="1"/>
  <c r="C549" i="23" s="1"/>
  <c r="B76" i="23"/>
  <c r="B119" i="23" s="1"/>
  <c r="B162" i="23" s="1"/>
  <c r="B205" i="23" s="1"/>
  <c r="B248" i="23" s="1"/>
  <c r="B291" i="23" s="1"/>
  <c r="B334" i="23" s="1"/>
  <c r="B377" i="23" s="1"/>
  <c r="B420" i="23" s="1"/>
  <c r="B463" i="23" s="1"/>
  <c r="B506" i="23" s="1"/>
  <c r="B549" i="23" s="1"/>
  <c r="F75" i="23"/>
  <c r="E75" i="23"/>
  <c r="G75" i="23" s="1"/>
  <c r="D75" i="23"/>
  <c r="D118" i="23" s="1"/>
  <c r="D161" i="23" s="1"/>
  <c r="D204" i="23" s="1"/>
  <c r="C75" i="23"/>
  <c r="C118" i="23" s="1"/>
  <c r="C161" i="23" s="1"/>
  <c r="C204" i="23" s="1"/>
  <c r="C247" i="23" s="1"/>
  <c r="C290" i="23" s="1"/>
  <c r="C333" i="23" s="1"/>
  <c r="C376" i="23" s="1"/>
  <c r="C419" i="23" s="1"/>
  <c r="C462" i="23" s="1"/>
  <c r="C505" i="23" s="1"/>
  <c r="C548" i="23" s="1"/>
  <c r="B75" i="23"/>
  <c r="B118" i="23" s="1"/>
  <c r="B161" i="23" s="1"/>
  <c r="B204" i="23" s="1"/>
  <c r="B247" i="23" s="1"/>
  <c r="B290" i="23" s="1"/>
  <c r="B333" i="23" s="1"/>
  <c r="B376" i="23" s="1"/>
  <c r="B419" i="23" s="1"/>
  <c r="B462" i="23" s="1"/>
  <c r="B505" i="23" s="1"/>
  <c r="B548" i="23" s="1"/>
  <c r="F74" i="23"/>
  <c r="E74" i="23"/>
  <c r="D74" i="23"/>
  <c r="D117" i="23" s="1"/>
  <c r="D160" i="23" s="1"/>
  <c r="D203" i="23" s="1"/>
  <c r="D246" i="23" s="1"/>
  <c r="D289" i="23" s="1"/>
  <c r="D332" i="23" s="1"/>
  <c r="D375" i="23" s="1"/>
  <c r="D418" i="23" s="1"/>
  <c r="D461" i="23" s="1"/>
  <c r="D504" i="23" s="1"/>
  <c r="D547" i="23" s="1"/>
  <c r="C74" i="23"/>
  <c r="C117" i="23" s="1"/>
  <c r="C160" i="23" s="1"/>
  <c r="C203" i="23" s="1"/>
  <c r="C246" i="23" s="1"/>
  <c r="C289" i="23" s="1"/>
  <c r="C332" i="23" s="1"/>
  <c r="C375" i="23" s="1"/>
  <c r="C418" i="23" s="1"/>
  <c r="C461" i="23" s="1"/>
  <c r="C504" i="23" s="1"/>
  <c r="C547" i="23" s="1"/>
  <c r="B74" i="23"/>
  <c r="F73" i="23"/>
  <c r="E73" i="23"/>
  <c r="H73" i="23" s="1"/>
  <c r="D73" i="23"/>
  <c r="D116" i="23" s="1"/>
  <c r="D159" i="23" s="1"/>
  <c r="D202" i="23" s="1"/>
  <c r="D245" i="23" s="1"/>
  <c r="D288" i="23" s="1"/>
  <c r="D331" i="23" s="1"/>
  <c r="D374" i="23" s="1"/>
  <c r="D417" i="23" s="1"/>
  <c r="D460" i="23" s="1"/>
  <c r="D503" i="23" s="1"/>
  <c r="D546" i="23" s="1"/>
  <c r="C73" i="23"/>
  <c r="C116" i="23" s="1"/>
  <c r="C159" i="23" s="1"/>
  <c r="C202" i="23" s="1"/>
  <c r="C245" i="23" s="1"/>
  <c r="C288" i="23" s="1"/>
  <c r="C331" i="23" s="1"/>
  <c r="C374" i="23" s="1"/>
  <c r="C417" i="23" s="1"/>
  <c r="C460" i="23" s="1"/>
  <c r="C503" i="23" s="1"/>
  <c r="C546" i="23" s="1"/>
  <c r="B73" i="23"/>
  <c r="B116" i="23" s="1"/>
  <c r="B159" i="23" s="1"/>
  <c r="B202" i="23" s="1"/>
  <c r="B245" i="23" s="1"/>
  <c r="B288" i="23" s="1"/>
  <c r="B331" i="23" s="1"/>
  <c r="B374" i="23" s="1"/>
  <c r="B417" i="23" s="1"/>
  <c r="B460" i="23" s="1"/>
  <c r="B503" i="23" s="1"/>
  <c r="B546" i="23" s="1"/>
  <c r="F72" i="23"/>
  <c r="F115" i="23" s="1"/>
  <c r="E72" i="23"/>
  <c r="E115" i="23" s="1"/>
  <c r="E158" i="23" s="1"/>
  <c r="D72" i="23"/>
  <c r="D115" i="23" s="1"/>
  <c r="D158" i="23" s="1"/>
  <c r="D201" i="23" s="1"/>
  <c r="D244" i="23" s="1"/>
  <c r="D287" i="23" s="1"/>
  <c r="D330" i="23" s="1"/>
  <c r="D373" i="23" s="1"/>
  <c r="D416" i="23" s="1"/>
  <c r="D459" i="23" s="1"/>
  <c r="D502" i="23" s="1"/>
  <c r="D545" i="23" s="1"/>
  <c r="C72" i="23"/>
  <c r="C115" i="23" s="1"/>
  <c r="C158" i="23" s="1"/>
  <c r="C201" i="23" s="1"/>
  <c r="C244" i="23" s="1"/>
  <c r="C287" i="23" s="1"/>
  <c r="C330" i="23" s="1"/>
  <c r="C373" i="23" s="1"/>
  <c r="C416" i="23" s="1"/>
  <c r="C459" i="23" s="1"/>
  <c r="C502" i="23" s="1"/>
  <c r="C545" i="23" s="1"/>
  <c r="B72" i="23"/>
  <c r="F71" i="23"/>
  <c r="E71" i="23"/>
  <c r="G71" i="23" s="1"/>
  <c r="D71" i="23"/>
  <c r="D114" i="23" s="1"/>
  <c r="D157" i="23" s="1"/>
  <c r="D200" i="23" s="1"/>
  <c r="D243" i="23" s="1"/>
  <c r="D286" i="23" s="1"/>
  <c r="D329" i="23" s="1"/>
  <c r="D372" i="23" s="1"/>
  <c r="D415" i="23" s="1"/>
  <c r="D458" i="23" s="1"/>
  <c r="D501" i="23" s="1"/>
  <c r="D544" i="23" s="1"/>
  <c r="C71" i="23"/>
  <c r="C114" i="23" s="1"/>
  <c r="C157" i="23" s="1"/>
  <c r="C200" i="23" s="1"/>
  <c r="C243" i="23" s="1"/>
  <c r="C286" i="23" s="1"/>
  <c r="C329" i="23" s="1"/>
  <c r="C372" i="23" s="1"/>
  <c r="C415" i="23" s="1"/>
  <c r="C458" i="23" s="1"/>
  <c r="C501" i="23" s="1"/>
  <c r="C544" i="23" s="1"/>
  <c r="B71" i="23"/>
  <c r="B114" i="23" s="1"/>
  <c r="B157" i="23" s="1"/>
  <c r="B200" i="23" s="1"/>
  <c r="B243" i="23" s="1"/>
  <c r="B286" i="23" s="1"/>
  <c r="B329" i="23" s="1"/>
  <c r="B372" i="23" s="1"/>
  <c r="B415" i="23" s="1"/>
  <c r="B458" i="23" s="1"/>
  <c r="B501" i="23" s="1"/>
  <c r="B544" i="23" s="1"/>
  <c r="F70" i="23"/>
  <c r="E70" i="23"/>
  <c r="G70" i="23" s="1"/>
  <c r="D70" i="23"/>
  <c r="C70" i="23"/>
  <c r="C113" i="23" s="1"/>
  <c r="C156" i="23" s="1"/>
  <c r="C199" i="23" s="1"/>
  <c r="C242" i="23" s="1"/>
  <c r="C285" i="23" s="1"/>
  <c r="C328" i="23" s="1"/>
  <c r="C371" i="23" s="1"/>
  <c r="C414" i="23" s="1"/>
  <c r="C457" i="23" s="1"/>
  <c r="C500" i="23" s="1"/>
  <c r="C543" i="23" s="1"/>
  <c r="B70" i="23"/>
  <c r="B113" i="23" s="1"/>
  <c r="B156" i="23" s="1"/>
  <c r="B199" i="23" s="1"/>
  <c r="B242" i="23" s="1"/>
  <c r="B285" i="23" s="1"/>
  <c r="B328" i="23" s="1"/>
  <c r="B371" i="23" s="1"/>
  <c r="B414" i="23" s="1"/>
  <c r="B457" i="23" s="1"/>
  <c r="B500" i="23" s="1"/>
  <c r="B543" i="23" s="1"/>
  <c r="F69" i="23"/>
  <c r="E69" i="23"/>
  <c r="E112" i="23" s="1"/>
  <c r="D69" i="23"/>
  <c r="C69" i="23"/>
  <c r="C112" i="23" s="1"/>
  <c r="C155" i="23" s="1"/>
  <c r="C198" i="23" s="1"/>
  <c r="C241" i="23" s="1"/>
  <c r="C284" i="23" s="1"/>
  <c r="C327" i="23" s="1"/>
  <c r="C370" i="23" s="1"/>
  <c r="C413" i="23" s="1"/>
  <c r="C456" i="23" s="1"/>
  <c r="C499" i="23" s="1"/>
  <c r="C542" i="23" s="1"/>
  <c r="B69" i="23"/>
  <c r="B112" i="23" s="1"/>
  <c r="B155" i="23" s="1"/>
  <c r="B198" i="23" s="1"/>
  <c r="B241" i="23" s="1"/>
  <c r="B284" i="23" s="1"/>
  <c r="B327" i="23" s="1"/>
  <c r="B370" i="23" s="1"/>
  <c r="B413" i="23" s="1"/>
  <c r="B456" i="23" s="1"/>
  <c r="B499" i="23" s="1"/>
  <c r="B542" i="23" s="1"/>
  <c r="F68" i="23"/>
  <c r="E68" i="23"/>
  <c r="H68" i="23" s="1"/>
  <c r="D68" i="23"/>
  <c r="D111" i="23" s="1"/>
  <c r="D154" i="23" s="1"/>
  <c r="D197" i="23" s="1"/>
  <c r="D240" i="23" s="1"/>
  <c r="D283" i="23" s="1"/>
  <c r="D326" i="23" s="1"/>
  <c r="D369" i="23" s="1"/>
  <c r="D412" i="23" s="1"/>
  <c r="D455" i="23" s="1"/>
  <c r="D498" i="23" s="1"/>
  <c r="D541" i="23" s="1"/>
  <c r="C68" i="23"/>
  <c r="C111" i="23" s="1"/>
  <c r="C154" i="23" s="1"/>
  <c r="C197" i="23" s="1"/>
  <c r="C240" i="23" s="1"/>
  <c r="C283" i="23" s="1"/>
  <c r="C326" i="23" s="1"/>
  <c r="C369" i="23" s="1"/>
  <c r="C412" i="23" s="1"/>
  <c r="C455" i="23" s="1"/>
  <c r="C498" i="23" s="1"/>
  <c r="C541" i="23" s="1"/>
  <c r="B68" i="23"/>
  <c r="B111" i="23" s="1"/>
  <c r="B154" i="23" s="1"/>
  <c r="B197" i="23" s="1"/>
  <c r="B240" i="23" s="1"/>
  <c r="B283" i="23" s="1"/>
  <c r="B326" i="23" s="1"/>
  <c r="B369" i="23" s="1"/>
  <c r="B412" i="23" s="1"/>
  <c r="B455" i="23" s="1"/>
  <c r="B498" i="23" s="1"/>
  <c r="B541" i="23" s="1"/>
  <c r="F67" i="23"/>
  <c r="E67" i="23"/>
  <c r="E110" i="23" s="1"/>
  <c r="E153" i="23" s="1"/>
  <c r="D67" i="23"/>
  <c r="D110" i="23" s="1"/>
  <c r="D153" i="23" s="1"/>
  <c r="D196" i="23" s="1"/>
  <c r="D239" i="23" s="1"/>
  <c r="D282" i="23" s="1"/>
  <c r="D325" i="23" s="1"/>
  <c r="D368" i="23" s="1"/>
  <c r="D411" i="23" s="1"/>
  <c r="D454" i="23" s="1"/>
  <c r="D497" i="23" s="1"/>
  <c r="D540" i="23" s="1"/>
  <c r="C67" i="23"/>
  <c r="B67" i="23"/>
  <c r="B110" i="23" s="1"/>
  <c r="B153" i="23" s="1"/>
  <c r="B196" i="23" s="1"/>
  <c r="B239" i="23" s="1"/>
  <c r="B282" i="23" s="1"/>
  <c r="B325" i="23" s="1"/>
  <c r="B368" i="23" s="1"/>
  <c r="B411" i="23" s="1"/>
  <c r="B454" i="23" s="1"/>
  <c r="B497" i="23" s="1"/>
  <c r="B540" i="23" s="1"/>
  <c r="D66" i="23"/>
  <c r="D64" i="23"/>
  <c r="D107" i="23" s="1"/>
  <c r="D150" i="23" s="1"/>
  <c r="D193" i="23" s="1"/>
  <c r="D236" i="23" s="1"/>
  <c r="D279" i="23" s="1"/>
  <c r="D322" i="23" s="1"/>
  <c r="D365" i="23" s="1"/>
  <c r="D408" i="23" s="1"/>
  <c r="D451" i="23" s="1"/>
  <c r="D494" i="23" s="1"/>
  <c r="D537" i="23" s="1"/>
  <c r="F63" i="23"/>
  <c r="E63" i="23"/>
  <c r="H63" i="23" s="1"/>
  <c r="D63" i="23"/>
  <c r="D106" i="23" s="1"/>
  <c r="D149" i="23" s="1"/>
  <c r="D192" i="23" s="1"/>
  <c r="D235" i="23" s="1"/>
  <c r="D278" i="23" s="1"/>
  <c r="D321" i="23" s="1"/>
  <c r="D364" i="23" s="1"/>
  <c r="D407" i="23" s="1"/>
  <c r="D450" i="23" s="1"/>
  <c r="D493" i="23" s="1"/>
  <c r="D536" i="23" s="1"/>
  <c r="C63" i="23"/>
  <c r="B63" i="23"/>
  <c r="F62" i="23"/>
  <c r="E62" i="23"/>
  <c r="G62" i="23" s="1"/>
  <c r="D62" i="23"/>
  <c r="D105" i="23" s="1"/>
  <c r="D148" i="23" s="1"/>
  <c r="D191" i="23" s="1"/>
  <c r="D234" i="23" s="1"/>
  <c r="D277" i="23" s="1"/>
  <c r="D320" i="23" s="1"/>
  <c r="D363" i="23" s="1"/>
  <c r="D406" i="23" s="1"/>
  <c r="D449" i="23" s="1"/>
  <c r="D492" i="23" s="1"/>
  <c r="D535" i="23" s="1"/>
  <c r="C62" i="23"/>
  <c r="B62" i="23"/>
  <c r="F61" i="23"/>
  <c r="E61" i="23"/>
  <c r="D61" i="23"/>
  <c r="C61" i="23"/>
  <c r="C104" i="23" s="1"/>
  <c r="C147" i="23" s="1"/>
  <c r="C190" i="23" s="1"/>
  <c r="C233" i="23" s="1"/>
  <c r="C276" i="23" s="1"/>
  <c r="C319" i="23" s="1"/>
  <c r="C362" i="23" s="1"/>
  <c r="C405" i="23" s="1"/>
  <c r="C448" i="23" s="1"/>
  <c r="C491" i="23" s="1"/>
  <c r="C534" i="23" s="1"/>
  <c r="B61" i="23"/>
  <c r="B104" i="23" s="1"/>
  <c r="B147" i="23" s="1"/>
  <c r="B190" i="23" s="1"/>
  <c r="B233" i="23" s="1"/>
  <c r="B276" i="23" s="1"/>
  <c r="B319" i="23" s="1"/>
  <c r="B362" i="23" s="1"/>
  <c r="B405" i="23" s="1"/>
  <c r="B448" i="23" s="1"/>
  <c r="B491" i="23" s="1"/>
  <c r="B534" i="23" s="1"/>
  <c r="F60" i="23"/>
  <c r="E60" i="23"/>
  <c r="E103" i="23" s="1"/>
  <c r="D60" i="23"/>
  <c r="D103" i="23" s="1"/>
  <c r="D146" i="23" s="1"/>
  <c r="D189" i="23" s="1"/>
  <c r="D232" i="23" s="1"/>
  <c r="D275" i="23" s="1"/>
  <c r="D318" i="23" s="1"/>
  <c r="D361" i="23" s="1"/>
  <c r="D404" i="23" s="1"/>
  <c r="D447" i="23" s="1"/>
  <c r="D490" i="23" s="1"/>
  <c r="D533" i="23" s="1"/>
  <c r="C60" i="23"/>
  <c r="C103" i="23" s="1"/>
  <c r="C146" i="23" s="1"/>
  <c r="C189" i="23" s="1"/>
  <c r="C232" i="23" s="1"/>
  <c r="C275" i="23" s="1"/>
  <c r="C318" i="23" s="1"/>
  <c r="C361" i="23" s="1"/>
  <c r="C404" i="23" s="1"/>
  <c r="C447" i="23" s="1"/>
  <c r="C490" i="23" s="1"/>
  <c r="C533" i="23" s="1"/>
  <c r="B60" i="23"/>
  <c r="F59" i="23"/>
  <c r="E59" i="23"/>
  <c r="G59" i="23" s="1"/>
  <c r="D59" i="23"/>
  <c r="D102" i="23" s="1"/>
  <c r="D145" i="23" s="1"/>
  <c r="D188" i="23" s="1"/>
  <c r="D231" i="23" s="1"/>
  <c r="D274" i="23" s="1"/>
  <c r="D317" i="23" s="1"/>
  <c r="D360" i="23" s="1"/>
  <c r="D403" i="23" s="1"/>
  <c r="D446" i="23" s="1"/>
  <c r="D489" i="23" s="1"/>
  <c r="D532" i="23" s="1"/>
  <c r="C59" i="23"/>
  <c r="C102" i="23" s="1"/>
  <c r="C145" i="23" s="1"/>
  <c r="C188" i="23" s="1"/>
  <c r="C231" i="23" s="1"/>
  <c r="C274" i="23" s="1"/>
  <c r="C317" i="23" s="1"/>
  <c r="C360" i="23" s="1"/>
  <c r="C403" i="23" s="1"/>
  <c r="C446" i="23" s="1"/>
  <c r="C489" i="23" s="1"/>
  <c r="C532" i="23" s="1"/>
  <c r="B59" i="23"/>
  <c r="B102" i="23" s="1"/>
  <c r="B145" i="23" s="1"/>
  <c r="B188" i="23" s="1"/>
  <c r="B231" i="23" s="1"/>
  <c r="B274" i="23" s="1"/>
  <c r="B317" i="23" s="1"/>
  <c r="B360" i="23" s="1"/>
  <c r="B403" i="23" s="1"/>
  <c r="B446" i="23" s="1"/>
  <c r="B489" i="23" s="1"/>
  <c r="B532" i="23" s="1"/>
  <c r="F58" i="23"/>
  <c r="E58" i="23"/>
  <c r="G58" i="23" s="1"/>
  <c r="D58" i="23"/>
  <c r="D101" i="23" s="1"/>
  <c r="D144" i="23" s="1"/>
  <c r="D187" i="23" s="1"/>
  <c r="D230" i="23" s="1"/>
  <c r="D273" i="23" s="1"/>
  <c r="D316" i="23" s="1"/>
  <c r="D359" i="23" s="1"/>
  <c r="D402" i="23" s="1"/>
  <c r="D445" i="23" s="1"/>
  <c r="D488" i="23" s="1"/>
  <c r="D531" i="23" s="1"/>
  <c r="C58" i="23"/>
  <c r="C101" i="23" s="1"/>
  <c r="C144" i="23" s="1"/>
  <c r="C187" i="23" s="1"/>
  <c r="C230" i="23" s="1"/>
  <c r="C273" i="23" s="1"/>
  <c r="C316" i="23" s="1"/>
  <c r="C359" i="23" s="1"/>
  <c r="C402" i="23" s="1"/>
  <c r="C445" i="23" s="1"/>
  <c r="C488" i="23" s="1"/>
  <c r="C531" i="23" s="1"/>
  <c r="B58" i="23"/>
  <c r="B101" i="23" s="1"/>
  <c r="B144" i="23" s="1"/>
  <c r="B187" i="23" s="1"/>
  <c r="B230" i="23" s="1"/>
  <c r="B273" i="23" s="1"/>
  <c r="B316" i="23" s="1"/>
  <c r="B359" i="23" s="1"/>
  <c r="B402" i="23" s="1"/>
  <c r="B445" i="23" s="1"/>
  <c r="B488" i="23" s="1"/>
  <c r="B531" i="23" s="1"/>
  <c r="F57" i="23"/>
  <c r="E57" i="23"/>
  <c r="D57" i="23"/>
  <c r="D100" i="23" s="1"/>
  <c r="D143" i="23" s="1"/>
  <c r="D186" i="23" s="1"/>
  <c r="D229" i="23" s="1"/>
  <c r="D272" i="23" s="1"/>
  <c r="D315" i="23" s="1"/>
  <c r="D358" i="23" s="1"/>
  <c r="D401" i="23" s="1"/>
  <c r="D444" i="23" s="1"/>
  <c r="D487" i="23" s="1"/>
  <c r="D530" i="23" s="1"/>
  <c r="C57" i="23"/>
  <c r="C100" i="23" s="1"/>
  <c r="C143" i="23" s="1"/>
  <c r="C186" i="23" s="1"/>
  <c r="C229" i="23" s="1"/>
  <c r="C272" i="23" s="1"/>
  <c r="C315" i="23" s="1"/>
  <c r="C358" i="23" s="1"/>
  <c r="C401" i="23" s="1"/>
  <c r="C444" i="23" s="1"/>
  <c r="C487" i="23" s="1"/>
  <c r="C530" i="23" s="1"/>
  <c r="B57" i="23"/>
  <c r="B100" i="23" s="1"/>
  <c r="B143" i="23" s="1"/>
  <c r="B186" i="23" s="1"/>
  <c r="B229" i="23" s="1"/>
  <c r="B272" i="23" s="1"/>
  <c r="B315" i="23" s="1"/>
  <c r="B358" i="23" s="1"/>
  <c r="B401" i="23" s="1"/>
  <c r="B444" i="23" s="1"/>
  <c r="B487" i="23" s="1"/>
  <c r="B530" i="23" s="1"/>
  <c r="F56" i="23"/>
  <c r="E56" i="23"/>
  <c r="G56" i="23" s="1"/>
  <c r="D56" i="23"/>
  <c r="C56" i="23"/>
  <c r="B56" i="23"/>
  <c r="B99" i="23" s="1"/>
  <c r="B142" i="23" s="1"/>
  <c r="B185" i="23" s="1"/>
  <c r="B228" i="23" s="1"/>
  <c r="B271" i="23" s="1"/>
  <c r="B314" i="23" s="1"/>
  <c r="B357" i="23" s="1"/>
  <c r="B400" i="23" s="1"/>
  <c r="B443" i="23" s="1"/>
  <c r="B486" i="23" s="1"/>
  <c r="B529" i="23" s="1"/>
  <c r="F55" i="23"/>
  <c r="E55" i="23"/>
  <c r="D55" i="23"/>
  <c r="D98" i="23" s="1"/>
  <c r="D141" i="23" s="1"/>
  <c r="D184" i="23" s="1"/>
  <c r="D227" i="23" s="1"/>
  <c r="D270" i="23" s="1"/>
  <c r="D313" i="23" s="1"/>
  <c r="D356" i="23" s="1"/>
  <c r="D399" i="23" s="1"/>
  <c r="D442" i="23" s="1"/>
  <c r="D485" i="23" s="1"/>
  <c r="D528" i="23" s="1"/>
  <c r="C55" i="23"/>
  <c r="C98" i="23" s="1"/>
  <c r="C141" i="23" s="1"/>
  <c r="C184" i="23" s="1"/>
  <c r="C227" i="23" s="1"/>
  <c r="C270" i="23" s="1"/>
  <c r="C313" i="23" s="1"/>
  <c r="C356" i="23" s="1"/>
  <c r="C399" i="23" s="1"/>
  <c r="C442" i="23" s="1"/>
  <c r="C485" i="23" s="1"/>
  <c r="C528" i="23" s="1"/>
  <c r="B55" i="23"/>
  <c r="B98" i="23" s="1"/>
  <c r="B141" i="23" s="1"/>
  <c r="B184" i="23" s="1"/>
  <c r="B227" i="23" s="1"/>
  <c r="B270" i="23" s="1"/>
  <c r="B313" i="23" s="1"/>
  <c r="B356" i="23" s="1"/>
  <c r="B399" i="23" s="1"/>
  <c r="B442" i="23" s="1"/>
  <c r="B485" i="23" s="1"/>
  <c r="B528" i="23" s="1"/>
  <c r="F54" i="23"/>
  <c r="E54" i="23"/>
  <c r="G54" i="23" s="1"/>
  <c r="D54" i="23"/>
  <c r="D97" i="23" s="1"/>
  <c r="D140" i="23" s="1"/>
  <c r="D183" i="23" s="1"/>
  <c r="D226" i="23" s="1"/>
  <c r="D269" i="23" s="1"/>
  <c r="D312" i="23" s="1"/>
  <c r="D355" i="23" s="1"/>
  <c r="D398" i="23" s="1"/>
  <c r="D441" i="23" s="1"/>
  <c r="D484" i="23" s="1"/>
  <c r="D527" i="23" s="1"/>
  <c r="C54" i="23"/>
  <c r="C97" i="23" s="1"/>
  <c r="C140" i="23" s="1"/>
  <c r="C183" i="23" s="1"/>
  <c r="C226" i="23" s="1"/>
  <c r="C269" i="23" s="1"/>
  <c r="C312" i="23" s="1"/>
  <c r="C355" i="23" s="1"/>
  <c r="C398" i="23" s="1"/>
  <c r="C441" i="23" s="1"/>
  <c r="C484" i="23" s="1"/>
  <c r="C527" i="23" s="1"/>
  <c r="B54" i="23"/>
  <c r="B97" i="23" s="1"/>
  <c r="B140" i="23" s="1"/>
  <c r="B183" i="23" s="1"/>
  <c r="B226" i="23" s="1"/>
  <c r="B269" i="23" s="1"/>
  <c r="B312" i="23" s="1"/>
  <c r="B355" i="23" s="1"/>
  <c r="B398" i="23" s="1"/>
  <c r="B441" i="23" s="1"/>
  <c r="B484" i="23" s="1"/>
  <c r="B527" i="23" s="1"/>
  <c r="F53" i="23"/>
  <c r="F84" i="23" s="1"/>
  <c r="E53" i="23"/>
  <c r="E96" i="23" s="1"/>
  <c r="E139" i="23" s="1"/>
  <c r="D53" i="23"/>
  <c r="C53" i="23"/>
  <c r="B53" i="23"/>
  <c r="F52" i="23"/>
  <c r="E52" i="23"/>
  <c r="G52" i="23" s="1"/>
  <c r="D52" i="23"/>
  <c r="D95" i="23" s="1"/>
  <c r="D138" i="23" s="1"/>
  <c r="D181" i="23" s="1"/>
  <c r="D224" i="23" s="1"/>
  <c r="D267" i="23" s="1"/>
  <c r="D310" i="23" s="1"/>
  <c r="D353" i="23" s="1"/>
  <c r="D396" i="23" s="1"/>
  <c r="D439" i="23" s="1"/>
  <c r="D482" i="23" s="1"/>
  <c r="D525" i="23" s="1"/>
  <c r="C52" i="23"/>
  <c r="C95" i="23" s="1"/>
  <c r="C138" i="23" s="1"/>
  <c r="C181" i="23" s="1"/>
  <c r="C224" i="23" s="1"/>
  <c r="C267" i="23" s="1"/>
  <c r="C310" i="23" s="1"/>
  <c r="C353" i="23" s="1"/>
  <c r="C396" i="23" s="1"/>
  <c r="C439" i="23" s="1"/>
  <c r="C482" i="23" s="1"/>
  <c r="C525" i="23" s="1"/>
  <c r="B52" i="23"/>
  <c r="B95" i="23" s="1"/>
  <c r="B138" i="23" s="1"/>
  <c r="B181" i="23" s="1"/>
  <c r="B224" i="23" s="1"/>
  <c r="B267" i="23" s="1"/>
  <c r="B310" i="23" s="1"/>
  <c r="B353" i="23" s="1"/>
  <c r="B396" i="23" s="1"/>
  <c r="B439" i="23" s="1"/>
  <c r="B482" i="23" s="1"/>
  <c r="B525" i="23" s="1"/>
  <c r="D51" i="23"/>
  <c r="D94" i="23" s="1"/>
  <c r="D137" i="23" s="1"/>
  <c r="D180" i="23" s="1"/>
  <c r="D223" i="23" s="1"/>
  <c r="D266" i="23" s="1"/>
  <c r="D309" i="23" s="1"/>
  <c r="D352" i="23" s="1"/>
  <c r="D395" i="23" s="1"/>
  <c r="D438" i="23" s="1"/>
  <c r="D481" i="23" s="1"/>
  <c r="D524" i="23" s="1"/>
  <c r="G47" i="23"/>
  <c r="G90" i="23" s="1"/>
  <c r="G133" i="23" s="1"/>
  <c r="G176" i="23" s="1"/>
  <c r="G219" i="23" s="1"/>
  <c r="G262" i="23" s="1"/>
  <c r="G305" i="23" s="1"/>
  <c r="G348" i="23" s="1"/>
  <c r="G391" i="23" s="1"/>
  <c r="G434" i="23" s="1"/>
  <c r="G477" i="23" s="1"/>
  <c r="G520" i="23" s="1"/>
  <c r="F47" i="23"/>
  <c r="F90" i="23" s="1"/>
  <c r="F133" i="23" s="1"/>
  <c r="F176" i="23" s="1"/>
  <c r="F219" i="23" s="1"/>
  <c r="F262" i="23" s="1"/>
  <c r="F305" i="23" s="1"/>
  <c r="F348" i="23" s="1"/>
  <c r="F391" i="23" s="1"/>
  <c r="F434" i="23" s="1"/>
  <c r="F477" i="23" s="1"/>
  <c r="F520" i="23" s="1"/>
  <c r="E47" i="23"/>
  <c r="E90" i="23" s="1"/>
  <c r="E133" i="23" s="1"/>
  <c r="E176" i="23" s="1"/>
  <c r="E219" i="23" s="1"/>
  <c r="E262" i="23" s="1"/>
  <c r="E305" i="23" s="1"/>
  <c r="E348" i="23" s="1"/>
  <c r="E391" i="23" s="1"/>
  <c r="E434" i="23" s="1"/>
  <c r="E477" i="23" s="1"/>
  <c r="E520" i="23" s="1"/>
  <c r="F41" i="23"/>
  <c r="E41" i="23"/>
  <c r="G41" i="23" s="1"/>
  <c r="F36" i="23"/>
  <c r="E36" i="23"/>
  <c r="G36" i="23" s="1"/>
  <c r="E12" i="7" s="1"/>
  <c r="H35" i="23"/>
  <c r="G35" i="23"/>
  <c r="H34" i="23"/>
  <c r="G34" i="23"/>
  <c r="H33" i="23"/>
  <c r="G33" i="23"/>
  <c r="H32" i="23"/>
  <c r="G32" i="23"/>
  <c r="H31" i="23"/>
  <c r="G31" i="23"/>
  <c r="H30" i="23"/>
  <c r="G30" i="23"/>
  <c r="H29" i="23"/>
  <c r="G29" i="23"/>
  <c r="H28" i="23"/>
  <c r="G28" i="23"/>
  <c r="H27" i="23"/>
  <c r="G27" i="23"/>
  <c r="H26" i="23"/>
  <c r="G26" i="23"/>
  <c r="H25" i="23"/>
  <c r="G25" i="23"/>
  <c r="H24" i="23"/>
  <c r="G24" i="23"/>
  <c r="F21" i="23"/>
  <c r="E21" i="23"/>
  <c r="H21" i="23" s="1"/>
  <c r="H20" i="23"/>
  <c r="G20" i="23"/>
  <c r="H19" i="23"/>
  <c r="G19" i="23"/>
  <c r="H18" i="23"/>
  <c r="G18" i="23"/>
  <c r="H17" i="23"/>
  <c r="G17" i="23"/>
  <c r="H16" i="23"/>
  <c r="G16" i="23"/>
  <c r="H15" i="23"/>
  <c r="G15" i="23"/>
  <c r="H14" i="23"/>
  <c r="G14" i="23"/>
  <c r="H13" i="23"/>
  <c r="G13" i="23"/>
  <c r="H12" i="23"/>
  <c r="G12" i="23"/>
  <c r="H11" i="23"/>
  <c r="G11" i="23"/>
  <c r="H10" i="23"/>
  <c r="G10" i="23"/>
  <c r="H9" i="23"/>
  <c r="G9" i="23"/>
  <c r="G101" i="21"/>
  <c r="G77" i="23" l="1"/>
  <c r="E118" i="23"/>
  <c r="E161" i="23" s="1"/>
  <c r="E204" i="23" s="1"/>
  <c r="E247" i="23" s="1"/>
  <c r="H58" i="23"/>
  <c r="E101" i="23"/>
  <c r="G101" i="23" s="1"/>
  <c r="E99" i="23"/>
  <c r="G99" i="23" s="1"/>
  <c r="H56" i="23"/>
  <c r="H52" i="23"/>
  <c r="G68" i="23"/>
  <c r="H36" i="23"/>
  <c r="G63" i="23"/>
  <c r="H59" i="23"/>
  <c r="H57" i="23"/>
  <c r="H41" i="23"/>
  <c r="G21" i="23"/>
  <c r="E11" i="7" s="1"/>
  <c r="E146" i="23"/>
  <c r="F163" i="23"/>
  <c r="H120" i="23"/>
  <c r="F158" i="23"/>
  <c r="H115" i="23"/>
  <c r="F185" i="23"/>
  <c r="G53" i="23"/>
  <c r="E98" i="23"/>
  <c r="F103" i="23"/>
  <c r="F144" i="23"/>
  <c r="E155" i="23"/>
  <c r="F233" i="23"/>
  <c r="G115" i="23"/>
  <c r="E144" i="23"/>
  <c r="E290" i="23"/>
  <c r="E201" i="23"/>
  <c r="G158" i="23"/>
  <c r="E182" i="23"/>
  <c r="H70" i="23"/>
  <c r="H76" i="23"/>
  <c r="G76" i="23"/>
  <c r="E119" i="23"/>
  <c r="F274" i="23"/>
  <c r="E113" i="23"/>
  <c r="H153" i="23"/>
  <c r="G153" i="23"/>
  <c r="E196" i="23"/>
  <c r="F113" i="23"/>
  <c r="F98" i="23"/>
  <c r="H110" i="23"/>
  <c r="F283" i="23"/>
  <c r="H55" i="23"/>
  <c r="G96" i="23"/>
  <c r="F353" i="23"/>
  <c r="F540" i="23"/>
  <c r="E79" i="23"/>
  <c r="E97" i="23"/>
  <c r="G110" i="23"/>
  <c r="E206" i="23"/>
  <c r="G163" i="23"/>
  <c r="G67" i="23"/>
  <c r="G69" i="23"/>
  <c r="F79" i="23"/>
  <c r="F97" i="23"/>
  <c r="C207" i="23"/>
  <c r="G72" i="23"/>
  <c r="F95" i="23"/>
  <c r="F64" i="23"/>
  <c r="E64" i="23"/>
  <c r="G64" i="23" s="1"/>
  <c r="H11" i="7" s="1"/>
  <c r="G61" i="23"/>
  <c r="H67" i="23"/>
  <c r="H69" i="23"/>
  <c r="F112" i="23"/>
  <c r="E106" i="23"/>
  <c r="G120" i="23"/>
  <c r="H53" i="23"/>
  <c r="H60" i="23"/>
  <c r="E100" i="23"/>
  <c r="H74" i="23"/>
  <c r="F117" i="23"/>
  <c r="E84" i="23"/>
  <c r="G84" i="23" s="1"/>
  <c r="E95" i="23"/>
  <c r="F100" i="23"/>
  <c r="H72" i="23"/>
  <c r="G74" i="23"/>
  <c r="F96" i="23"/>
  <c r="C106" i="23"/>
  <c r="H54" i="23"/>
  <c r="H61" i="23"/>
  <c r="F106" i="23"/>
  <c r="E117" i="23"/>
  <c r="G60" i="23"/>
  <c r="G55" i="23"/>
  <c r="G57" i="23"/>
  <c r="H75" i="23"/>
  <c r="H77" i="23"/>
  <c r="E104" i="23"/>
  <c r="F118" i="23"/>
  <c r="E105" i="23"/>
  <c r="E114" i="23"/>
  <c r="F119" i="23"/>
  <c r="F105" i="23"/>
  <c r="F114" i="23"/>
  <c r="E121" i="23"/>
  <c r="H62" i="23"/>
  <c r="H71" i="23"/>
  <c r="G78" i="23"/>
  <c r="E116" i="23"/>
  <c r="F121" i="23"/>
  <c r="G73" i="23"/>
  <c r="H78" i="23"/>
  <c r="E102" i="23"/>
  <c r="E111" i="23"/>
  <c r="F116" i="23"/>
  <c r="F482" i="23"/>
  <c r="AL56" i="8"/>
  <c r="AI56" i="8"/>
  <c r="AF56" i="8"/>
  <c r="AC56" i="8"/>
  <c r="Z56" i="8"/>
  <c r="W56" i="8"/>
  <c r="T56" i="8"/>
  <c r="Q56" i="8"/>
  <c r="N56" i="8"/>
  <c r="K56" i="8"/>
  <c r="H56" i="8"/>
  <c r="E56" i="8"/>
  <c r="AL50" i="8"/>
  <c r="AI50" i="8"/>
  <c r="AF50" i="8"/>
  <c r="AC50" i="8"/>
  <c r="Z50" i="8"/>
  <c r="W50" i="8"/>
  <c r="T50" i="8"/>
  <c r="Q50" i="8"/>
  <c r="N50" i="8"/>
  <c r="K50" i="8"/>
  <c r="H50" i="8"/>
  <c r="E50" i="8"/>
  <c r="AL44" i="8"/>
  <c r="AI44" i="8"/>
  <c r="AF44" i="8"/>
  <c r="AC44" i="8"/>
  <c r="Z44" i="8"/>
  <c r="W44" i="8"/>
  <c r="T44" i="8"/>
  <c r="Q44" i="8"/>
  <c r="N44" i="8"/>
  <c r="K44" i="8"/>
  <c r="H44" i="8"/>
  <c r="E44" i="8"/>
  <c r="AL38" i="8"/>
  <c r="AI38" i="8"/>
  <c r="AF38" i="8"/>
  <c r="AC38" i="8"/>
  <c r="Z38" i="8"/>
  <c r="W38" i="8"/>
  <c r="T38" i="8"/>
  <c r="Q38" i="8"/>
  <c r="N38" i="8"/>
  <c r="K38" i="8"/>
  <c r="H38" i="8"/>
  <c r="E38" i="8"/>
  <c r="AL32" i="8"/>
  <c r="AI32" i="8"/>
  <c r="AF32" i="8"/>
  <c r="AC32" i="8"/>
  <c r="Z32" i="8"/>
  <c r="W32" i="8"/>
  <c r="T32" i="8"/>
  <c r="Q32" i="8"/>
  <c r="N32" i="8"/>
  <c r="K32" i="8"/>
  <c r="H32" i="8"/>
  <c r="E32" i="8"/>
  <c r="AL26" i="8"/>
  <c r="AI26" i="8"/>
  <c r="AF26" i="8"/>
  <c r="AC26" i="8"/>
  <c r="Z26" i="8"/>
  <c r="W26" i="8"/>
  <c r="T26" i="8"/>
  <c r="Q26" i="8"/>
  <c r="N26" i="8"/>
  <c r="K26" i="8"/>
  <c r="H26" i="8"/>
  <c r="E26" i="8"/>
  <c r="AL20" i="8"/>
  <c r="AI20" i="8"/>
  <c r="AF20" i="8"/>
  <c r="AC20" i="8"/>
  <c r="Z20" i="8"/>
  <c r="W20" i="8"/>
  <c r="T20" i="8"/>
  <c r="Q20" i="8"/>
  <c r="N20" i="8"/>
  <c r="K20" i="8"/>
  <c r="H20" i="8"/>
  <c r="E20" i="8"/>
  <c r="AL14" i="8"/>
  <c r="AI14" i="8"/>
  <c r="AF14" i="8"/>
  <c r="AC14" i="8"/>
  <c r="Z14" i="8"/>
  <c r="W14" i="8"/>
  <c r="T14" i="8"/>
  <c r="Q14" i="8"/>
  <c r="N14" i="8"/>
  <c r="K14" i="8"/>
  <c r="H14" i="8"/>
  <c r="E14" i="8"/>
  <c r="AL62" i="8"/>
  <c r="AI62" i="8"/>
  <c r="AF62" i="8"/>
  <c r="AC62" i="8"/>
  <c r="Z62" i="8"/>
  <c r="W62" i="8"/>
  <c r="T62" i="8"/>
  <c r="Q62" i="8"/>
  <c r="N62" i="8"/>
  <c r="K62" i="8"/>
  <c r="H62" i="8"/>
  <c r="E62" i="8"/>
  <c r="E16" i="15"/>
  <c r="H101" i="23" l="1"/>
  <c r="E142" i="23"/>
  <c r="H142" i="23" s="1"/>
  <c r="H99" i="23"/>
  <c r="H79" i="23"/>
  <c r="F525" i="23"/>
  <c r="F156" i="23"/>
  <c r="H113" i="23"/>
  <c r="F228" i="23"/>
  <c r="F187" i="23"/>
  <c r="H144" i="23"/>
  <c r="H105" i="23"/>
  <c r="F148" i="23"/>
  <c r="C250" i="23"/>
  <c r="E225" i="23"/>
  <c r="H158" i="23"/>
  <c r="F201" i="23"/>
  <c r="F107" i="23"/>
  <c r="E107" i="23"/>
  <c r="G107" i="23" s="1"/>
  <c r="K11" i="7" s="1"/>
  <c r="C149" i="23"/>
  <c r="E149" i="23"/>
  <c r="G106" i="23"/>
  <c r="F157" i="23"/>
  <c r="H114" i="23"/>
  <c r="G196" i="23"/>
  <c r="E239" i="23"/>
  <c r="H196" i="23"/>
  <c r="H97" i="23"/>
  <c r="F140" i="23"/>
  <c r="E156" i="23"/>
  <c r="G113" i="23"/>
  <c r="F206" i="23"/>
  <c r="H163" i="23"/>
  <c r="H119" i="23"/>
  <c r="F162" i="23"/>
  <c r="G79" i="23"/>
  <c r="H12" i="7" s="1"/>
  <c r="F326" i="23"/>
  <c r="F317" i="23"/>
  <c r="E333" i="23"/>
  <c r="H103" i="23"/>
  <c r="F146" i="23"/>
  <c r="G103" i="23"/>
  <c r="H95" i="23"/>
  <c r="F127" i="23"/>
  <c r="F160" i="23"/>
  <c r="H117" i="23"/>
  <c r="H96" i="23"/>
  <c r="F139" i="23"/>
  <c r="G114" i="23"/>
  <c r="E157" i="23"/>
  <c r="E187" i="23"/>
  <c r="G144" i="23"/>
  <c r="E189" i="23"/>
  <c r="F155" i="23"/>
  <c r="H112" i="23"/>
  <c r="F122" i="23"/>
  <c r="E159" i="23"/>
  <c r="G116" i="23"/>
  <c r="F159" i="23"/>
  <c r="H116" i="23"/>
  <c r="E148" i="23"/>
  <c r="G105" i="23"/>
  <c r="E160" i="23"/>
  <c r="G117" i="23"/>
  <c r="F143" i="23"/>
  <c r="H100" i="23"/>
  <c r="H98" i="23"/>
  <c r="F141" i="23"/>
  <c r="E162" i="23"/>
  <c r="G119" i="23"/>
  <c r="G98" i="23"/>
  <c r="E141" i="23"/>
  <c r="E198" i="23"/>
  <c r="G155" i="23"/>
  <c r="E164" i="23"/>
  <c r="G121" i="23"/>
  <c r="F161" i="23"/>
  <c r="G118" i="23"/>
  <c r="H118" i="23"/>
  <c r="E185" i="23"/>
  <c r="G142" i="23"/>
  <c r="G201" i="23"/>
  <c r="E244" i="23"/>
  <c r="F149" i="23"/>
  <c r="H106" i="23"/>
  <c r="F276" i="23"/>
  <c r="E122" i="23"/>
  <c r="G122" i="23" s="1"/>
  <c r="K12" i="7" s="1"/>
  <c r="G206" i="23"/>
  <c r="E249" i="23"/>
  <c r="H121" i="23"/>
  <c r="F164" i="23"/>
  <c r="G100" i="23"/>
  <c r="E143" i="23"/>
  <c r="E147" i="23"/>
  <c r="G104" i="23"/>
  <c r="E140" i="23"/>
  <c r="G97" i="23"/>
  <c r="E154" i="23"/>
  <c r="H111" i="23"/>
  <c r="G111" i="23"/>
  <c r="E145" i="23"/>
  <c r="G102" i="23"/>
  <c r="H102" i="23"/>
  <c r="E127" i="23"/>
  <c r="E138" i="23"/>
  <c r="G95" i="23"/>
  <c r="H64" i="23"/>
  <c r="H104" i="23"/>
  <c r="G112" i="23"/>
  <c r="H84" i="23"/>
  <c r="AL23" i="15"/>
  <c r="AI23" i="15"/>
  <c r="AF23" i="15"/>
  <c r="AC23" i="15"/>
  <c r="Z23" i="15"/>
  <c r="W23" i="15"/>
  <c r="T23" i="15"/>
  <c r="Q23" i="15"/>
  <c r="N23" i="15"/>
  <c r="K23" i="15"/>
  <c r="H23" i="15"/>
  <c r="E23" i="15"/>
  <c r="AL16" i="15"/>
  <c r="AI16" i="15"/>
  <c r="AF16" i="15"/>
  <c r="AC16" i="15"/>
  <c r="Z16" i="15"/>
  <c r="W16" i="15"/>
  <c r="T16" i="15"/>
  <c r="Q16" i="15"/>
  <c r="N16" i="15"/>
  <c r="K16" i="15"/>
  <c r="H16" i="15"/>
  <c r="AL13" i="14"/>
  <c r="AI13" i="14"/>
  <c r="AF13" i="14"/>
  <c r="AC13" i="14"/>
  <c r="Z13" i="14"/>
  <c r="W13" i="14"/>
  <c r="T13" i="14"/>
  <c r="Q13" i="14"/>
  <c r="N13" i="14"/>
  <c r="K13" i="14"/>
  <c r="H13" i="14"/>
  <c r="E13" i="14"/>
  <c r="AL30" i="11"/>
  <c r="AI30" i="11"/>
  <c r="AF30" i="11"/>
  <c r="AC30" i="11"/>
  <c r="Z30" i="11"/>
  <c r="W30" i="11"/>
  <c r="T30" i="11"/>
  <c r="Q30" i="11"/>
  <c r="N30" i="11"/>
  <c r="K30" i="11"/>
  <c r="H30" i="11"/>
  <c r="E30" i="11"/>
  <c r="AL23" i="11"/>
  <c r="AI23" i="11"/>
  <c r="AF23" i="11"/>
  <c r="AC23" i="11"/>
  <c r="Z23" i="11"/>
  <c r="W23" i="11"/>
  <c r="T23" i="11"/>
  <c r="Q23" i="11"/>
  <c r="N23" i="11"/>
  <c r="K23" i="11"/>
  <c r="H23" i="11"/>
  <c r="E23" i="11"/>
  <c r="AV18" i="5"/>
  <c r="AV26" i="5" s="1"/>
  <c r="AV34" i="5" s="1"/>
  <c r="AV42" i="5" s="1"/>
  <c r="AV50" i="5" s="1"/>
  <c r="AV58" i="5" s="1"/>
  <c r="AV66" i="5" s="1"/>
  <c r="AV74" i="5" s="1"/>
  <c r="AV82" i="5" s="1"/>
  <c r="AV90" i="5" s="1"/>
  <c r="AV98" i="5" s="1"/>
  <c r="AT18" i="5"/>
  <c r="AT26" i="5" s="1"/>
  <c r="AT34" i="5" s="1"/>
  <c r="AT42" i="5" s="1"/>
  <c r="AT50" i="5" s="1"/>
  <c r="AT58" i="5" s="1"/>
  <c r="AT66" i="5" s="1"/>
  <c r="AT74" i="5" s="1"/>
  <c r="AT82" i="5" s="1"/>
  <c r="AT90" i="5" s="1"/>
  <c r="AT98" i="5" s="1"/>
  <c r="V18" i="5"/>
  <c r="V26" i="5" s="1"/>
  <c r="V34" i="5" s="1"/>
  <c r="V42" i="5" s="1"/>
  <c r="V50" i="5" s="1"/>
  <c r="V58" i="5" s="1"/>
  <c r="V66" i="5" s="1"/>
  <c r="V74" i="5" s="1"/>
  <c r="C4" i="22"/>
  <c r="C2" i="22"/>
  <c r="I35" i="22"/>
  <c r="J111" i="21"/>
  <c r="J107" i="21"/>
  <c r="H101" i="21"/>
  <c r="J103" i="21" s="1"/>
  <c r="C99" i="21"/>
  <c r="C98" i="21"/>
  <c r="C96" i="21"/>
  <c r="C95" i="21"/>
  <c r="C93" i="21"/>
  <c r="H86" i="21"/>
  <c r="H85" i="21"/>
  <c r="H83" i="21"/>
  <c r="H82" i="21"/>
  <c r="G86" i="21"/>
  <c r="G85" i="21"/>
  <c r="G84" i="21"/>
  <c r="G83" i="21"/>
  <c r="G82" i="21"/>
  <c r="C86" i="21"/>
  <c r="C85" i="21"/>
  <c r="C84" i="21"/>
  <c r="C83" i="21"/>
  <c r="C82" i="21"/>
  <c r="C80" i="21"/>
  <c r="H77" i="21"/>
  <c r="H76" i="21"/>
  <c r="H75" i="21"/>
  <c r="H74" i="21"/>
  <c r="G77" i="21"/>
  <c r="G76" i="21"/>
  <c r="G75" i="21"/>
  <c r="G74" i="21"/>
  <c r="C77" i="21"/>
  <c r="C76" i="21"/>
  <c r="C75" i="21"/>
  <c r="C74" i="21"/>
  <c r="C72" i="21"/>
  <c r="H62" i="21"/>
  <c r="H61" i="21"/>
  <c r="H60" i="21"/>
  <c r="H58" i="21"/>
  <c r="G62" i="21"/>
  <c r="G61" i="21"/>
  <c r="G60" i="21"/>
  <c r="G59" i="21"/>
  <c r="G58" i="21"/>
  <c r="H57" i="21"/>
  <c r="G57" i="21"/>
  <c r="C57" i="21"/>
  <c r="C62" i="21"/>
  <c r="C61" i="21"/>
  <c r="C60" i="21"/>
  <c r="C59" i="21"/>
  <c r="C58" i="21"/>
  <c r="C55" i="21"/>
  <c r="H52" i="21"/>
  <c r="H50" i="21"/>
  <c r="G52" i="21"/>
  <c r="G51" i="21"/>
  <c r="G50" i="21"/>
  <c r="C52" i="21"/>
  <c r="C51" i="21"/>
  <c r="C50" i="21"/>
  <c r="C48" i="21"/>
  <c r="C38" i="21"/>
  <c r="B36" i="21"/>
  <c r="C33" i="21"/>
  <c r="C32" i="21"/>
  <c r="C28" i="21"/>
  <c r="C27" i="21"/>
  <c r="C26" i="21"/>
  <c r="C25" i="21"/>
  <c r="C24" i="21"/>
  <c r="C23" i="21"/>
  <c r="C22" i="21"/>
  <c r="C21" i="21"/>
  <c r="B19" i="21"/>
  <c r="C16" i="21"/>
  <c r="C15" i="21"/>
  <c r="B13" i="21"/>
  <c r="C10" i="21"/>
  <c r="C9" i="21"/>
  <c r="B5" i="21"/>
  <c r="C8" i="21"/>
  <c r="B3" i="21"/>
  <c r="C44" i="21"/>
  <c r="C34" i="21"/>
  <c r="AH18" i="5"/>
  <c r="AH26" i="5" s="1"/>
  <c r="AH34" i="5" s="1"/>
  <c r="AH42" i="5" s="1"/>
  <c r="AH50" i="5" s="1"/>
  <c r="AH58" i="5" s="1"/>
  <c r="AH66" i="5" s="1"/>
  <c r="AH74" i="5" s="1"/>
  <c r="AH82" i="5" s="1"/>
  <c r="AH90" i="5" s="1"/>
  <c r="AH98" i="5" s="1"/>
  <c r="H127" i="23" l="1"/>
  <c r="E241" i="23"/>
  <c r="F205" i="23"/>
  <c r="H162" i="23"/>
  <c r="E268" i="23"/>
  <c r="F207" i="23"/>
  <c r="H164" i="23"/>
  <c r="G141" i="23"/>
  <c r="E184" i="23"/>
  <c r="E191" i="23"/>
  <c r="G148" i="23"/>
  <c r="F199" i="23"/>
  <c r="H156" i="23"/>
  <c r="E287" i="23"/>
  <c r="G187" i="23"/>
  <c r="E230" i="23"/>
  <c r="H146" i="23"/>
  <c r="F189" i="23"/>
  <c r="F200" i="23"/>
  <c r="H157" i="23"/>
  <c r="G145" i="23"/>
  <c r="E188" i="23"/>
  <c r="H145" i="23"/>
  <c r="E292" i="23"/>
  <c r="H159" i="23"/>
  <c r="F202" i="23"/>
  <c r="C293" i="23"/>
  <c r="E200" i="23"/>
  <c r="G157" i="23"/>
  <c r="G149" i="23"/>
  <c r="E192" i="23"/>
  <c r="F191" i="23"/>
  <c r="H148" i="23"/>
  <c r="H149" i="23"/>
  <c r="F192" i="23"/>
  <c r="G159" i="23"/>
  <c r="E202" i="23"/>
  <c r="E228" i="23"/>
  <c r="G185" i="23"/>
  <c r="E197" i="23"/>
  <c r="G154" i="23"/>
  <c r="H154" i="23"/>
  <c r="E165" i="23"/>
  <c r="F319" i="23"/>
  <c r="G162" i="23"/>
  <c r="E205" i="23"/>
  <c r="H206" i="23"/>
  <c r="F249" i="23"/>
  <c r="H122" i="23"/>
  <c r="F182" i="23"/>
  <c r="H139" i="23"/>
  <c r="F170" i="23"/>
  <c r="G139" i="23"/>
  <c r="F360" i="23"/>
  <c r="E199" i="23"/>
  <c r="G156" i="23"/>
  <c r="H107" i="23"/>
  <c r="F230" i="23"/>
  <c r="H187" i="23"/>
  <c r="E186" i="23"/>
  <c r="G143" i="23"/>
  <c r="G189" i="23"/>
  <c r="E232" i="23"/>
  <c r="E150" i="23"/>
  <c r="F150" i="23"/>
  <c r="C192" i="23"/>
  <c r="E183" i="23"/>
  <c r="G140" i="23"/>
  <c r="H161" i="23"/>
  <c r="F204" i="23"/>
  <c r="G161" i="23"/>
  <c r="H143" i="23"/>
  <c r="F186" i="23"/>
  <c r="F183" i="23"/>
  <c r="H140" i="23"/>
  <c r="F271" i="23"/>
  <c r="F184" i="23"/>
  <c r="H141" i="23"/>
  <c r="E376" i="23"/>
  <c r="G138" i="23"/>
  <c r="E181" i="23"/>
  <c r="E170" i="23"/>
  <c r="H138" i="23"/>
  <c r="H155" i="23"/>
  <c r="F198" i="23"/>
  <c r="F165" i="23"/>
  <c r="F369" i="23"/>
  <c r="H201" i="23"/>
  <c r="F244" i="23"/>
  <c r="G244" i="23" s="1"/>
  <c r="H185" i="23"/>
  <c r="E282" i="23"/>
  <c r="G239" i="23"/>
  <c r="H239" i="23"/>
  <c r="G127" i="23"/>
  <c r="G147" i="23"/>
  <c r="E190" i="23"/>
  <c r="H147" i="23"/>
  <c r="E207" i="23"/>
  <c r="G164" i="23"/>
  <c r="G160" i="23"/>
  <c r="E203" i="23"/>
  <c r="G146" i="23"/>
  <c r="F203" i="23"/>
  <c r="H160" i="23"/>
  <c r="G78" i="21"/>
  <c r="H78" i="21"/>
  <c r="G87" i="21"/>
  <c r="G63" i="21"/>
  <c r="G53" i="21"/>
  <c r="H87" i="21"/>
  <c r="V82" i="5"/>
  <c r="V90" i="5" s="1"/>
  <c r="V98" i="5" s="1"/>
  <c r="H170" i="23" l="1"/>
  <c r="J89" i="21"/>
  <c r="H165" i="23"/>
  <c r="AJ34" i="5"/>
  <c r="H150" i="23"/>
  <c r="X34" i="5"/>
  <c r="H207" i="23"/>
  <c r="F250" i="23"/>
  <c r="G228" i="23"/>
  <c r="E271" i="23"/>
  <c r="E242" i="23"/>
  <c r="G199" i="23"/>
  <c r="G188" i="23"/>
  <c r="E231" i="23"/>
  <c r="H188" i="23"/>
  <c r="E226" i="23"/>
  <c r="G183" i="23"/>
  <c r="E193" i="23"/>
  <c r="F193" i="23"/>
  <c r="C235" i="23"/>
  <c r="G207" i="23"/>
  <c r="E250" i="23"/>
  <c r="F412" i="23"/>
  <c r="F229" i="23"/>
  <c r="H186" i="23"/>
  <c r="E233" i="23"/>
  <c r="G190" i="23"/>
  <c r="H190" i="23"/>
  <c r="E275" i="23"/>
  <c r="F362" i="23"/>
  <c r="H192" i="23"/>
  <c r="F235" i="23"/>
  <c r="H200" i="23"/>
  <c r="F243" i="23"/>
  <c r="H205" i="23"/>
  <c r="F248" i="23"/>
  <c r="E246" i="23"/>
  <c r="G203" i="23"/>
  <c r="G287" i="23"/>
  <c r="E330" i="23"/>
  <c r="E248" i="23"/>
  <c r="G205" i="23"/>
  <c r="G202" i="23"/>
  <c r="E245" i="23"/>
  <c r="H199" i="23"/>
  <c r="F242" i="23"/>
  <c r="F241" i="23"/>
  <c r="H198" i="23"/>
  <c r="F208" i="23"/>
  <c r="H202" i="23"/>
  <c r="F245" i="23"/>
  <c r="F232" i="23"/>
  <c r="H189" i="23"/>
  <c r="E234" i="23"/>
  <c r="G191" i="23"/>
  <c r="E284" i="23"/>
  <c r="G241" i="23"/>
  <c r="E224" i="23"/>
  <c r="G181" i="23"/>
  <c r="E213" i="23"/>
  <c r="G213" i="23" s="1"/>
  <c r="H181" i="23"/>
  <c r="G165" i="23"/>
  <c r="N12" i="7" s="1"/>
  <c r="G198" i="23"/>
  <c r="G200" i="23"/>
  <c r="E243" i="23"/>
  <c r="E419" i="23"/>
  <c r="G150" i="23"/>
  <c r="N11" i="7" s="1"/>
  <c r="F403" i="23"/>
  <c r="C336" i="23"/>
  <c r="F227" i="23"/>
  <c r="H184" i="23"/>
  <c r="H204" i="23"/>
  <c r="F247" i="23"/>
  <c r="G204" i="23"/>
  <c r="E229" i="23"/>
  <c r="G186" i="23"/>
  <c r="H182" i="23"/>
  <c r="F225" i="23"/>
  <c r="F213" i="23"/>
  <c r="G182" i="23"/>
  <c r="F234" i="23"/>
  <c r="H191" i="23"/>
  <c r="E227" i="23"/>
  <c r="G184" i="23"/>
  <c r="F287" i="23"/>
  <c r="H244" i="23"/>
  <c r="F226" i="23"/>
  <c r="H183" i="23"/>
  <c r="H203" i="23"/>
  <c r="F246" i="23"/>
  <c r="F314" i="23"/>
  <c r="G192" i="23"/>
  <c r="E235" i="23"/>
  <c r="E335" i="23"/>
  <c r="E273" i="23"/>
  <c r="G230" i="23"/>
  <c r="H282" i="23"/>
  <c r="G282" i="23"/>
  <c r="E325" i="23"/>
  <c r="G170" i="23"/>
  <c r="H228" i="23"/>
  <c r="H230" i="23"/>
  <c r="F273" i="23"/>
  <c r="H249" i="23"/>
  <c r="F292" i="23"/>
  <c r="G197" i="23"/>
  <c r="E240" i="23"/>
  <c r="H197" i="23"/>
  <c r="E208" i="23"/>
  <c r="G249" i="23"/>
  <c r="AL24" i="12"/>
  <c r="AI24" i="12"/>
  <c r="AF24" i="12"/>
  <c r="AC24" i="12"/>
  <c r="Z24" i="12"/>
  <c r="W24" i="12"/>
  <c r="T24" i="12"/>
  <c r="Q24" i="12"/>
  <c r="N24" i="12"/>
  <c r="K24" i="12"/>
  <c r="H24" i="12"/>
  <c r="AL23" i="14"/>
  <c r="AI23" i="14"/>
  <c r="AF23" i="14"/>
  <c r="AC23" i="14"/>
  <c r="Z23" i="14"/>
  <c r="W23" i="14"/>
  <c r="T23" i="14"/>
  <c r="Q23" i="14"/>
  <c r="N23" i="14"/>
  <c r="K23" i="14"/>
  <c r="H23" i="14"/>
  <c r="AL14" i="16"/>
  <c r="AL31" i="16" s="1"/>
  <c r="AI14" i="16"/>
  <c r="AI31" i="16" s="1"/>
  <c r="AF14" i="16"/>
  <c r="AF31" i="16" s="1"/>
  <c r="AC14" i="16"/>
  <c r="AC31" i="16" s="1"/>
  <c r="Z14" i="16"/>
  <c r="Z31" i="16" s="1"/>
  <c r="W14" i="16"/>
  <c r="W31" i="16" s="1"/>
  <c r="T14" i="16"/>
  <c r="T31" i="16" s="1"/>
  <c r="Q14" i="16"/>
  <c r="Q31" i="16" s="1"/>
  <c r="N14" i="16"/>
  <c r="N31" i="16" s="1"/>
  <c r="K14" i="16"/>
  <c r="K31" i="16" s="1"/>
  <c r="H14" i="16"/>
  <c r="H31" i="16" s="1"/>
  <c r="E14" i="16"/>
  <c r="J6" i="19"/>
  <c r="H66" i="19"/>
  <c r="H64" i="19"/>
  <c r="H62" i="19"/>
  <c r="H61" i="19"/>
  <c r="H60" i="19"/>
  <c r="H59" i="19"/>
  <c r="H58" i="19"/>
  <c r="H56" i="19"/>
  <c r="H54" i="19"/>
  <c r="H52" i="19"/>
  <c r="H50" i="19"/>
  <c r="H49" i="19"/>
  <c r="H48" i="19"/>
  <c r="H47" i="19"/>
  <c r="H45" i="19"/>
  <c r="H43" i="19"/>
  <c r="H41" i="19"/>
  <c r="H40" i="19"/>
  <c r="H39" i="19"/>
  <c r="H37" i="19"/>
  <c r="H38" i="19"/>
  <c r="H36" i="19"/>
  <c r="H34" i="19"/>
  <c r="H32" i="19"/>
  <c r="H30" i="19"/>
  <c r="H28" i="19"/>
  <c r="H26" i="19"/>
  <c r="H25" i="19"/>
  <c r="H24" i="19"/>
  <c r="H23" i="19"/>
  <c r="H21" i="19"/>
  <c r="H19" i="19"/>
  <c r="H12" i="19"/>
  <c r="H10" i="19"/>
  <c r="H17" i="19"/>
  <c r="H16" i="19"/>
  <c r="H15" i="19"/>
  <c r="H14" i="19"/>
  <c r="E43" i="19"/>
  <c r="C8" i="20"/>
  <c r="C6" i="20"/>
  <c r="C2" i="20"/>
  <c r="H8" i="19"/>
  <c r="H6" i="19"/>
  <c r="C6" i="19"/>
  <c r="C2" i="19"/>
  <c r="H2" i="19" s="1"/>
  <c r="E64" i="19"/>
  <c r="J52" i="19"/>
  <c r="E52" i="19"/>
  <c r="J28" i="19"/>
  <c r="E28" i="19"/>
  <c r="E19" i="19"/>
  <c r="AV6" i="18"/>
  <c r="AT6" i="18"/>
  <c r="BA4" i="18"/>
  <c r="BA6" i="18" s="1"/>
  <c r="AY4" i="18"/>
  <c r="AY6" i="18" s="1"/>
  <c r="AV4" i="18"/>
  <c r="AT4" i="18"/>
  <c r="AL24" i="18"/>
  <c r="AI24" i="18"/>
  <c r="AI39" i="6" s="1"/>
  <c r="AF24" i="18"/>
  <c r="AC24" i="18"/>
  <c r="Z24" i="18"/>
  <c r="W24" i="18"/>
  <c r="T24" i="18"/>
  <c r="Q24" i="18"/>
  <c r="N24" i="18"/>
  <c r="N39" i="6" s="1"/>
  <c r="K24" i="18"/>
  <c r="K39" i="6" s="1"/>
  <c r="H24" i="18"/>
  <c r="H39" i="6" s="1"/>
  <c r="E24" i="18"/>
  <c r="AQ8" i="18"/>
  <c r="AM8" i="18"/>
  <c r="AJ8" i="18"/>
  <c r="AG8" i="18"/>
  <c r="AD8" i="18"/>
  <c r="AA8" i="18"/>
  <c r="X8" i="18"/>
  <c r="U8" i="18"/>
  <c r="R8" i="18"/>
  <c r="O8" i="18"/>
  <c r="L8" i="18"/>
  <c r="I8" i="18"/>
  <c r="F8" i="18"/>
  <c r="AP9" i="18"/>
  <c r="AL9" i="18"/>
  <c r="AI9" i="18"/>
  <c r="AF9" i="18"/>
  <c r="AC9" i="18"/>
  <c r="Z9" i="18"/>
  <c r="W9" i="18"/>
  <c r="T9" i="18"/>
  <c r="Q9" i="18"/>
  <c r="N9" i="18"/>
  <c r="K9" i="18"/>
  <c r="H9" i="18"/>
  <c r="E9" i="18"/>
  <c r="AP8" i="18"/>
  <c r="AL8" i="18"/>
  <c r="AI8" i="18"/>
  <c r="AF8" i="18"/>
  <c r="AC8" i="18"/>
  <c r="Z8" i="18"/>
  <c r="W8" i="18"/>
  <c r="T8" i="18"/>
  <c r="Q8" i="18"/>
  <c r="N8" i="18"/>
  <c r="K8" i="18"/>
  <c r="H8" i="18"/>
  <c r="E8" i="18"/>
  <c r="E6" i="18"/>
  <c r="B6" i="18"/>
  <c r="B4" i="18"/>
  <c r="B3" i="18"/>
  <c r="B2" i="18"/>
  <c r="AP22" i="18"/>
  <c r="AP21" i="18"/>
  <c r="AP20" i="18"/>
  <c r="AP19" i="18"/>
  <c r="AP18" i="18"/>
  <c r="AP17" i="18"/>
  <c r="AP16" i="18"/>
  <c r="AP15" i="18"/>
  <c r="AP14" i="18"/>
  <c r="AP13" i="18"/>
  <c r="H6" i="18"/>
  <c r="K6" i="18" s="1"/>
  <c r="N6" i="18" s="1"/>
  <c r="Q6" i="18" s="1"/>
  <c r="T6" i="18" s="1"/>
  <c r="W6" i="18" s="1"/>
  <c r="Z6" i="18" s="1"/>
  <c r="AC6" i="18" s="1"/>
  <c r="AF6" i="18" s="1"/>
  <c r="AI6" i="18" s="1"/>
  <c r="AL6" i="18" s="1"/>
  <c r="AP6" i="18" s="1"/>
  <c r="AV6" i="17"/>
  <c r="AT6" i="17"/>
  <c r="BA4" i="17"/>
  <c r="BA6" i="17" s="1"/>
  <c r="AY4" i="17"/>
  <c r="AY6" i="17" s="1"/>
  <c r="AV4" i="17"/>
  <c r="AT4" i="17"/>
  <c r="AL8" i="17"/>
  <c r="AI8" i="17"/>
  <c r="AF8" i="17"/>
  <c r="AC8" i="17"/>
  <c r="Z8" i="17"/>
  <c r="W8" i="17"/>
  <c r="T8" i="17"/>
  <c r="Q8" i="17"/>
  <c r="N8" i="17"/>
  <c r="K8" i="17"/>
  <c r="H8" i="17"/>
  <c r="E8" i="17"/>
  <c r="AP9" i="17"/>
  <c r="AL9" i="17"/>
  <c r="AI9" i="17"/>
  <c r="AF9" i="17"/>
  <c r="AC9" i="17"/>
  <c r="Z9" i="17"/>
  <c r="W9" i="17"/>
  <c r="T9" i="17"/>
  <c r="Q9" i="17"/>
  <c r="N9" i="17"/>
  <c r="K9" i="17"/>
  <c r="H9" i="17"/>
  <c r="E9" i="17"/>
  <c r="AP8" i="17"/>
  <c r="AQ8" i="17"/>
  <c r="AM8" i="17"/>
  <c r="AJ8" i="17"/>
  <c r="AG8" i="17"/>
  <c r="AD8" i="17"/>
  <c r="AA8" i="17"/>
  <c r="X8" i="17"/>
  <c r="U8" i="17"/>
  <c r="R8" i="17"/>
  <c r="O8" i="17"/>
  <c r="L8" i="17"/>
  <c r="I8" i="17"/>
  <c r="F8" i="17"/>
  <c r="E6" i="17"/>
  <c r="H6" i="17" s="1"/>
  <c r="K6" i="17" s="1"/>
  <c r="N6" i="17" s="1"/>
  <c r="Q6" i="17" s="1"/>
  <c r="T6" i="17" s="1"/>
  <c r="W6" i="17" s="1"/>
  <c r="Z6" i="17" s="1"/>
  <c r="AC6" i="17" s="1"/>
  <c r="AF6" i="17" s="1"/>
  <c r="AI6" i="17" s="1"/>
  <c r="AL6" i="17" s="1"/>
  <c r="AP6" i="17" s="1"/>
  <c r="AL24" i="17"/>
  <c r="AI24" i="17"/>
  <c r="AI38" i="6" s="1"/>
  <c r="AF24" i="17"/>
  <c r="AC24" i="17"/>
  <c r="Z24" i="17"/>
  <c r="W24" i="17"/>
  <c r="T24" i="17"/>
  <c r="Q24" i="17"/>
  <c r="N24" i="17"/>
  <c r="K24" i="17"/>
  <c r="H24" i="17"/>
  <c r="E24" i="17"/>
  <c r="B6" i="17"/>
  <c r="B4" i="17"/>
  <c r="B3" i="17"/>
  <c r="B2" i="17"/>
  <c r="B6" i="16"/>
  <c r="B4" i="16"/>
  <c r="B3" i="16"/>
  <c r="B2" i="16"/>
  <c r="AP22" i="17"/>
  <c r="AP21" i="17"/>
  <c r="AP20" i="17"/>
  <c r="AP19" i="17"/>
  <c r="AP18" i="17"/>
  <c r="AP17" i="17"/>
  <c r="AP16" i="17"/>
  <c r="AP15" i="17"/>
  <c r="AP14" i="17"/>
  <c r="AP13" i="17"/>
  <c r="AP9" i="16"/>
  <c r="AL9" i="16"/>
  <c r="AI9" i="16"/>
  <c r="AF9" i="16"/>
  <c r="AC9" i="16"/>
  <c r="Z9" i="16"/>
  <c r="W9" i="16"/>
  <c r="T9" i="16"/>
  <c r="Q9" i="16"/>
  <c r="N9" i="16"/>
  <c r="K9" i="16"/>
  <c r="H9" i="16"/>
  <c r="E9" i="16"/>
  <c r="AQ8" i="16"/>
  <c r="AM8" i="16"/>
  <c r="AJ8" i="16"/>
  <c r="AG8" i="16"/>
  <c r="AD8" i="16"/>
  <c r="AA8" i="16"/>
  <c r="X8" i="16"/>
  <c r="U8" i="16"/>
  <c r="R8" i="16"/>
  <c r="O8" i="16"/>
  <c r="L8" i="16"/>
  <c r="I8" i="16"/>
  <c r="F8" i="16"/>
  <c r="AP8" i="16"/>
  <c r="AL8" i="16"/>
  <c r="AI8" i="16"/>
  <c r="AF8" i="16"/>
  <c r="AC8" i="16"/>
  <c r="Z8" i="16"/>
  <c r="W8" i="16"/>
  <c r="T8" i="16"/>
  <c r="Q8" i="16"/>
  <c r="N8" i="16"/>
  <c r="K8" i="16"/>
  <c r="H8" i="16"/>
  <c r="E8" i="16"/>
  <c r="E6" i="16"/>
  <c r="H6" i="16" s="1"/>
  <c r="K6" i="16" s="1"/>
  <c r="N6" i="16" s="1"/>
  <c r="Q6" i="16" s="1"/>
  <c r="T6" i="16" s="1"/>
  <c r="W6" i="16" s="1"/>
  <c r="Z6" i="16" s="1"/>
  <c r="AC6" i="16" s="1"/>
  <c r="AF6" i="16" s="1"/>
  <c r="AI6" i="16" s="1"/>
  <c r="AL6" i="16" s="1"/>
  <c r="AP6" i="16" s="1"/>
  <c r="AP29" i="16"/>
  <c r="E31" i="16"/>
  <c r="AV6" i="16"/>
  <c r="AT6" i="16"/>
  <c r="BA4" i="16"/>
  <c r="BA6" i="16" s="1"/>
  <c r="AY4" i="16"/>
  <c r="AY6" i="16" s="1"/>
  <c r="AV4" i="16"/>
  <c r="AT4" i="16"/>
  <c r="AP28" i="16"/>
  <c r="AP27" i="16"/>
  <c r="AP26" i="16"/>
  <c r="AP25" i="16"/>
  <c r="AP24" i="16"/>
  <c r="AP23" i="16"/>
  <c r="AP22" i="16"/>
  <c r="AP21" i="16"/>
  <c r="AP20" i="16"/>
  <c r="AP19" i="16"/>
  <c r="AP18" i="16"/>
  <c r="AP17" i="16"/>
  <c r="AP16" i="16"/>
  <c r="AP15" i="16"/>
  <c r="AP14" i="16"/>
  <c r="AP13" i="16"/>
  <c r="AQ8" i="15"/>
  <c r="AM8" i="15"/>
  <c r="AJ8" i="15"/>
  <c r="AG8" i="15"/>
  <c r="AD8" i="15"/>
  <c r="AA8" i="15"/>
  <c r="X8" i="15"/>
  <c r="U8" i="15"/>
  <c r="R8" i="15"/>
  <c r="O8" i="15"/>
  <c r="L8" i="15"/>
  <c r="I8" i="15"/>
  <c r="F8" i="15"/>
  <c r="AP9" i="15"/>
  <c r="AL9" i="15"/>
  <c r="AI9" i="15"/>
  <c r="AF9" i="15"/>
  <c r="AC9" i="15"/>
  <c r="Z9" i="15"/>
  <c r="W9" i="15"/>
  <c r="T9" i="15"/>
  <c r="Q9" i="15"/>
  <c r="N9" i="15"/>
  <c r="K9" i="15"/>
  <c r="H9" i="15"/>
  <c r="E9" i="15"/>
  <c r="AP8" i="15"/>
  <c r="AL8" i="15"/>
  <c r="AI8" i="15"/>
  <c r="AF8" i="15"/>
  <c r="AC8" i="15"/>
  <c r="Z8" i="15"/>
  <c r="W8" i="15"/>
  <c r="T8" i="15"/>
  <c r="Q8" i="15"/>
  <c r="N8" i="15"/>
  <c r="K8" i="15"/>
  <c r="H8" i="15"/>
  <c r="E8" i="15"/>
  <c r="E6" i="15"/>
  <c r="H6" i="15" s="1"/>
  <c r="K6" i="15" s="1"/>
  <c r="N6" i="15" s="1"/>
  <c r="Q6" i="15" s="1"/>
  <c r="T6" i="15" s="1"/>
  <c r="W6" i="15" s="1"/>
  <c r="Z6" i="15" s="1"/>
  <c r="AC6" i="15" s="1"/>
  <c r="AF6" i="15" s="1"/>
  <c r="AI6" i="15" s="1"/>
  <c r="AL6" i="15" s="1"/>
  <c r="AP6" i="15" s="1"/>
  <c r="AV6" i="15"/>
  <c r="AT6" i="15"/>
  <c r="BA4" i="15"/>
  <c r="BA6" i="15" s="1"/>
  <c r="AY4" i="15"/>
  <c r="AY6" i="15" s="1"/>
  <c r="AV4" i="15"/>
  <c r="AT4" i="15"/>
  <c r="B6" i="15"/>
  <c r="B3" i="12"/>
  <c r="AP27" i="15"/>
  <c r="AP26" i="15"/>
  <c r="AP25" i="15"/>
  <c r="AP24" i="15"/>
  <c r="AP23" i="15"/>
  <c r="AP22" i="15"/>
  <c r="AP21" i="15"/>
  <c r="AP19" i="15"/>
  <c r="AP18" i="15"/>
  <c r="AP17" i="15"/>
  <c r="AP16" i="15"/>
  <c r="AP15" i="15"/>
  <c r="AP14" i="15"/>
  <c r="AP13" i="15"/>
  <c r="E23" i="14"/>
  <c r="E31" i="6" s="1"/>
  <c r="AQ8" i="14"/>
  <c r="AM8" i="14"/>
  <c r="AJ8" i="14"/>
  <c r="AG8" i="14"/>
  <c r="AD8" i="14"/>
  <c r="AA8" i="14"/>
  <c r="X8" i="14"/>
  <c r="U8" i="14"/>
  <c r="R8" i="14"/>
  <c r="O8" i="14"/>
  <c r="L8" i="14"/>
  <c r="I8" i="14"/>
  <c r="F8" i="14"/>
  <c r="AP9" i="14"/>
  <c r="AL9" i="14"/>
  <c r="AI9" i="14"/>
  <c r="AF9" i="14"/>
  <c r="AC9" i="14"/>
  <c r="Z9" i="14"/>
  <c r="W9" i="14"/>
  <c r="T9" i="14"/>
  <c r="Q9" i="14"/>
  <c r="N9" i="14"/>
  <c r="K9" i="14"/>
  <c r="H9" i="14"/>
  <c r="E9" i="14"/>
  <c r="AP8" i="14"/>
  <c r="AL8" i="14"/>
  <c r="AI8" i="14"/>
  <c r="AF8" i="14"/>
  <c r="AC8" i="14"/>
  <c r="Z8" i="14"/>
  <c r="W8" i="14"/>
  <c r="T8" i="14"/>
  <c r="Q8" i="14"/>
  <c r="N8" i="14"/>
  <c r="K8" i="14"/>
  <c r="H8" i="14"/>
  <c r="E8" i="14"/>
  <c r="E6" i="14"/>
  <c r="AV6" i="14"/>
  <c r="AT6" i="14"/>
  <c r="BA4" i="14"/>
  <c r="BA6" i="14" s="1"/>
  <c r="AY4" i="14"/>
  <c r="AY6" i="14" s="1"/>
  <c r="AV4" i="14"/>
  <c r="AT4" i="14"/>
  <c r="B6" i="14"/>
  <c r="AP21" i="14"/>
  <c r="AP20" i="14"/>
  <c r="AP19" i="14"/>
  <c r="AP18" i="14"/>
  <c r="AP17" i="14"/>
  <c r="AP16" i="14"/>
  <c r="AP15" i="14"/>
  <c r="AP14" i="14"/>
  <c r="AP13" i="14"/>
  <c r="H6" i="14"/>
  <c r="K6" i="14" s="1"/>
  <c r="N6" i="14" s="1"/>
  <c r="Q6" i="14" s="1"/>
  <c r="T6" i="14" s="1"/>
  <c r="W6" i="14" s="1"/>
  <c r="Z6" i="14" s="1"/>
  <c r="AC6" i="14" s="1"/>
  <c r="AF6" i="14" s="1"/>
  <c r="AI6" i="14" s="1"/>
  <c r="AL6" i="14" s="1"/>
  <c r="AP6" i="14" s="1"/>
  <c r="B6" i="13"/>
  <c r="AQ8" i="13"/>
  <c r="AM8" i="13"/>
  <c r="AJ8" i="13"/>
  <c r="AG8" i="13"/>
  <c r="AD8" i="13"/>
  <c r="AA8" i="13"/>
  <c r="X8" i="13"/>
  <c r="U8" i="13"/>
  <c r="R8" i="13"/>
  <c r="O8" i="13"/>
  <c r="L8" i="13"/>
  <c r="I8" i="13"/>
  <c r="F8" i="13"/>
  <c r="AP9" i="13"/>
  <c r="AL9" i="13"/>
  <c r="AI9" i="13"/>
  <c r="AF9" i="13"/>
  <c r="AC9" i="13"/>
  <c r="Z9" i="13"/>
  <c r="W9" i="13"/>
  <c r="T9" i="13"/>
  <c r="Q9" i="13"/>
  <c r="N9" i="13"/>
  <c r="K9" i="13"/>
  <c r="H9" i="13"/>
  <c r="E9" i="13"/>
  <c r="AP8" i="13"/>
  <c r="AL8" i="13"/>
  <c r="AI8" i="13"/>
  <c r="AF8" i="13"/>
  <c r="AC8" i="13"/>
  <c r="Z8" i="13"/>
  <c r="W8" i="13"/>
  <c r="T8" i="13"/>
  <c r="Q8" i="13"/>
  <c r="N8" i="13"/>
  <c r="K8" i="13"/>
  <c r="H8" i="13"/>
  <c r="E8" i="13"/>
  <c r="E6" i="13"/>
  <c r="AV6" i="13"/>
  <c r="AT6" i="13"/>
  <c r="BA4" i="13"/>
  <c r="BA6" i="13" s="1"/>
  <c r="AY4" i="13"/>
  <c r="AY6" i="13" s="1"/>
  <c r="AV4" i="13"/>
  <c r="AT4" i="13"/>
  <c r="AP22" i="13"/>
  <c r="AP21" i="13"/>
  <c r="AP20" i="13"/>
  <c r="AP19" i="13"/>
  <c r="AP18" i="13"/>
  <c r="AP17" i="13"/>
  <c r="AP16" i="13"/>
  <c r="AP15" i="13"/>
  <c r="AP14" i="13"/>
  <c r="AP13" i="13"/>
  <c r="H6" i="13"/>
  <c r="K6" i="13" s="1"/>
  <c r="N6" i="13" s="1"/>
  <c r="Q6" i="13" s="1"/>
  <c r="T6" i="13" s="1"/>
  <c r="W6" i="13" s="1"/>
  <c r="Z6" i="13" s="1"/>
  <c r="AC6" i="13" s="1"/>
  <c r="AF6" i="13" s="1"/>
  <c r="AI6" i="13" s="1"/>
  <c r="AL6" i="13" s="1"/>
  <c r="AP6" i="13" s="1"/>
  <c r="C7" i="6"/>
  <c r="B7" i="13" s="1"/>
  <c r="AV6" i="12"/>
  <c r="AT6" i="12"/>
  <c r="BA4" i="12"/>
  <c r="BA6" i="12" s="1"/>
  <c r="AY4" i="12"/>
  <c r="AY6" i="12" s="1"/>
  <c r="AV4" i="12"/>
  <c r="AT4" i="12"/>
  <c r="AP8" i="12"/>
  <c r="AL8" i="12"/>
  <c r="AI8" i="12"/>
  <c r="AF8" i="12"/>
  <c r="AC8" i="12"/>
  <c r="Z8" i="12"/>
  <c r="W8" i="12"/>
  <c r="T8" i="12"/>
  <c r="Q8" i="12"/>
  <c r="N8" i="12"/>
  <c r="K8" i="12"/>
  <c r="H8" i="12"/>
  <c r="E8" i="12"/>
  <c r="E6" i="11"/>
  <c r="E6" i="10"/>
  <c r="E6" i="9"/>
  <c r="E6" i="12"/>
  <c r="B7" i="12"/>
  <c r="B6" i="12"/>
  <c r="E24" i="12"/>
  <c r="F21" i="12" s="1"/>
  <c r="AP22" i="12"/>
  <c r="AP21" i="12"/>
  <c r="AP20" i="12"/>
  <c r="AP19" i="12"/>
  <c r="AP18" i="12"/>
  <c r="AP17" i="12"/>
  <c r="AP16" i="12"/>
  <c r="AP15" i="12"/>
  <c r="AP14" i="12"/>
  <c r="AP13" i="12"/>
  <c r="H6" i="12"/>
  <c r="K6" i="12" s="1"/>
  <c r="N6" i="12" s="1"/>
  <c r="Q6" i="12" s="1"/>
  <c r="T6" i="12" s="1"/>
  <c r="W6" i="12" s="1"/>
  <c r="Z6" i="12" s="1"/>
  <c r="AC6" i="12" s="1"/>
  <c r="AF6" i="12" s="1"/>
  <c r="AI6" i="12" s="1"/>
  <c r="AL6" i="12" s="1"/>
  <c r="AP6" i="12" s="1"/>
  <c r="AV6" i="11"/>
  <c r="AT6" i="11"/>
  <c r="BA4" i="11"/>
  <c r="BA6" i="11" s="1"/>
  <c r="AY4" i="11"/>
  <c r="AY6" i="11" s="1"/>
  <c r="AV4" i="11"/>
  <c r="AT4" i="1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7" i="11"/>
  <c r="B6" i="11"/>
  <c r="B4" i="11"/>
  <c r="B3" i="11"/>
  <c r="B2" i="11"/>
  <c r="AP32" i="11"/>
  <c r="AP31" i="11"/>
  <c r="AP30" i="11"/>
  <c r="AP29" i="11"/>
  <c r="AP28" i="11"/>
  <c r="AP27" i="11"/>
  <c r="AP26" i="11"/>
  <c r="AP25" i="11"/>
  <c r="AP24" i="11"/>
  <c r="AP23" i="11"/>
  <c r="AP22" i="11"/>
  <c r="AP21" i="11"/>
  <c r="AP20" i="11"/>
  <c r="AP19" i="11"/>
  <c r="AP18" i="11"/>
  <c r="AP16" i="11"/>
  <c r="AP15" i="11"/>
  <c r="AP14" i="11"/>
  <c r="H6" i="11"/>
  <c r="K6" i="11" s="1"/>
  <c r="N6" i="11" s="1"/>
  <c r="Q6" i="11" s="1"/>
  <c r="T6" i="11" s="1"/>
  <c r="W6" i="11" s="1"/>
  <c r="Z6" i="11" s="1"/>
  <c r="AC6" i="11" s="1"/>
  <c r="AF6" i="11" s="1"/>
  <c r="AI6" i="11" s="1"/>
  <c r="AL6" i="11" s="1"/>
  <c r="AP6" i="11" s="1"/>
  <c r="O155" i="1"/>
  <c r="AV6" i="10"/>
  <c r="AT6" i="10"/>
  <c r="BA4" i="10"/>
  <c r="BA6" i="10" s="1"/>
  <c r="AY4" i="10"/>
  <c r="AY6" i="10" s="1"/>
  <c r="AV4" i="10"/>
  <c r="AT4" i="10"/>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H6" i="10"/>
  <c r="K6" i="10" s="1"/>
  <c r="N6" i="10" s="1"/>
  <c r="Q6" i="10" s="1"/>
  <c r="T6" i="10" s="1"/>
  <c r="W6" i="10" s="1"/>
  <c r="Z6" i="10" s="1"/>
  <c r="AC6" i="10" s="1"/>
  <c r="AF6" i="10" s="1"/>
  <c r="AI6" i="10" s="1"/>
  <c r="AL6" i="10" s="1"/>
  <c r="AP6" i="10" s="1"/>
  <c r="B6" i="10"/>
  <c r="B4" i="10"/>
  <c r="B3" i="10"/>
  <c r="B2" i="10"/>
  <c r="AJ25" i="10"/>
  <c r="AM25" i="10" s="1"/>
  <c r="AG25"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AS13" i="6"/>
  <c r="AS12" i="6"/>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103"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103" i="5"/>
  <c r="E97" i="5"/>
  <c r="E89" i="5"/>
  <c r="E81" i="5"/>
  <c r="E73" i="5"/>
  <c r="E65" i="5"/>
  <c r="E57" i="5"/>
  <c r="E49" i="5"/>
  <c r="E41" i="5"/>
  <c r="E33" i="5"/>
  <c r="E17" i="5"/>
  <c r="E25"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T55" i="5"/>
  <c r="BT63" i="5"/>
  <c r="BT71" i="5"/>
  <c r="BT73" i="5"/>
  <c r="BR63" i="5"/>
  <c r="BR71" i="5"/>
  <c r="BR73" i="5"/>
  <c r="BM57" i="5"/>
  <c r="BM65" i="5"/>
  <c r="BM73" i="5"/>
  <c r="BM55" i="5"/>
  <c r="BM63" i="5"/>
  <c r="BM71" i="5"/>
  <c r="BT65" i="5"/>
  <c r="BR65" i="5"/>
  <c r="BT57" i="5"/>
  <c r="BR57" i="5"/>
  <c r="BH71" i="5"/>
  <c r="BF71" i="5"/>
  <c r="BA73" i="5"/>
  <c r="BA65" i="5"/>
  <c r="BH63" i="5"/>
  <c r="BF63" i="5"/>
  <c r="BC63" i="5"/>
  <c r="BA63" i="5"/>
  <c r="BA57" i="5"/>
  <c r="BH55" i="5"/>
  <c r="BH73" i="5"/>
  <c r="BF73" i="5"/>
  <c r="BC55" i="5"/>
  <c r="BC71" i="5"/>
  <c r="BA55" i="5"/>
  <c r="BA71" i="5"/>
  <c r="BH65" i="5"/>
  <c r="BF65" i="5"/>
  <c r="BH57" i="5"/>
  <c r="BF57" i="5"/>
  <c r="BT31" i="5"/>
  <c r="BT39" i="5"/>
  <c r="BT47" i="5"/>
  <c r="BT49" i="5"/>
  <c r="BR23" i="5"/>
  <c r="BR31" i="5"/>
  <c r="BR39" i="5"/>
  <c r="BR47" i="5"/>
  <c r="BR49" i="5"/>
  <c r="BM33" i="5"/>
  <c r="BM41" i="5"/>
  <c r="BM49" i="5"/>
  <c r="BM31" i="5"/>
  <c r="BM39" i="5"/>
  <c r="BM47" i="5"/>
  <c r="BT41" i="5"/>
  <c r="BR41" i="5"/>
  <c r="BT33" i="5"/>
  <c r="BR33" i="5"/>
  <c r="BA49" i="5"/>
  <c r="BA41" i="5"/>
  <c r="BA33" i="5"/>
  <c r="BH47" i="5"/>
  <c r="BF23" i="5"/>
  <c r="BF31" i="5"/>
  <c r="BF39" i="5"/>
  <c r="BF47" i="5"/>
  <c r="BH39" i="5"/>
  <c r="BH31" i="5"/>
  <c r="BH49" i="5"/>
  <c r="BF49" i="5"/>
  <c r="BC31" i="5"/>
  <c r="BC39" i="5"/>
  <c r="BC47" i="5"/>
  <c r="BA31" i="5"/>
  <c r="BA39" i="5"/>
  <c r="BA47" i="5"/>
  <c r="BH41" i="5"/>
  <c r="BF41" i="5"/>
  <c r="BH33" i="5"/>
  <c r="BF33" i="5"/>
  <c r="BT23" i="5"/>
  <c r="BT25" i="5"/>
  <c r="BR25" i="5"/>
  <c r="BM25" i="5"/>
  <c r="BH23" i="5"/>
  <c r="BH25" i="5"/>
  <c r="BF25" i="5"/>
  <c r="BA25" i="5"/>
  <c r="BM23" i="5"/>
  <c r="BC23" i="5"/>
  <c r="BA23" i="5"/>
  <c r="BT15" i="5"/>
  <c r="BM17" i="5"/>
  <c r="BM15" i="5"/>
  <c r="BH15" i="5"/>
  <c r="BA17" i="5"/>
  <c r="BA15" i="5"/>
  <c r="BT17" i="5"/>
  <c r="BR15" i="5"/>
  <c r="BR17" i="5"/>
  <c r="BO17" i="5"/>
  <c r="BH17" i="5"/>
  <c r="BF15" i="5"/>
  <c r="BF17" i="5"/>
  <c r="BC17" i="5"/>
  <c r="BO15" i="5"/>
  <c r="BC15" i="5"/>
  <c r="BT9" i="5"/>
  <c r="BR7" i="5"/>
  <c r="BR9" i="5"/>
  <c r="BO9" i="5"/>
  <c r="BO7" i="5"/>
  <c r="BH9" i="5"/>
  <c r="BF9" i="5"/>
  <c r="BC9" i="5"/>
  <c r="BJ6" i="6"/>
  <c r="V103" i="5"/>
  <c r="AH103" i="5"/>
  <c r="AT103" i="5"/>
  <c r="BF103" i="5"/>
  <c r="BR103" i="5"/>
  <c r="BH4" i="6"/>
  <c r="BH6" i="6"/>
  <c r="BJ4" i="6"/>
  <c r="BE6" i="6"/>
  <c r="BE4" i="6"/>
  <c r="BC6" i="6"/>
  <c r="BC4" i="6"/>
  <c r="BA6" i="8"/>
  <c r="AY4" i="8"/>
  <c r="AY6" i="8"/>
  <c r="BA4" i="8"/>
  <c r="AV6" i="8"/>
  <c r="AV4" i="8"/>
  <c r="AT6" i="8"/>
  <c r="AT4" i="8"/>
  <c r="BA6" i="9"/>
  <c r="AY4" i="9"/>
  <c r="AY6" i="9"/>
  <c r="BA4" i="9"/>
  <c r="AV6" i="9"/>
  <c r="AV4" i="9"/>
  <c r="AT6" i="9"/>
  <c r="AT4" i="9"/>
  <c r="BA6" i="7"/>
  <c r="AY4" i="7"/>
  <c r="AY6" i="7"/>
  <c r="BA4" i="7"/>
  <c r="AV6" i="7"/>
  <c r="AV4" i="7"/>
  <c r="AT6" i="7"/>
  <c r="AT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AS34" i="6"/>
  <c r="AS38" i="6"/>
  <c r="AS39" i="6"/>
  <c r="BM113" i="5"/>
  <c r="BM111" i="5"/>
  <c r="BO113" i="5"/>
  <c r="BO111" i="5"/>
  <c r="BO105" i="5"/>
  <c r="BO103" i="5"/>
  <c r="BR113" i="5"/>
  <c r="BT105" i="5"/>
  <c r="BR105" i="5"/>
  <c r="BF105" i="5"/>
  <c r="AT113" i="5"/>
  <c r="AT111" i="5"/>
  <c r="X103" i="5"/>
  <c r="AJ103" i="5"/>
  <c r="AV103" i="5"/>
  <c r="AV105" i="5"/>
  <c r="AT105" i="5"/>
  <c r="AQ111" i="5"/>
  <c r="S105" i="5"/>
  <c r="AE105" i="5"/>
  <c r="AQ105" i="5"/>
  <c r="AQ113" i="5"/>
  <c r="Q105" i="5"/>
  <c r="AO105" i="5"/>
  <c r="AO113" i="5"/>
  <c r="Q103" i="5"/>
  <c r="AO103" i="5"/>
  <c r="AO111" i="5"/>
  <c r="AQ103" i="5"/>
  <c r="AH113" i="5"/>
  <c r="AH111" i="5"/>
  <c r="AJ105" i="5"/>
  <c r="AH105" i="5"/>
  <c r="AE113" i="5"/>
  <c r="AC113" i="5"/>
  <c r="AE111" i="5"/>
  <c r="AC111" i="5"/>
  <c r="AE103" i="5"/>
  <c r="S103" i="5"/>
  <c r="V111" i="5"/>
  <c r="V113" i="5"/>
  <c r="X105" i="5"/>
  <c r="V105" i="5"/>
  <c r="G113" i="5"/>
  <c r="S113" i="5"/>
  <c r="E113" i="5"/>
  <c r="Q113" i="5"/>
  <c r="S111" i="5"/>
  <c r="Q111" i="5"/>
  <c r="J113" i="5"/>
  <c r="L105" i="5"/>
  <c r="J105" i="5"/>
  <c r="G111" i="5"/>
  <c r="E111" i="5"/>
  <c r="BA113" i="5"/>
  <c r="BC111" i="5"/>
  <c r="BA111" i="5"/>
  <c r="BF113" i="5"/>
  <c r="BH105" i="5"/>
  <c r="C65" i="8"/>
  <c r="C59" i="8"/>
  <c r="C53" i="8"/>
  <c r="C47" i="8"/>
  <c r="C41" i="8"/>
  <c r="C35" i="8"/>
  <c r="C29" i="8"/>
  <c r="C23" i="8"/>
  <c r="C17" i="8"/>
  <c r="C11" i="8"/>
  <c r="B38" i="9"/>
  <c r="B16" i="7"/>
  <c r="B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P28" i="9"/>
  <c r="AP29" i="9"/>
  <c r="AP30" i="9"/>
  <c r="AP32" i="9"/>
  <c r="AP34" i="9"/>
  <c r="AP35" i="9"/>
  <c r="AL13" i="9"/>
  <c r="AL14" i="9"/>
  <c r="AL15" i="9"/>
  <c r="AL16" i="9"/>
  <c r="AL17" i="9"/>
  <c r="AL18" i="9"/>
  <c r="AP18" i="9" s="1"/>
  <c r="AL19" i="9"/>
  <c r="AL20" i="9"/>
  <c r="AL21" i="9"/>
  <c r="AI13" i="9"/>
  <c r="AI14" i="9"/>
  <c r="AI15" i="9"/>
  <c r="AI16" i="9"/>
  <c r="AI17" i="9"/>
  <c r="AI18" i="9"/>
  <c r="AI19" i="9"/>
  <c r="AI20" i="9"/>
  <c r="AI21" i="9"/>
  <c r="AF13" i="9"/>
  <c r="AF14" i="9"/>
  <c r="AF15" i="9"/>
  <c r="AF16" i="9"/>
  <c r="AF17" i="9"/>
  <c r="AF18" i="9"/>
  <c r="AF19" i="9"/>
  <c r="AF20" i="9"/>
  <c r="AF21" i="9"/>
  <c r="AC13" i="9"/>
  <c r="AC14" i="9"/>
  <c r="AC15" i="9"/>
  <c r="AC16" i="9"/>
  <c r="AP16" i="9" s="1"/>
  <c r="AC17" i="9"/>
  <c r="AC18" i="9"/>
  <c r="AC19" i="9"/>
  <c r="AC20" i="9"/>
  <c r="AC21" i="9"/>
  <c r="Z13" i="9"/>
  <c r="Z14" i="9"/>
  <c r="Z15" i="9"/>
  <c r="Z16" i="9"/>
  <c r="Z17" i="9"/>
  <c r="Z18" i="9"/>
  <c r="Z19" i="9"/>
  <c r="Z20" i="9"/>
  <c r="Z21" i="9"/>
  <c r="W13" i="9"/>
  <c r="W14" i="9"/>
  <c r="W15" i="9"/>
  <c r="W16" i="9"/>
  <c r="W17" i="9"/>
  <c r="W18" i="9"/>
  <c r="W19" i="9"/>
  <c r="W20" i="9"/>
  <c r="W21" i="9"/>
  <c r="T13" i="9"/>
  <c r="T14" i="9"/>
  <c r="T15" i="9"/>
  <c r="T16" i="9"/>
  <c r="T17" i="9"/>
  <c r="T18" i="9"/>
  <c r="T19" i="9"/>
  <c r="T20" i="9"/>
  <c r="T21" i="9"/>
  <c r="Q13" i="9"/>
  <c r="Q14" i="9"/>
  <c r="Q15" i="9"/>
  <c r="Q16" i="9"/>
  <c r="Q17" i="9"/>
  <c r="Q18" i="9"/>
  <c r="Q19" i="9"/>
  <c r="Q20" i="9"/>
  <c r="Q21" i="9"/>
  <c r="N13" i="9"/>
  <c r="N14" i="9"/>
  <c r="N15" i="9"/>
  <c r="N16" i="9"/>
  <c r="N17" i="9"/>
  <c r="N18" i="9"/>
  <c r="N19" i="9"/>
  <c r="N20" i="9"/>
  <c r="N21" i="9"/>
  <c r="K13" i="9"/>
  <c r="K14" i="9"/>
  <c r="K15" i="9"/>
  <c r="K16" i="9"/>
  <c r="K17" i="9"/>
  <c r="K18" i="9"/>
  <c r="K19" i="9"/>
  <c r="K20" i="9"/>
  <c r="K21" i="9"/>
  <c r="H13" i="9"/>
  <c r="H14" i="9"/>
  <c r="H15" i="9"/>
  <c r="H16" i="9"/>
  <c r="H17" i="9"/>
  <c r="H18" i="9"/>
  <c r="H19" i="9"/>
  <c r="H20" i="9"/>
  <c r="H21" i="9"/>
  <c r="E13" i="9"/>
  <c r="E14" i="9"/>
  <c r="E15" i="9"/>
  <c r="E16" i="9"/>
  <c r="E17" i="9"/>
  <c r="E18" i="9"/>
  <c r="E19" i="9"/>
  <c r="E20" i="9"/>
  <c r="E21" i="9"/>
  <c r="AL13" i="8"/>
  <c r="AL19" i="8"/>
  <c r="AL31" i="8"/>
  <c r="AL33" i="8" s="1"/>
  <c r="AL37" i="8"/>
  <c r="AL43" i="8"/>
  <c r="AL49" i="8"/>
  <c r="AL55" i="8"/>
  <c r="AL57" i="8" s="1"/>
  <c r="AL61" i="8"/>
  <c r="AL63" i="8" s="1"/>
  <c r="AP38" i="8"/>
  <c r="AI13" i="8"/>
  <c r="AI19" i="8"/>
  <c r="AI31" i="8"/>
  <c r="AI33" i="8" s="1"/>
  <c r="AI37" i="8"/>
  <c r="AI43" i="8"/>
  <c r="AI49" i="8"/>
  <c r="AI51" i="8" s="1"/>
  <c r="AI55" i="8"/>
  <c r="AI61" i="8"/>
  <c r="AP44" i="8"/>
  <c r="AF13" i="8"/>
  <c r="AF19" i="8"/>
  <c r="AF21" i="8" s="1"/>
  <c r="AF31" i="8"/>
  <c r="AF37" i="8"/>
  <c r="AF43" i="8"/>
  <c r="AF49" i="8"/>
  <c r="AF55" i="8"/>
  <c r="AF61" i="8"/>
  <c r="AC13" i="8"/>
  <c r="AC15" i="8" s="1"/>
  <c r="AC19" i="8"/>
  <c r="AC31" i="8"/>
  <c r="AC33" i="8" s="1"/>
  <c r="AC37" i="8"/>
  <c r="AC39" i="8" s="1"/>
  <c r="AC43" i="8"/>
  <c r="AC45" i="8" s="1"/>
  <c r="AC49" i="8"/>
  <c r="AC55" i="8"/>
  <c r="AC61" i="8"/>
  <c r="AC63" i="8" s="1"/>
  <c r="Z13" i="8"/>
  <c r="Z19" i="8"/>
  <c r="Z31" i="8"/>
  <c r="Z37" i="8"/>
  <c r="Z43" i="8"/>
  <c r="Z49" i="8"/>
  <c r="Z55" i="8"/>
  <c r="Z61" i="8"/>
  <c r="Z21" i="8"/>
  <c r="W13" i="8"/>
  <c r="W15" i="8" s="1"/>
  <c r="W19" i="8"/>
  <c r="W31" i="8"/>
  <c r="W37" i="8"/>
  <c r="W43" i="8"/>
  <c r="W49" i="8"/>
  <c r="W55" i="8"/>
  <c r="W57" i="8" s="1"/>
  <c r="W61" i="8"/>
  <c r="T13" i="8"/>
  <c r="T19" i="8"/>
  <c r="T31" i="8"/>
  <c r="T33" i="8" s="1"/>
  <c r="T37" i="8"/>
  <c r="T43" i="8"/>
  <c r="T45" i="8" s="1"/>
  <c r="T49" i="8"/>
  <c r="T55" i="8"/>
  <c r="T61" i="8"/>
  <c r="Q13" i="8"/>
  <c r="Q15" i="8" s="1"/>
  <c r="Q19" i="8"/>
  <c r="Q31" i="8"/>
  <c r="Q37" i="8"/>
  <c r="Q39" i="8" s="1"/>
  <c r="Q43" i="8"/>
  <c r="Q49" i="8"/>
  <c r="Q55" i="8"/>
  <c r="Q61" i="8"/>
  <c r="N13" i="8"/>
  <c r="N19" i="8"/>
  <c r="N21" i="8" s="1"/>
  <c r="N31" i="8"/>
  <c r="N33" i="8" s="1"/>
  <c r="N37" i="8"/>
  <c r="N43" i="8"/>
  <c r="N49" i="8"/>
  <c r="N55" i="8"/>
  <c r="N57" i="8" s="1"/>
  <c r="N61" i="8"/>
  <c r="N63" i="8" s="1"/>
  <c r="K13" i="8"/>
  <c r="K15" i="8" s="1"/>
  <c r="K19" i="8"/>
  <c r="K31" i="8"/>
  <c r="K37" i="8"/>
  <c r="K43" i="8"/>
  <c r="K45" i="8" s="1"/>
  <c r="K49" i="8"/>
  <c r="K55" i="8"/>
  <c r="K57" i="8" s="1"/>
  <c r="K61" i="8"/>
  <c r="AP62" i="8"/>
  <c r="H13" i="8"/>
  <c r="H19" i="8"/>
  <c r="H31" i="8"/>
  <c r="H37" i="8"/>
  <c r="H43" i="8"/>
  <c r="H45" i="8" s="1"/>
  <c r="H49" i="8"/>
  <c r="H55" i="8"/>
  <c r="H57" i="8" s="1"/>
  <c r="H61" i="8"/>
  <c r="AP14" i="8"/>
  <c r="E13" i="8"/>
  <c r="E19" i="8"/>
  <c r="E21" i="8" s="1"/>
  <c r="E27" i="8"/>
  <c r="E31" i="8"/>
  <c r="E33" i="8" s="1"/>
  <c r="E37" i="8"/>
  <c r="E39" i="8" s="1"/>
  <c r="E43" i="8"/>
  <c r="E49" i="8"/>
  <c r="E51" i="8" s="1"/>
  <c r="E55" i="8"/>
  <c r="E57" i="8" s="1"/>
  <c r="E61" i="8"/>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P50" i="8"/>
  <c r="Z27" i="8"/>
  <c r="AP14" i="9"/>
  <c r="AP17" i="9"/>
  <c r="AP19" i="9"/>
  <c r="B19" i="8"/>
  <c r="B25" i="8"/>
  <c r="B31" i="8"/>
  <c r="B37" i="8"/>
  <c r="B43" i="8"/>
  <c r="B49" i="8"/>
  <c r="B55" i="8"/>
  <c r="B61" i="8"/>
  <c r="B67" i="8"/>
  <c r="AL66" i="8"/>
  <c r="AL51" i="8"/>
  <c r="AL27" i="8"/>
  <c r="AL15" i="8"/>
  <c r="AI66" i="8"/>
  <c r="AI63" i="8"/>
  <c r="AI57" i="8"/>
  <c r="AI39" i="8"/>
  <c r="AI27" i="8"/>
  <c r="AF66" i="8"/>
  <c r="AF57" i="8"/>
  <c r="AF51" i="8"/>
  <c r="AF45" i="8"/>
  <c r="AF39" i="8"/>
  <c r="AF33" i="8"/>
  <c r="AF27" i="8"/>
  <c r="AC66" i="8"/>
  <c r="AC57" i="8"/>
  <c r="AC27" i="8"/>
  <c r="AC21" i="8"/>
  <c r="Z66" i="8"/>
  <c r="Z63" i="8"/>
  <c r="Z57" i="8"/>
  <c r="Z51" i="8"/>
  <c r="Z39" i="8"/>
  <c r="Z33" i="8"/>
  <c r="Z15" i="8"/>
  <c r="W66" i="8"/>
  <c r="W51" i="8"/>
  <c r="W45" i="8"/>
  <c r="W39" i="8"/>
  <c r="W33" i="8"/>
  <c r="W27" i="8"/>
  <c r="T66" i="8"/>
  <c r="T63" i="8"/>
  <c r="T57" i="8"/>
  <c r="T51" i="8"/>
  <c r="T27" i="8"/>
  <c r="T21" i="8"/>
  <c r="T15" i="8"/>
  <c r="Q66" i="8"/>
  <c r="Q63" i="8"/>
  <c r="Q57" i="8"/>
  <c r="Q51" i="8"/>
  <c r="Q33" i="8"/>
  <c r="N66" i="8"/>
  <c r="N51" i="8"/>
  <c r="N45" i="8"/>
  <c r="N39" i="8"/>
  <c r="N27" i="8"/>
  <c r="N15" i="8"/>
  <c r="K66" i="8"/>
  <c r="K51" i="8"/>
  <c r="K27" i="8"/>
  <c r="K21" i="8"/>
  <c r="H66" i="8"/>
  <c r="H63" i="8"/>
  <c r="H51" i="8"/>
  <c r="H39" i="8"/>
  <c r="H27" i="8"/>
  <c r="H21" i="8"/>
  <c r="E66" i="8"/>
  <c r="E63" i="8"/>
  <c r="AP60" i="8"/>
  <c r="AP54" i="8"/>
  <c r="AP48" i="8"/>
  <c r="AP42" i="8"/>
  <c r="AP37" i="8"/>
  <c r="AP36" i="8"/>
  <c r="AP30" i="8"/>
  <c r="AP25" i="8"/>
  <c r="AP24" i="8"/>
  <c r="AP18" i="8"/>
  <c r="AP12" i="8"/>
  <c r="B7" i="9"/>
  <c r="B7" i="8"/>
  <c r="E15"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6" i="9"/>
  <c r="B6" i="8"/>
  <c r="B4" i="9"/>
  <c r="B3" i="9"/>
  <c r="B2" i="9"/>
  <c r="B4" i="8"/>
  <c r="B3" i="8"/>
  <c r="B2" i="8"/>
  <c r="H6" i="9"/>
  <c r="K6" i="9" s="1"/>
  <c r="N6" i="9" s="1"/>
  <c r="Q6" i="9" s="1"/>
  <c r="T6" i="9" s="1"/>
  <c r="W6" i="9" s="1"/>
  <c r="Z6" i="9" s="1"/>
  <c r="AC6" i="9" s="1"/>
  <c r="AF6" i="9" s="1"/>
  <c r="AI6" i="9" s="1"/>
  <c r="AL6" i="9" s="1"/>
  <c r="AP6" i="9" s="1"/>
  <c r="H6" i="8"/>
  <c r="K6" i="8"/>
  <c r="N6" i="8"/>
  <c r="Q6" i="8"/>
  <c r="T6" i="8"/>
  <c r="W6" i="8"/>
  <c r="Z6" i="8"/>
  <c r="AC6" i="8"/>
  <c r="AF6" i="8"/>
  <c r="AI6" i="8"/>
  <c r="AL6" i="8"/>
  <c r="AP6" i="8"/>
  <c r="B10" i="7"/>
  <c r="E82" i="1"/>
  <c r="E91" i="1"/>
  <c r="E100" i="1"/>
  <c r="E109" i="1"/>
  <c r="E118" i="1"/>
  <c r="E127" i="1"/>
  <c r="E136" i="1"/>
  <c r="AP9" i="7"/>
  <c r="AL9" i="7"/>
  <c r="AI9" i="7"/>
  <c r="AF9" i="7"/>
  <c r="AC9" i="7"/>
  <c r="Z9" i="7"/>
  <c r="W9" i="7"/>
  <c r="T9" i="7"/>
  <c r="Q9" i="7"/>
  <c r="N9" i="7"/>
  <c r="K9" i="7"/>
  <c r="H9" i="7"/>
  <c r="AO9" i="7"/>
  <c r="AK9" i="7"/>
  <c r="AH9" i="7"/>
  <c r="AE9" i="7"/>
  <c r="AB9" i="7"/>
  <c r="Y9" i="7"/>
  <c r="V9" i="7"/>
  <c r="S9" i="7"/>
  <c r="P9" i="7"/>
  <c r="M9" i="7"/>
  <c r="J9" i="7"/>
  <c r="G9" i="7"/>
  <c r="D9" i="7"/>
  <c r="E9" i="7"/>
  <c r="H13" i="7"/>
  <c r="K13" i="7" s="1"/>
  <c r="Q13" i="7" s="1"/>
  <c r="T13" i="7" s="1"/>
  <c r="Z13" i="7" s="1"/>
  <c r="AC13" i="7" s="1"/>
  <c r="AI13" i="7" s="1"/>
  <c r="AL13" i="7" s="1"/>
  <c r="AH6" i="7"/>
  <c r="AO8" i="7"/>
  <c r="AK8" i="7"/>
  <c r="AH8" i="7"/>
  <c r="AE8" i="7"/>
  <c r="AB8" i="7"/>
  <c r="Y8" i="7"/>
  <c r="V8" i="7"/>
  <c r="S8" i="7"/>
  <c r="P8" i="7"/>
  <c r="M8" i="7"/>
  <c r="J8" i="7"/>
  <c r="G8" i="7"/>
  <c r="D8" i="7"/>
  <c r="B7" i="7"/>
  <c r="B7" i="14" s="1"/>
  <c r="B6" i="7"/>
  <c r="B13" i="7"/>
  <c r="B12" i="7"/>
  <c r="B11" i="7"/>
  <c r="B4" i="7"/>
  <c r="B4" i="14" s="1"/>
  <c r="B3" i="7"/>
  <c r="B3" i="15" s="1"/>
  <c r="B2" i="7"/>
  <c r="B2" i="15" s="1"/>
  <c r="AO6" i="7"/>
  <c r="G6" i="7"/>
  <c r="J6" i="7"/>
  <c r="M6" i="7"/>
  <c r="P6" i="7"/>
  <c r="S6" i="7"/>
  <c r="V6" i="7"/>
  <c r="Y6" i="7"/>
  <c r="AB6" i="7"/>
  <c r="AE6" i="7"/>
  <c r="AK6" i="7"/>
  <c r="AT106" i="5"/>
  <c r="AH106" i="5"/>
  <c r="V106" i="5"/>
  <c r="J98" i="5"/>
  <c r="BR98" i="5" s="1"/>
  <c r="J90" i="5"/>
  <c r="BR90" i="5" s="1"/>
  <c r="J82" i="5"/>
  <c r="BR82" i="5" s="1"/>
  <c r="J74" i="5"/>
  <c r="BF74" i="5" s="1"/>
  <c r="J66" i="5"/>
  <c r="BF66" i="5" s="1"/>
  <c r="J58" i="5"/>
  <c r="BF58" i="5" s="1"/>
  <c r="J50" i="5"/>
  <c r="BR50" i="5" s="1"/>
  <c r="J42" i="5"/>
  <c r="BR42" i="5" s="1"/>
  <c r="J34" i="5"/>
  <c r="BF34" i="5" s="1"/>
  <c r="J26" i="5"/>
  <c r="BR26" i="5" s="1"/>
  <c r="J18" i="5"/>
  <c r="BR18" i="5" s="1"/>
  <c r="J10" i="5"/>
  <c r="BR10" i="5" s="1"/>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Y22" i="6"/>
  <c r="AY23" i="6" s="1"/>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s="1"/>
  <c r="F7" i="2" s="1"/>
  <c r="G7" i="2" s="1"/>
  <c r="H7" i="2" s="1"/>
  <c r="I7" i="2" s="1"/>
  <c r="J7" i="2" s="1"/>
  <c r="K7" i="2" s="1"/>
  <c r="L7" i="2" s="1"/>
  <c r="M7" i="2" s="1"/>
  <c r="N7" i="2" s="1"/>
  <c r="O7" i="2" s="1"/>
  <c r="P7" i="2" s="1"/>
  <c r="O17" i="2"/>
  <c r="O16" i="2"/>
  <c r="O15" i="2"/>
  <c r="O14" i="2"/>
  <c r="O13" i="2"/>
  <c r="O12" i="2"/>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B2"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s="1"/>
  <c r="G7" i="3" s="1"/>
  <c r="H7" i="3" s="1"/>
  <c r="I7" i="3" s="1"/>
  <c r="J7" i="3" s="1"/>
  <c r="K7" i="3" s="1"/>
  <c r="L7" i="3" s="1"/>
  <c r="M7" i="3" s="1"/>
  <c r="N7" i="3" s="1"/>
  <c r="O7" i="3" s="1"/>
  <c r="E7" i="1"/>
  <c r="F7" i="1" s="1"/>
  <c r="G7" i="1" s="1"/>
  <c r="H7" i="1" s="1"/>
  <c r="I7" i="1" s="1"/>
  <c r="J7" i="1" s="1"/>
  <c r="K7" i="1" s="1"/>
  <c r="L7" i="1" s="1"/>
  <c r="M7" i="1" s="1"/>
  <c r="N7" i="1" s="1"/>
  <c r="O7" i="1" s="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C83" i="1"/>
  <c r="C147" i="1"/>
  <c r="C31" i="3"/>
  <c r="C100" i="1"/>
  <c r="C109" i="1"/>
  <c r="C118" i="1"/>
  <c r="C127" i="1"/>
  <c r="C136" i="1"/>
  <c r="C146" i="1"/>
  <c r="C91" i="1"/>
  <c r="D9" i="2"/>
  <c r="P9" i="2"/>
  <c r="P8" i="2"/>
  <c r="C26" i="3"/>
  <c r="C23" i="3"/>
  <c r="C27" i="3"/>
  <c r="C29" i="3"/>
  <c r="C32" i="3"/>
  <c r="C28" i="3"/>
  <c r="C183" i="1"/>
  <c r="C35" i="3"/>
  <c r="C174" i="1"/>
  <c r="C34" i="3"/>
  <c r="C165" i="1"/>
  <c r="C33" i="3"/>
  <c r="C155" i="1"/>
  <c r="C164" i="1"/>
  <c r="C173" i="1"/>
  <c r="C182" i="1"/>
  <c r="C191" i="1"/>
  <c r="C200" i="1"/>
  <c r="C210" i="1"/>
  <c r="C192" i="1"/>
  <c r="C36" i="3"/>
  <c r="C220" i="1"/>
  <c r="C39" i="3"/>
  <c r="C138" i="1"/>
  <c r="C30" i="3"/>
  <c r="C211" i="1"/>
  <c r="C38" i="3"/>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S16" i="6"/>
  <c r="AT23" i="6"/>
  <c r="AS14" i="6"/>
  <c r="AT14" i="6"/>
  <c r="AP13" i="8" l="1"/>
  <c r="AP55" i="8"/>
  <c r="AF15" i="8"/>
  <c r="AP20" i="9"/>
  <c r="B7" i="10"/>
  <c r="AP13" i="9"/>
  <c r="AP15" i="9"/>
  <c r="H208" i="23"/>
  <c r="AJ42" i="5"/>
  <c r="H193" i="23"/>
  <c r="X42" i="5"/>
  <c r="F270" i="23"/>
  <c r="H227" i="23"/>
  <c r="F269" i="23"/>
  <c r="H226" i="23"/>
  <c r="F275" i="23"/>
  <c r="H232" i="23"/>
  <c r="E291" i="23"/>
  <c r="G248" i="23"/>
  <c r="E293" i="23"/>
  <c r="G250" i="23"/>
  <c r="G242" i="23"/>
  <c r="E285" i="23"/>
  <c r="F278" i="23"/>
  <c r="H235" i="23"/>
  <c r="F335" i="23"/>
  <c r="H292" i="23"/>
  <c r="G273" i="23"/>
  <c r="H213" i="23"/>
  <c r="H245" i="23"/>
  <c r="F288" i="23"/>
  <c r="E373" i="23"/>
  <c r="F405" i="23"/>
  <c r="G271" i="23"/>
  <c r="G292" i="23"/>
  <c r="E354" i="23"/>
  <c r="F268" i="23"/>
  <c r="H225" i="23"/>
  <c r="F256" i="23"/>
  <c r="H256" i="23" s="1"/>
  <c r="G225" i="23"/>
  <c r="C379" i="23"/>
  <c r="G232" i="23"/>
  <c r="C278" i="23"/>
  <c r="F236" i="23"/>
  <c r="E236" i="23"/>
  <c r="H234" i="23"/>
  <c r="F277" i="23"/>
  <c r="G335" i="23"/>
  <c r="E378" i="23"/>
  <c r="F446" i="23"/>
  <c r="G275" i="23"/>
  <c r="F293" i="23"/>
  <c r="H250" i="23"/>
  <c r="H273" i="23"/>
  <c r="F316" i="23"/>
  <c r="G246" i="23"/>
  <c r="E289" i="23"/>
  <c r="G193" i="23"/>
  <c r="Q11" i="7" s="1"/>
  <c r="G235" i="23"/>
  <c r="E278" i="23"/>
  <c r="E272" i="23"/>
  <c r="G229" i="23"/>
  <c r="E267" i="23"/>
  <c r="E256" i="23"/>
  <c r="G224" i="23"/>
  <c r="H224" i="23"/>
  <c r="F291" i="23"/>
  <c r="H248" i="23"/>
  <c r="H287" i="23"/>
  <c r="F330" i="23"/>
  <c r="E462" i="23"/>
  <c r="F284" i="23"/>
  <c r="H241" i="23"/>
  <c r="F251" i="23"/>
  <c r="AJ50" i="5" s="1"/>
  <c r="E276" i="23"/>
  <c r="G233" i="23"/>
  <c r="H233" i="23"/>
  <c r="E269" i="23"/>
  <c r="G226" i="23"/>
  <c r="G208" i="23"/>
  <c r="Q12" i="7" s="1"/>
  <c r="F357" i="23"/>
  <c r="F290" i="23"/>
  <c r="H247" i="23"/>
  <c r="G247" i="23"/>
  <c r="G284" i="23"/>
  <c r="E327" i="23"/>
  <c r="H242" i="23"/>
  <c r="F285" i="23"/>
  <c r="H271" i="23"/>
  <c r="E270" i="23"/>
  <c r="G227" i="23"/>
  <c r="E286" i="23"/>
  <c r="G243" i="23"/>
  <c r="H243" i="23"/>
  <c r="F286" i="23"/>
  <c r="F272" i="23"/>
  <c r="H229" i="23"/>
  <c r="G231" i="23"/>
  <c r="E274" i="23"/>
  <c r="H231" i="23"/>
  <c r="E283" i="23"/>
  <c r="G240" i="23"/>
  <c r="H240" i="23"/>
  <c r="E251" i="23"/>
  <c r="E368" i="23"/>
  <c r="H325" i="23"/>
  <c r="G325" i="23"/>
  <c r="F289" i="23"/>
  <c r="H246" i="23"/>
  <c r="E277" i="23"/>
  <c r="G234" i="23"/>
  <c r="E288" i="23"/>
  <c r="G245" i="23"/>
  <c r="F455" i="23"/>
  <c r="AP32" i="8"/>
  <c r="AC51" i="8"/>
  <c r="AP51" i="8" s="1"/>
  <c r="AI68" i="8"/>
  <c r="AI31" i="9" s="1"/>
  <c r="K63" i="8"/>
  <c r="Q45" i="8"/>
  <c r="AI45" i="8"/>
  <c r="H15" i="8"/>
  <c r="K39" i="8"/>
  <c r="Q21" i="8"/>
  <c r="AI21" i="8"/>
  <c r="AL45" i="8"/>
  <c r="E45" i="8"/>
  <c r="K33" i="8"/>
  <c r="T39" i="8"/>
  <c r="W63" i="8"/>
  <c r="AF63" i="8"/>
  <c r="AP63" i="8" s="1"/>
  <c r="AI15" i="8"/>
  <c r="AL39" i="8"/>
  <c r="J106" i="5"/>
  <c r="AY7" i="16" s="1"/>
  <c r="AZ11" i="6"/>
  <c r="AZ12" i="6"/>
  <c r="AZ13" i="6"/>
  <c r="AZ14" i="6"/>
  <c r="AZ15" i="6"/>
  <c r="AZ16" i="6"/>
  <c r="AZ17" i="6"/>
  <c r="AZ18" i="6"/>
  <c r="AZ19" i="6"/>
  <c r="AZ20" i="6"/>
  <c r="AZ21" i="6"/>
  <c r="AZ10" i="6"/>
  <c r="AS23" i="6"/>
  <c r="AS25" i="6" s="1"/>
  <c r="AS36" i="6" s="1"/>
  <c r="AT28" i="6"/>
  <c r="AT30" i="6"/>
  <c r="AT27" i="6"/>
  <c r="AT6" i="6"/>
  <c r="AT29" i="6"/>
  <c r="AT31" i="6"/>
  <c r="AT32" i="6"/>
  <c r="AT33" i="6"/>
  <c r="AS21" i="6"/>
  <c r="AP24" i="18"/>
  <c r="AT7" i="18" s="1"/>
  <c r="AP49" i="8"/>
  <c r="B7" i="16"/>
  <c r="C7" i="20"/>
  <c r="B7" i="15"/>
  <c r="F6" i="16"/>
  <c r="B7" i="17"/>
  <c r="F6" i="17" s="1"/>
  <c r="B7" i="18"/>
  <c r="AM6" i="18" s="1"/>
  <c r="C7" i="19"/>
  <c r="H7" i="19" s="1"/>
  <c r="F6" i="19"/>
  <c r="B3" i="13"/>
  <c r="B3" i="14"/>
  <c r="BF98" i="5"/>
  <c r="BF90" i="5"/>
  <c r="BF82" i="5"/>
  <c r="BR74" i="5"/>
  <c r="BR66" i="5"/>
  <c r="BR58" i="5"/>
  <c r="BF50" i="5"/>
  <c r="BF42" i="5"/>
  <c r="BR34" i="5"/>
  <c r="BF26" i="5"/>
  <c r="BF18" i="5"/>
  <c r="BF10" i="5"/>
  <c r="M395" i="1"/>
  <c r="M19" i="2" s="1"/>
  <c r="M18" i="2"/>
  <c r="L18" i="2"/>
  <c r="L395" i="1"/>
  <c r="L396" i="1" s="1"/>
  <c r="K395" i="1"/>
  <c r="K396" i="1" s="1"/>
  <c r="K18" i="2"/>
  <c r="J395" i="1"/>
  <c r="J396" i="1" s="1"/>
  <c r="J18" i="2"/>
  <c r="P17" i="2"/>
  <c r="I395" i="1"/>
  <c r="I19" i="2" s="1"/>
  <c r="I18" i="2"/>
  <c r="P11" i="2"/>
  <c r="F395" i="1"/>
  <c r="F19" i="2" s="1"/>
  <c r="F18" i="2"/>
  <c r="P12" i="2"/>
  <c r="D395" i="1"/>
  <c r="D19" i="2" s="1"/>
  <c r="D18" i="2"/>
  <c r="H33" i="8"/>
  <c r="Z45" i="8"/>
  <c r="AP31" i="8"/>
  <c r="W21" i="8"/>
  <c r="AP19" i="8"/>
  <c r="AP43" i="8"/>
  <c r="AP20" i="8"/>
  <c r="AP21" i="9"/>
  <c r="AP61" i="8"/>
  <c r="AP56" i="8"/>
  <c r="AP57" i="8"/>
  <c r="Z23" i="9"/>
  <c r="AP26" i="8"/>
  <c r="AP27" i="8" s="1"/>
  <c r="Q27" i="8"/>
  <c r="AL21" i="8"/>
  <c r="AL23" i="9"/>
  <c r="AI23" i="9"/>
  <c r="AI67" i="8"/>
  <c r="AI27" i="9" s="1"/>
  <c r="AF23" i="9"/>
  <c r="AC67" i="8"/>
  <c r="W23" i="9"/>
  <c r="AL67" i="8"/>
  <c r="AL27" i="9" s="1"/>
  <c r="AF67" i="8"/>
  <c r="AF27" i="9" s="1"/>
  <c r="AC23" i="9"/>
  <c r="Z67" i="8"/>
  <c r="W67" i="8"/>
  <c r="T23" i="9"/>
  <c r="T67" i="8"/>
  <c r="Q67" i="8"/>
  <c r="Q27" i="9" s="1"/>
  <c r="Q23" i="9"/>
  <c r="N67" i="8"/>
  <c r="N27" i="9" s="1"/>
  <c r="N23" i="9"/>
  <c r="K23" i="9"/>
  <c r="AP15" i="8"/>
  <c r="K67" i="8"/>
  <c r="K27" i="9" s="1"/>
  <c r="H67" i="8"/>
  <c r="H27" i="9" s="1"/>
  <c r="H23" i="9"/>
  <c r="E23" i="9"/>
  <c r="E67" i="8"/>
  <c r="E27" i="9" s="1"/>
  <c r="E68" i="8"/>
  <c r="E31" i="9" s="1"/>
  <c r="AL68" i="8"/>
  <c r="AL31" i="9" s="1"/>
  <c r="AF68" i="8"/>
  <c r="AC68" i="8"/>
  <c r="AC31" i="9" s="1"/>
  <c r="Z68" i="8"/>
  <c r="W68" i="8"/>
  <c r="T68" i="8"/>
  <c r="T31" i="9" s="1"/>
  <c r="Q68" i="8"/>
  <c r="Q31" i="9" s="1"/>
  <c r="N68" i="8"/>
  <c r="N31" i="9" s="1"/>
  <c r="K68" i="8"/>
  <c r="H68" i="8"/>
  <c r="H31" i="9" s="1"/>
  <c r="AP66" i="8"/>
  <c r="AM22" i="12"/>
  <c r="AL29" i="6"/>
  <c r="AJ21" i="12"/>
  <c r="AJ15" i="12"/>
  <c r="AJ20" i="12"/>
  <c r="AJ14" i="12"/>
  <c r="AJ19" i="12"/>
  <c r="AJ13" i="12"/>
  <c r="AJ6" i="12"/>
  <c r="AJ18" i="12"/>
  <c r="AJ17" i="12"/>
  <c r="AI29" i="6"/>
  <c r="AJ22" i="12"/>
  <c r="AJ16" i="12"/>
  <c r="AG14" i="12"/>
  <c r="AF29" i="6"/>
  <c r="AG21" i="12"/>
  <c r="AD6" i="12"/>
  <c r="AD16" i="12"/>
  <c r="AD15" i="12"/>
  <c r="AD19" i="12"/>
  <c r="AC29" i="6"/>
  <c r="AD20" i="12"/>
  <c r="AD14" i="12"/>
  <c r="AA22" i="12"/>
  <c r="Z29" i="6"/>
  <c r="X20" i="12"/>
  <c r="X19" i="12"/>
  <c r="X6" i="12"/>
  <c r="X15" i="12"/>
  <c r="X22" i="12"/>
  <c r="X18" i="12"/>
  <c r="X21" i="12"/>
  <c r="X14" i="12"/>
  <c r="W29" i="6"/>
  <c r="X16" i="12"/>
  <c r="X13" i="12"/>
  <c r="U21" i="12"/>
  <c r="U6" i="12"/>
  <c r="T29" i="6"/>
  <c r="U14" i="12"/>
  <c r="R6" i="12"/>
  <c r="R20" i="12"/>
  <c r="R17" i="12"/>
  <c r="R16" i="12"/>
  <c r="R19" i="12"/>
  <c r="R22" i="12"/>
  <c r="R13" i="12"/>
  <c r="Q29" i="6"/>
  <c r="R15" i="12"/>
  <c r="O22" i="12"/>
  <c r="N29" i="6"/>
  <c r="L19" i="12"/>
  <c r="L16" i="12"/>
  <c r="L6" i="12"/>
  <c r="L21" i="12"/>
  <c r="L14" i="12"/>
  <c r="L18" i="12"/>
  <c r="L20" i="12"/>
  <c r="L17" i="12"/>
  <c r="L15" i="12"/>
  <c r="L13" i="12"/>
  <c r="K29" i="6"/>
  <c r="L22" i="12"/>
  <c r="I14" i="12"/>
  <c r="I21" i="12"/>
  <c r="H29" i="6"/>
  <c r="AM6" i="14"/>
  <c r="AL31" i="6"/>
  <c r="AJ6" i="14"/>
  <c r="AI31" i="6"/>
  <c r="AG6" i="14"/>
  <c r="AF31" i="6"/>
  <c r="AD6" i="14"/>
  <c r="AC31" i="6"/>
  <c r="AA6" i="14"/>
  <c r="Z31" i="6"/>
  <c r="X6" i="14"/>
  <c r="W31" i="6"/>
  <c r="U6" i="14"/>
  <c r="T31" i="6"/>
  <c r="R6" i="14"/>
  <c r="Q31" i="6"/>
  <c r="O6" i="14"/>
  <c r="N31" i="6"/>
  <c r="L6" i="14"/>
  <c r="K31" i="6"/>
  <c r="I6" i="14"/>
  <c r="H31" i="6"/>
  <c r="AP23" i="14"/>
  <c r="K7" i="14" s="1"/>
  <c r="AM6" i="16"/>
  <c r="AI33" i="6"/>
  <c r="AG6" i="16"/>
  <c r="AD6" i="16"/>
  <c r="AA6" i="16"/>
  <c r="T33" i="6"/>
  <c r="N33" i="6"/>
  <c r="O6" i="16"/>
  <c r="L6" i="16"/>
  <c r="I6" i="16"/>
  <c r="AL33" i="6"/>
  <c r="AJ6" i="16"/>
  <c r="AF33" i="6"/>
  <c r="AC33" i="6"/>
  <c r="Z33" i="6"/>
  <c r="W33" i="6"/>
  <c r="X6" i="16"/>
  <c r="U6" i="16"/>
  <c r="Q33" i="6"/>
  <c r="R6" i="16"/>
  <c r="K33" i="6"/>
  <c r="H33" i="6"/>
  <c r="E33" i="6"/>
  <c r="AL38" i="6"/>
  <c r="AF38" i="6"/>
  <c r="AC38" i="6"/>
  <c r="Z38" i="6"/>
  <c r="W38" i="6"/>
  <c r="T38" i="6"/>
  <c r="Q38" i="6"/>
  <c r="N38" i="6"/>
  <c r="K38" i="6"/>
  <c r="H38" i="6"/>
  <c r="E38" i="6"/>
  <c r="W39" i="6"/>
  <c r="E39" i="6"/>
  <c r="AL39" i="6"/>
  <c r="AF39" i="6"/>
  <c r="AC39" i="6"/>
  <c r="Z39" i="6"/>
  <c r="T39" i="6"/>
  <c r="Q39" i="6"/>
  <c r="B4" i="15"/>
  <c r="B4" i="12"/>
  <c r="B4" i="13"/>
  <c r="E30" i="19"/>
  <c r="E54" i="19"/>
  <c r="AP24" i="17"/>
  <c r="AT7" i="17" s="1"/>
  <c r="AP31" i="16"/>
  <c r="AT7" i="16" s="1"/>
  <c r="B2" i="14"/>
  <c r="B2" i="13"/>
  <c r="B2" i="12"/>
  <c r="F6" i="14"/>
  <c r="F14" i="12"/>
  <c r="F16" i="12"/>
  <c r="E29" i="6"/>
  <c r="F6" i="12"/>
  <c r="F13" i="12"/>
  <c r="F18" i="12"/>
  <c r="F20" i="12"/>
  <c r="F15" i="12"/>
  <c r="F19" i="12"/>
  <c r="AM13" i="12"/>
  <c r="AM6" i="12"/>
  <c r="AM15" i="12"/>
  <c r="AG6" i="12"/>
  <c r="AD17" i="12"/>
  <c r="AD21" i="12"/>
  <c r="AD18" i="12"/>
  <c r="AD22" i="12"/>
  <c r="AD13" i="12"/>
  <c r="AA6" i="12"/>
  <c r="AA13" i="12"/>
  <c r="AA15" i="12"/>
  <c r="X17" i="12"/>
  <c r="R18" i="12"/>
  <c r="R21" i="12"/>
  <c r="R14" i="12"/>
  <c r="O6" i="12"/>
  <c r="O13" i="12"/>
  <c r="O15" i="12"/>
  <c r="I6" i="12"/>
  <c r="F22" i="12"/>
  <c r="F17" i="12"/>
  <c r="I16" i="12"/>
  <c r="U16" i="12"/>
  <c r="AG16" i="12"/>
  <c r="O17" i="12"/>
  <c r="AA17" i="12"/>
  <c r="AM17" i="12"/>
  <c r="I18" i="12"/>
  <c r="U18" i="12"/>
  <c r="AG18" i="12"/>
  <c r="O19" i="12"/>
  <c r="AA19" i="12"/>
  <c r="AM19" i="12"/>
  <c r="I20" i="12"/>
  <c r="U20" i="12"/>
  <c r="AG20" i="12"/>
  <c r="O21" i="12"/>
  <c r="AA21" i="12"/>
  <c r="AM21" i="12"/>
  <c r="I22" i="12"/>
  <c r="U22" i="12"/>
  <c r="AG22" i="12"/>
  <c r="AP24" i="12"/>
  <c r="I13" i="12"/>
  <c r="U13" i="12"/>
  <c r="AG13" i="12"/>
  <c r="O14" i="12"/>
  <c r="AA14" i="12"/>
  <c r="AM14" i="12"/>
  <c r="I15" i="12"/>
  <c r="U15" i="12"/>
  <c r="AG15" i="12"/>
  <c r="O16" i="12"/>
  <c r="AA16" i="12"/>
  <c r="AM16" i="12"/>
  <c r="I17" i="12"/>
  <c r="U17" i="12"/>
  <c r="AG17" i="12"/>
  <c r="O18" i="12"/>
  <c r="AA18" i="12"/>
  <c r="AM18" i="12"/>
  <c r="I19" i="12"/>
  <c r="U19" i="12"/>
  <c r="AG19" i="12"/>
  <c r="O20" i="12"/>
  <c r="AA20" i="12"/>
  <c r="AM20" i="12"/>
  <c r="O395" i="1"/>
  <c r="O19" i="2" s="1"/>
  <c r="O21" i="2" s="1"/>
  <c r="O18" i="2"/>
  <c r="N18" i="2"/>
  <c r="N395" i="1"/>
  <c r="N396" i="1" s="1"/>
  <c r="H18" i="2"/>
  <c r="H395" i="1"/>
  <c r="H19" i="2" s="1"/>
  <c r="H21" i="2" s="1"/>
  <c r="G18" i="2"/>
  <c r="G395" i="1"/>
  <c r="G396" i="1" s="1"/>
  <c r="P16" i="2"/>
  <c r="P15" i="2"/>
  <c r="P13" i="2"/>
  <c r="E18" i="2"/>
  <c r="P14" i="2"/>
  <c r="E395" i="1"/>
  <c r="AP39" i="8" l="1"/>
  <c r="AP33" i="8"/>
  <c r="AY7" i="17"/>
  <c r="C9" i="19"/>
  <c r="E7" i="18"/>
  <c r="AF7" i="18"/>
  <c r="AL19" i="6"/>
  <c r="AI19" i="6"/>
  <c r="AF19" i="6"/>
  <c r="AC19" i="6"/>
  <c r="Z19" i="6"/>
  <c r="W19" i="6"/>
  <c r="T19" i="6"/>
  <c r="Q19" i="6"/>
  <c r="N19" i="6"/>
  <c r="N36" i="9"/>
  <c r="K19" i="6"/>
  <c r="H19" i="6"/>
  <c r="E19" i="6"/>
  <c r="L24" i="12"/>
  <c r="G251" i="23"/>
  <c r="T12" i="7" s="1"/>
  <c r="H236" i="23"/>
  <c r="X50" i="5"/>
  <c r="F532" i="23"/>
  <c r="F315" i="23"/>
  <c r="H272" i="23"/>
  <c r="G278" i="23"/>
  <c r="C321" i="23"/>
  <c r="F279" i="23"/>
  <c r="X58" i="5" s="1"/>
  <c r="E279" i="23"/>
  <c r="G279" i="23" s="1"/>
  <c r="W11" i="7" s="1"/>
  <c r="E334" i="23"/>
  <c r="G291" i="23"/>
  <c r="F373" i="23"/>
  <c r="H330" i="23"/>
  <c r="F329" i="23"/>
  <c r="H286" i="23"/>
  <c r="G269" i="23"/>
  <c r="E361" i="23"/>
  <c r="E411" i="23"/>
  <c r="H368" i="23"/>
  <c r="G368" i="23"/>
  <c r="E357" i="23"/>
  <c r="H357" i="23" s="1"/>
  <c r="G314" i="23"/>
  <c r="E370" i="23"/>
  <c r="G327" i="23"/>
  <c r="C422" i="23"/>
  <c r="H335" i="23"/>
  <c r="F378" i="23"/>
  <c r="F318" i="23"/>
  <c r="H275" i="23"/>
  <c r="E331" i="23"/>
  <c r="G288" i="23"/>
  <c r="F489" i="23"/>
  <c r="F448" i="23"/>
  <c r="H285" i="23"/>
  <c r="F328" i="23"/>
  <c r="G272" i="23"/>
  <c r="E326" i="23"/>
  <c r="G283" i="23"/>
  <c r="H283" i="23"/>
  <c r="E294" i="23"/>
  <c r="G294" i="23" s="1"/>
  <c r="W12" i="7" s="1"/>
  <c r="G276" i="23"/>
  <c r="H276" i="23"/>
  <c r="H291" i="23"/>
  <c r="F334" i="23"/>
  <c r="E329" i="23"/>
  <c r="G286" i="23"/>
  <c r="H251" i="23"/>
  <c r="E332" i="23"/>
  <c r="G289" i="23"/>
  <c r="G378" i="23"/>
  <c r="E421" i="23"/>
  <c r="H278" i="23"/>
  <c r="F321" i="23"/>
  <c r="H269" i="23"/>
  <c r="F312" i="23"/>
  <c r="E359" i="23"/>
  <c r="G316" i="23"/>
  <c r="G277" i="23"/>
  <c r="G330" i="23"/>
  <c r="E328" i="23"/>
  <c r="G285" i="23"/>
  <c r="F498" i="23"/>
  <c r="H290" i="23"/>
  <c r="F333" i="23"/>
  <c r="G290" i="23"/>
  <c r="F327" i="23"/>
  <c r="H284" i="23"/>
  <c r="F294" i="23"/>
  <c r="AJ58" i="5" s="1"/>
  <c r="G256" i="23"/>
  <c r="F359" i="23"/>
  <c r="H316" i="23"/>
  <c r="E416" i="23"/>
  <c r="G270" i="23"/>
  <c r="H314" i="23"/>
  <c r="F320" i="23"/>
  <c r="H277" i="23"/>
  <c r="F313" i="23"/>
  <c r="H270" i="23"/>
  <c r="G274" i="23"/>
  <c r="H274" i="23"/>
  <c r="H267" i="23"/>
  <c r="G267" i="23"/>
  <c r="E299" i="23"/>
  <c r="F331" i="23"/>
  <c r="H288" i="23"/>
  <c r="F332" i="23"/>
  <c r="H289" i="23"/>
  <c r="F400" i="23"/>
  <c r="E505" i="23"/>
  <c r="E336" i="23"/>
  <c r="G293" i="23"/>
  <c r="F311" i="23"/>
  <c r="F299" i="23"/>
  <c r="H268" i="23"/>
  <c r="G268" i="23"/>
  <c r="F541" i="23"/>
  <c r="F336" i="23"/>
  <c r="H293" i="23"/>
  <c r="G236" i="23"/>
  <c r="T11" i="7" s="1"/>
  <c r="E397" i="23"/>
  <c r="AY7" i="9"/>
  <c r="AY7" i="7"/>
  <c r="AY7" i="18"/>
  <c r="AY7" i="14"/>
  <c r="AY7" i="15"/>
  <c r="AY7" i="11"/>
  <c r="AY7" i="13"/>
  <c r="AY7" i="10"/>
  <c r="AY7" i="8"/>
  <c r="BR106" i="5"/>
  <c r="BF106" i="5"/>
  <c r="AY7" i="12"/>
  <c r="BH7" i="6"/>
  <c r="AP45" i="8"/>
  <c r="AT25" i="6"/>
  <c r="I6" i="17"/>
  <c r="L6" i="18"/>
  <c r="AQ6" i="18"/>
  <c r="AZ22" i="6"/>
  <c r="AS41" i="6"/>
  <c r="AT36" i="6"/>
  <c r="AJ6" i="18"/>
  <c r="O6" i="18"/>
  <c r="F6" i="18"/>
  <c r="R6" i="17"/>
  <c r="U6" i="18"/>
  <c r="AG6" i="18"/>
  <c r="U6" i="17"/>
  <c r="AA6" i="17"/>
  <c r="AA6" i="18"/>
  <c r="X6" i="17"/>
  <c r="AJ6" i="17"/>
  <c r="X6" i="18"/>
  <c r="AD6" i="17"/>
  <c r="AG6" i="17"/>
  <c r="AD6" i="18"/>
  <c r="R6" i="18"/>
  <c r="AM6" i="17"/>
  <c r="O6" i="17"/>
  <c r="L6" i="17"/>
  <c r="I6" i="18"/>
  <c r="M396" i="1"/>
  <c r="M23" i="2"/>
  <c r="G82" i="5"/>
  <c r="M21" i="2"/>
  <c r="L19" i="2"/>
  <c r="L21" i="2" s="1"/>
  <c r="K19" i="2"/>
  <c r="K23" i="2" s="1"/>
  <c r="J19" i="2"/>
  <c r="J21" i="2" s="1"/>
  <c r="I396" i="1"/>
  <c r="I21" i="2"/>
  <c r="I23" i="2"/>
  <c r="G50" i="5"/>
  <c r="BC50" i="5" s="1"/>
  <c r="F396" i="1"/>
  <c r="G26" i="5"/>
  <c r="F21" i="2"/>
  <c r="F23" i="2"/>
  <c r="D396" i="1"/>
  <c r="G10" i="5"/>
  <c r="D21" i="2"/>
  <c r="D23" i="2"/>
  <c r="AP21" i="8"/>
  <c r="T27" i="9"/>
  <c r="AI69" i="8"/>
  <c r="AJ6" i="8" s="1"/>
  <c r="AC27" i="9"/>
  <c r="AC40" i="9" s="1"/>
  <c r="AD40" i="9" s="1"/>
  <c r="Z27" i="9"/>
  <c r="W27" i="9"/>
  <c r="W69" i="8"/>
  <c r="X6" i="8" s="1"/>
  <c r="AL69" i="8"/>
  <c r="AM6" i="8" s="1"/>
  <c r="Q69" i="8"/>
  <c r="R6" i="8" s="1"/>
  <c r="AP23" i="9"/>
  <c r="N69" i="8"/>
  <c r="O6" i="8" s="1"/>
  <c r="H69" i="8"/>
  <c r="I6" i="8" s="1"/>
  <c r="E69" i="8"/>
  <c r="F6" i="8" s="1"/>
  <c r="AF31" i="9"/>
  <c r="AF69" i="8"/>
  <c r="AG6" i="8" s="1"/>
  <c r="AC69" i="8"/>
  <c r="AD6" i="8" s="1"/>
  <c r="Z69" i="8"/>
  <c r="AA6" i="8" s="1"/>
  <c r="Z31" i="9"/>
  <c r="W31" i="9"/>
  <c r="T69" i="8"/>
  <c r="U6" i="8" s="1"/>
  <c r="AP67" i="8"/>
  <c r="AP68" i="8"/>
  <c r="K31" i="9"/>
  <c r="K69" i="8"/>
  <c r="L6" i="8" s="1"/>
  <c r="E36" i="9"/>
  <c r="E40" i="9"/>
  <c r="F40" i="9" s="1"/>
  <c r="AI36" i="9"/>
  <c r="AI40" i="9"/>
  <c r="AJ40" i="9" s="1"/>
  <c r="Q36" i="9"/>
  <c r="Q40" i="9"/>
  <c r="R40" i="9" s="1"/>
  <c r="AL36" i="9"/>
  <c r="AL40" i="9"/>
  <c r="H40" i="9"/>
  <c r="I40" i="9" s="1"/>
  <c r="H36" i="9"/>
  <c r="N40" i="9"/>
  <c r="O40" i="9" s="1"/>
  <c r="AJ24" i="12"/>
  <c r="X24" i="12"/>
  <c r="R24" i="12"/>
  <c r="F24" i="12"/>
  <c r="AP31" i="6"/>
  <c r="AQ6" i="16"/>
  <c r="AP33" i="6"/>
  <c r="F19" i="19"/>
  <c r="F28" i="19"/>
  <c r="F43" i="19"/>
  <c r="F52" i="19"/>
  <c r="F54" i="19"/>
  <c r="E66" i="19"/>
  <c r="F66" i="19" s="1"/>
  <c r="F61" i="19"/>
  <c r="F59" i="19"/>
  <c r="F36" i="19"/>
  <c r="F23" i="19"/>
  <c r="F16" i="19"/>
  <c r="F62" i="19"/>
  <c r="F60" i="19"/>
  <c r="F58" i="19"/>
  <c r="F49" i="19"/>
  <c r="F47" i="19"/>
  <c r="F40" i="19"/>
  <c r="F39" i="19"/>
  <c r="F37" i="19"/>
  <c r="F26" i="19"/>
  <c r="F24" i="19"/>
  <c r="F17" i="19"/>
  <c r="F15" i="19"/>
  <c r="F48" i="19"/>
  <c r="F41" i="19"/>
  <c r="F38" i="19"/>
  <c r="F30" i="19"/>
  <c r="F50" i="19"/>
  <c r="F25" i="19"/>
  <c r="F14" i="19"/>
  <c r="F64" i="19"/>
  <c r="N7" i="18"/>
  <c r="T7" i="18"/>
  <c r="B9" i="18"/>
  <c r="AC7" i="18"/>
  <c r="AL7" i="18"/>
  <c r="AP7" i="18"/>
  <c r="K7" i="18"/>
  <c r="H7" i="18"/>
  <c r="Q7" i="18"/>
  <c r="W7" i="18"/>
  <c r="Z7" i="18"/>
  <c r="AI7" i="18"/>
  <c r="Q7" i="17"/>
  <c r="AL7" i="17"/>
  <c r="AI7" i="17"/>
  <c r="AP7" i="17"/>
  <c r="K7" i="17"/>
  <c r="AQ6" i="17"/>
  <c r="Z7" i="17"/>
  <c r="AF7" i="17"/>
  <c r="W7" i="17"/>
  <c r="T7" i="17"/>
  <c r="N7" i="17"/>
  <c r="AC7" i="17"/>
  <c r="B9" i="17"/>
  <c r="E7" i="17"/>
  <c r="H7" i="17"/>
  <c r="AL7" i="16"/>
  <c r="Z7" i="16"/>
  <c r="N7" i="16"/>
  <c r="AI7" i="16"/>
  <c r="W7" i="16"/>
  <c r="K7" i="16"/>
  <c r="B9" i="16"/>
  <c r="AF7" i="16"/>
  <c r="T7" i="16"/>
  <c r="H7" i="16"/>
  <c r="AP7" i="16"/>
  <c r="AC7" i="16"/>
  <c r="Q7" i="16"/>
  <c r="E7" i="16"/>
  <c r="T7" i="14"/>
  <c r="Z7" i="14"/>
  <c r="W7" i="14"/>
  <c r="E7" i="14"/>
  <c r="AF7" i="14"/>
  <c r="AP7" i="14"/>
  <c r="N7" i="14"/>
  <c r="AQ6" i="14"/>
  <c r="AT7" i="14"/>
  <c r="H7" i="14"/>
  <c r="Q7" i="14"/>
  <c r="AI7" i="14"/>
  <c r="AL7" i="14"/>
  <c r="AC7" i="14"/>
  <c r="B9" i="14"/>
  <c r="AP29" i="6"/>
  <c r="AQ17" i="12"/>
  <c r="AT7" i="12"/>
  <c r="AM24" i="12"/>
  <c r="AD24" i="12"/>
  <c r="AA24" i="12"/>
  <c r="U24" i="12"/>
  <c r="O24" i="12"/>
  <c r="N7" i="12"/>
  <c r="AQ13" i="12"/>
  <c r="AQ18" i="12"/>
  <c r="AQ21" i="12"/>
  <c r="I24" i="12"/>
  <c r="AQ19" i="12"/>
  <c r="AQ20" i="12"/>
  <c r="AQ6" i="12"/>
  <c r="AI7" i="12"/>
  <c r="W7" i="12"/>
  <c r="K7" i="12"/>
  <c r="B9" i="12"/>
  <c r="AF7" i="12"/>
  <c r="T7" i="12"/>
  <c r="H7" i="12"/>
  <c r="AP7" i="12"/>
  <c r="AC7" i="12"/>
  <c r="Q7" i="12"/>
  <c r="E7" i="12"/>
  <c r="AL7" i="12"/>
  <c r="AG24" i="12"/>
  <c r="Z7" i="12"/>
  <c r="AQ22" i="12"/>
  <c r="AQ15" i="12"/>
  <c r="AQ16" i="12"/>
  <c r="AQ14" i="12"/>
  <c r="O23" i="2"/>
  <c r="G98" i="5"/>
  <c r="S98" i="5" s="1"/>
  <c r="O396" i="1"/>
  <c r="N19" i="2"/>
  <c r="N21" i="2" s="1"/>
  <c r="H396" i="1"/>
  <c r="H23" i="2"/>
  <c r="G42" i="5"/>
  <c r="S42" i="5" s="1"/>
  <c r="G19" i="2"/>
  <c r="G34" i="5" s="1"/>
  <c r="P18" i="2"/>
  <c r="E19" i="2"/>
  <c r="E396" i="1"/>
  <c r="P395" i="1"/>
  <c r="AC36" i="9" l="1"/>
  <c r="H299" i="23"/>
  <c r="AP19" i="6"/>
  <c r="AF36" i="9"/>
  <c r="AF41" i="9" s="1"/>
  <c r="AG41" i="9" s="1"/>
  <c r="AP33" i="9"/>
  <c r="T36" i="9"/>
  <c r="T40" i="9"/>
  <c r="U40" i="9" s="1"/>
  <c r="E371" i="23"/>
  <c r="G328" i="23"/>
  <c r="E374" i="23"/>
  <c r="G331" i="23"/>
  <c r="E364" i="23"/>
  <c r="G321" i="23"/>
  <c r="E360" i="23"/>
  <c r="G317" i="23"/>
  <c r="H317" i="23"/>
  <c r="F356" i="23"/>
  <c r="H313" i="23"/>
  <c r="H294" i="23"/>
  <c r="E375" i="23"/>
  <c r="G332" i="23"/>
  <c r="F402" i="23"/>
  <c r="H359" i="23"/>
  <c r="F375" i="23"/>
  <c r="H332" i="23"/>
  <c r="H311" i="23"/>
  <c r="F354" i="23"/>
  <c r="F342" i="23"/>
  <c r="G311" i="23"/>
  <c r="E369" i="23"/>
  <c r="G326" i="23"/>
  <c r="H326" i="23"/>
  <c r="E337" i="23"/>
  <c r="G357" i="23"/>
  <c r="E400" i="23"/>
  <c r="H400" i="23" s="1"/>
  <c r="H329" i="23"/>
  <c r="F372" i="23"/>
  <c r="E440" i="23"/>
  <c r="F363" i="23"/>
  <c r="H320" i="23"/>
  <c r="E363" i="23"/>
  <c r="G320" i="23"/>
  <c r="F361" i="23"/>
  <c r="H318" i="23"/>
  <c r="F358" i="23"/>
  <c r="H315" i="23"/>
  <c r="G421" i="23"/>
  <c r="E464" i="23"/>
  <c r="E355" i="23"/>
  <c r="G312" i="23"/>
  <c r="F370" i="23"/>
  <c r="H327" i="23"/>
  <c r="F337" i="23"/>
  <c r="AJ66" i="5" s="1"/>
  <c r="G329" i="23"/>
  <c r="E372" i="23"/>
  <c r="G299" i="23"/>
  <c r="E402" i="23"/>
  <c r="G359" i="23"/>
  <c r="F377" i="23"/>
  <c r="H334" i="23"/>
  <c r="F371" i="23"/>
  <c r="H328" i="23"/>
  <c r="H378" i="23"/>
  <c r="F421" i="23"/>
  <c r="F416" i="23"/>
  <c r="H373" i="23"/>
  <c r="E413" i="23"/>
  <c r="F379" i="23"/>
  <c r="H336" i="23"/>
  <c r="E379" i="23"/>
  <c r="G336" i="23"/>
  <c r="E356" i="23"/>
  <c r="G313" i="23"/>
  <c r="H333" i="23"/>
  <c r="F376" i="23"/>
  <c r="G333" i="23"/>
  <c r="F355" i="23"/>
  <c r="H312" i="23"/>
  <c r="G411" i="23"/>
  <c r="E454" i="23"/>
  <c r="H411" i="23"/>
  <c r="F443" i="23"/>
  <c r="C364" i="23"/>
  <c r="F322" i="23"/>
  <c r="X66" i="5" s="1"/>
  <c r="E322" i="23"/>
  <c r="G322" i="23" s="1"/>
  <c r="Z11" i="7" s="1"/>
  <c r="E358" i="23"/>
  <c r="G315" i="23"/>
  <c r="E459" i="23"/>
  <c r="F491" i="23"/>
  <c r="C465" i="23"/>
  <c r="G318" i="23"/>
  <c r="E377" i="23"/>
  <c r="G334" i="23"/>
  <c r="E548" i="23"/>
  <c r="E342" i="23"/>
  <c r="G310" i="23"/>
  <c r="E353" i="23"/>
  <c r="H310" i="23"/>
  <c r="G373" i="23"/>
  <c r="F364" i="23"/>
  <c r="H321" i="23"/>
  <c r="E404" i="23"/>
  <c r="G361" i="23"/>
  <c r="F374" i="23"/>
  <c r="H331" i="23"/>
  <c r="E362" i="23"/>
  <c r="G319" i="23"/>
  <c r="H319" i="23"/>
  <c r="H279" i="23"/>
  <c r="F534" i="23"/>
  <c r="AS43" i="6"/>
  <c r="AT43" i="6" s="1"/>
  <c r="AT41" i="6"/>
  <c r="S82" i="5"/>
  <c r="BC82" i="5"/>
  <c r="BO82" i="5"/>
  <c r="G74" i="5"/>
  <c r="BC74" i="5" s="1"/>
  <c r="L23" i="2"/>
  <c r="G66" i="5"/>
  <c r="K21" i="2"/>
  <c r="J23" i="2"/>
  <c r="G58" i="5"/>
  <c r="S58" i="5" s="1"/>
  <c r="S50" i="5"/>
  <c r="AE50" i="5" s="1"/>
  <c r="S26" i="5"/>
  <c r="BC26" i="5"/>
  <c r="S10" i="5"/>
  <c r="BC10" i="5"/>
  <c r="AP27" i="9"/>
  <c r="Z40" i="9"/>
  <c r="AA40" i="9" s="1"/>
  <c r="W40" i="9"/>
  <c r="X40" i="9" s="1"/>
  <c r="K36" i="9"/>
  <c r="K38" i="9" s="1"/>
  <c r="W36" i="9"/>
  <c r="W41" i="9" s="1"/>
  <c r="X41" i="9" s="1"/>
  <c r="K40" i="9"/>
  <c r="L40" i="9" s="1"/>
  <c r="AF40" i="9"/>
  <c r="AG40" i="9" s="1"/>
  <c r="Z36" i="9"/>
  <c r="Z41" i="9" s="1"/>
  <c r="AA41" i="9" s="1"/>
  <c r="AP31" i="9"/>
  <c r="AP69" i="8"/>
  <c r="AQ6" i="8" s="1"/>
  <c r="AF38" i="9"/>
  <c r="AF20" i="6"/>
  <c r="AI41" i="9"/>
  <c r="AJ41" i="9" s="1"/>
  <c r="AI38" i="9"/>
  <c r="AI20" i="6"/>
  <c r="AI21" i="6" s="1"/>
  <c r="T41" i="9"/>
  <c r="U41" i="9" s="1"/>
  <c r="T20" i="6"/>
  <c r="T38" i="9"/>
  <c r="Q41" i="9"/>
  <c r="R41" i="9" s="1"/>
  <c r="Q20" i="6"/>
  <c r="Q21" i="6" s="1"/>
  <c r="Q38" i="9"/>
  <c r="N41" i="9"/>
  <c r="O41" i="9" s="1"/>
  <c r="N20" i="6"/>
  <c r="N21" i="6" s="1"/>
  <c r="N38" i="9"/>
  <c r="AM40" i="9"/>
  <c r="E20" i="6"/>
  <c r="E38" i="9"/>
  <c r="E41" i="9"/>
  <c r="F41" i="9" s="1"/>
  <c r="H41" i="9"/>
  <c r="I41" i="9" s="1"/>
  <c r="H20" i="6"/>
  <c r="H21" i="6" s="1"/>
  <c r="H38" i="9"/>
  <c r="AL41" i="9"/>
  <c r="AL38" i="9"/>
  <c r="AL20" i="6"/>
  <c r="AC41" i="9"/>
  <c r="AD41" i="9" s="1"/>
  <c r="AC20" i="6"/>
  <c r="AC38" i="9"/>
  <c r="AQ24" i="12"/>
  <c r="BC98" i="5"/>
  <c r="BO98" i="5"/>
  <c r="AE98" i="5"/>
  <c r="G90" i="5"/>
  <c r="S90" i="5" s="1"/>
  <c r="N23" i="2"/>
  <c r="BC42" i="5"/>
  <c r="AE42" i="5"/>
  <c r="Q42" i="5"/>
  <c r="BO42" i="5"/>
  <c r="G23" i="2"/>
  <c r="G21" i="2"/>
  <c r="S34" i="5"/>
  <c r="BC34" i="5"/>
  <c r="G18" i="5"/>
  <c r="E23" i="2"/>
  <c r="P19" i="2"/>
  <c r="E21" i="2"/>
  <c r="G337" i="23" l="1"/>
  <c r="Z12" i="7" s="1"/>
  <c r="G342" i="23"/>
  <c r="F486" i="23"/>
  <c r="H358" i="23"/>
  <c r="F401" i="23"/>
  <c r="G400" i="23"/>
  <c r="E443" i="23"/>
  <c r="H443" i="23" s="1"/>
  <c r="H416" i="23"/>
  <c r="F459" i="23"/>
  <c r="E415" i="23"/>
  <c r="G372" i="23"/>
  <c r="F445" i="23"/>
  <c r="H402" i="23"/>
  <c r="G364" i="23"/>
  <c r="E407" i="23"/>
  <c r="E445" i="23"/>
  <c r="G402" i="23"/>
  <c r="E385" i="23"/>
  <c r="G353" i="23"/>
  <c r="E396" i="23"/>
  <c r="H353" i="23"/>
  <c r="F418" i="23"/>
  <c r="H375" i="23"/>
  <c r="F404" i="23"/>
  <c r="G404" i="23" s="1"/>
  <c r="H361" i="23"/>
  <c r="C407" i="23"/>
  <c r="F365" i="23"/>
  <c r="X74" i="5" s="1"/>
  <c r="E365" i="23"/>
  <c r="G365" i="23" s="1"/>
  <c r="AC11" i="7" s="1"/>
  <c r="H421" i="23"/>
  <c r="F464" i="23"/>
  <c r="E447" i="23"/>
  <c r="G416" i="23"/>
  <c r="E497" i="23"/>
  <c r="H454" i="23"/>
  <c r="G454" i="23"/>
  <c r="E540" i="23"/>
  <c r="G379" i="23"/>
  <c r="E422" i="23"/>
  <c r="H337" i="23"/>
  <c r="E418" i="23"/>
  <c r="G375" i="23"/>
  <c r="G374" i="23"/>
  <c r="E417" i="23"/>
  <c r="H371" i="23"/>
  <c r="F414" i="23"/>
  <c r="E406" i="23"/>
  <c r="G363" i="23"/>
  <c r="G369" i="23"/>
  <c r="E412" i="23"/>
  <c r="H369" i="23"/>
  <c r="E380" i="23"/>
  <c r="H372" i="23"/>
  <c r="F415" i="23"/>
  <c r="H374" i="23"/>
  <c r="F417" i="23"/>
  <c r="G459" i="23"/>
  <c r="E502" i="23"/>
  <c r="F407" i="23"/>
  <c r="H364" i="23"/>
  <c r="H370" i="23"/>
  <c r="F413" i="23"/>
  <c r="F380" i="23"/>
  <c r="G371" i="23"/>
  <c r="E414" i="23"/>
  <c r="E420" i="23"/>
  <c r="G377" i="23"/>
  <c r="G358" i="23"/>
  <c r="E401" i="23"/>
  <c r="H379" i="23"/>
  <c r="F422" i="23"/>
  <c r="F420" i="23"/>
  <c r="H377" i="23"/>
  <c r="H363" i="23"/>
  <c r="F406" i="23"/>
  <c r="H342" i="23"/>
  <c r="G413" i="23"/>
  <c r="E456" i="23"/>
  <c r="E399" i="23"/>
  <c r="G356" i="23"/>
  <c r="G362" i="23"/>
  <c r="E405" i="23"/>
  <c r="H362" i="23"/>
  <c r="H355" i="23"/>
  <c r="F398" i="23"/>
  <c r="G355" i="23"/>
  <c r="E398" i="23"/>
  <c r="F397" i="23"/>
  <c r="H354" i="23"/>
  <c r="F385" i="23"/>
  <c r="G354" i="23"/>
  <c r="F399" i="23"/>
  <c r="H356" i="23"/>
  <c r="H376" i="23"/>
  <c r="F419" i="23"/>
  <c r="G376" i="23"/>
  <c r="G360" i="23"/>
  <c r="E403" i="23"/>
  <c r="H360" i="23"/>
  <c r="C508" i="23"/>
  <c r="H322" i="23"/>
  <c r="G370" i="23"/>
  <c r="G464" i="23"/>
  <c r="E507" i="23"/>
  <c r="E483" i="23"/>
  <c r="E526" i="23"/>
  <c r="AS45" i="6"/>
  <c r="AT45" i="6" s="1"/>
  <c r="AP36" i="9"/>
  <c r="AP38" i="9" s="1"/>
  <c r="B9" i="9" s="1"/>
  <c r="AE82" i="5"/>
  <c r="S74" i="5"/>
  <c r="BO74" i="5"/>
  <c r="BO66" i="5"/>
  <c r="S66" i="5"/>
  <c r="BC66" i="5"/>
  <c r="BO58" i="5"/>
  <c r="BC58" i="5"/>
  <c r="Q58" i="5"/>
  <c r="AE58" i="5"/>
  <c r="Q50" i="5"/>
  <c r="BO50" i="5"/>
  <c r="AQ50" i="5"/>
  <c r="AO50" i="5" s="1"/>
  <c r="AC50" i="5"/>
  <c r="Q26" i="5"/>
  <c r="BO26" i="5"/>
  <c r="AE26" i="5"/>
  <c r="AE10" i="5"/>
  <c r="BO10" i="5"/>
  <c r="Q10" i="5"/>
  <c r="K41" i="9"/>
  <c r="L41" i="9" s="1"/>
  <c r="K20" i="6"/>
  <c r="K21" i="6" s="1"/>
  <c r="AP40" i="9"/>
  <c r="AQ40" i="9" s="1"/>
  <c r="Z20" i="6"/>
  <c r="Z21" i="6" s="1"/>
  <c r="Z38" i="9"/>
  <c r="AA6" i="9" s="1"/>
  <c r="W20" i="6"/>
  <c r="W38" i="9"/>
  <c r="X6" i="9" s="1"/>
  <c r="K7" i="8"/>
  <c r="N7" i="8"/>
  <c r="AT7" i="8"/>
  <c r="W7" i="8"/>
  <c r="Q7" i="8"/>
  <c r="AF7" i="8"/>
  <c r="H7" i="8"/>
  <c r="B9" i="8"/>
  <c r="AC7" i="8"/>
  <c r="AI7" i="8"/>
  <c r="Z7" i="8"/>
  <c r="AL7" i="8"/>
  <c r="E7" i="8"/>
  <c r="T7" i="8"/>
  <c r="L6" i="9"/>
  <c r="AJ6" i="9"/>
  <c r="AD6" i="9"/>
  <c r="U6" i="9"/>
  <c r="AM41" i="9"/>
  <c r="AC21" i="6"/>
  <c r="AF21" i="6"/>
  <c r="T21" i="6"/>
  <c r="R6" i="9"/>
  <c r="AG6" i="9"/>
  <c r="AL21" i="6"/>
  <c r="AM6" i="9"/>
  <c r="I6" i="9"/>
  <c r="F6" i="9"/>
  <c r="E21" i="6"/>
  <c r="O6" i="9"/>
  <c r="AQ98" i="5"/>
  <c r="AO98" i="5" s="1"/>
  <c r="BO90" i="5"/>
  <c r="BC90" i="5"/>
  <c r="AE90" i="5"/>
  <c r="AC42" i="5"/>
  <c r="AQ42" i="5"/>
  <c r="AO42" i="5" s="1"/>
  <c r="AE34" i="5"/>
  <c r="Q34" i="5"/>
  <c r="BO34" i="5"/>
  <c r="J10" i="2"/>
  <c r="D10" i="2"/>
  <c r="I10" i="2"/>
  <c r="F10" i="2"/>
  <c r="M10" i="2"/>
  <c r="L10" i="2"/>
  <c r="P21" i="2"/>
  <c r="G10" i="2"/>
  <c r="N10" i="2"/>
  <c r="O10" i="2"/>
  <c r="P23" i="2"/>
  <c r="K10" i="2"/>
  <c r="H10" i="2"/>
  <c r="E10" i="2"/>
  <c r="S18" i="5"/>
  <c r="G106" i="5"/>
  <c r="BC18" i="5"/>
  <c r="H385" i="23" l="1"/>
  <c r="H380" i="23"/>
  <c r="AJ74" i="5"/>
  <c r="Q74" i="5"/>
  <c r="G420" i="23"/>
  <c r="E463" i="23"/>
  <c r="C450" i="23"/>
  <c r="F408" i="23"/>
  <c r="X82" i="5" s="1"/>
  <c r="Q82" i="5" s="1"/>
  <c r="E408" i="23"/>
  <c r="G408" i="23" s="1"/>
  <c r="AF11" i="7" s="1"/>
  <c r="H406" i="23"/>
  <c r="F449" i="23"/>
  <c r="G407" i="23"/>
  <c r="E450" i="23"/>
  <c r="H401" i="23"/>
  <c r="F444" i="23"/>
  <c r="H365" i="23"/>
  <c r="H419" i="23"/>
  <c r="F462" i="23"/>
  <c r="G419" i="23"/>
  <c r="H417" i="23"/>
  <c r="F460" i="23"/>
  <c r="H398" i="23"/>
  <c r="F441" i="23"/>
  <c r="H486" i="23"/>
  <c r="F529" i="23"/>
  <c r="G414" i="23"/>
  <c r="E457" i="23"/>
  <c r="G405" i="23"/>
  <c r="E448" i="23"/>
  <c r="H405" i="23"/>
  <c r="H422" i="23"/>
  <c r="F465" i="23"/>
  <c r="H413" i="23"/>
  <c r="F456" i="23"/>
  <c r="F423" i="23"/>
  <c r="E490" i="23"/>
  <c r="E533" i="23" s="1"/>
  <c r="H418" i="23"/>
  <c r="F461" i="23"/>
  <c r="G443" i="23"/>
  <c r="E486" i="23"/>
  <c r="H414" i="23"/>
  <c r="F457" i="23"/>
  <c r="G380" i="23"/>
  <c r="AC12" i="7" s="1"/>
  <c r="E461" i="23"/>
  <c r="G418" i="23"/>
  <c r="G415" i="23"/>
  <c r="E458" i="23"/>
  <c r="G540" i="23"/>
  <c r="H540" i="23"/>
  <c r="G401" i="23"/>
  <c r="E444" i="23"/>
  <c r="H396" i="23"/>
  <c r="G396" i="23"/>
  <c r="E428" i="23"/>
  <c r="E439" i="23"/>
  <c r="G406" i="23"/>
  <c r="E449" i="23"/>
  <c r="H404" i="23"/>
  <c r="F447" i="23"/>
  <c r="H399" i="23"/>
  <c r="F442" i="23"/>
  <c r="H445" i="23"/>
  <c r="F488" i="23"/>
  <c r="F428" i="23"/>
  <c r="H397" i="23"/>
  <c r="F440" i="23"/>
  <c r="G397" i="23"/>
  <c r="G399" i="23"/>
  <c r="E442" i="23"/>
  <c r="F450" i="23"/>
  <c r="H407" i="23"/>
  <c r="G412" i="23"/>
  <c r="E455" i="23"/>
  <c r="H412" i="23"/>
  <c r="E423" i="23"/>
  <c r="H464" i="23"/>
  <c r="F507" i="23"/>
  <c r="F502" i="23"/>
  <c r="H459" i="23"/>
  <c r="E550" i="23"/>
  <c r="E488" i="23"/>
  <c r="G445" i="23"/>
  <c r="G497" i="23"/>
  <c r="H497" i="23"/>
  <c r="C551" i="23"/>
  <c r="H415" i="23"/>
  <c r="F458" i="23"/>
  <c r="G417" i="23"/>
  <c r="E460" i="23"/>
  <c r="H420" i="23"/>
  <c r="F463" i="23"/>
  <c r="G403" i="23"/>
  <c r="E446" i="23"/>
  <c r="H403" i="23"/>
  <c r="G398" i="23"/>
  <c r="E441" i="23"/>
  <c r="E499" i="23"/>
  <c r="G502" i="23"/>
  <c r="E545" i="23"/>
  <c r="G422" i="23"/>
  <c r="E465" i="23"/>
  <c r="G385" i="23"/>
  <c r="AN7" i="9"/>
  <c r="AT7" i="9"/>
  <c r="Q7" i="9"/>
  <c r="N7" i="9"/>
  <c r="AQ6" i="9"/>
  <c r="E7" i="9"/>
  <c r="AI7" i="9"/>
  <c r="T7" i="9"/>
  <c r="H7" i="9"/>
  <c r="AF7" i="9"/>
  <c r="AL7" i="9"/>
  <c r="AC7" i="9"/>
  <c r="K7" i="9"/>
  <c r="AP41" i="9"/>
  <c r="AQ41" i="9" s="1"/>
  <c r="AP20" i="6"/>
  <c r="AQ82" i="5"/>
  <c r="AO82" i="5" s="1"/>
  <c r="AE74" i="5"/>
  <c r="AC74" i="5" s="1"/>
  <c r="Q66" i="5"/>
  <c r="AE66" i="5"/>
  <c r="AC58" i="5"/>
  <c r="AQ58" i="5"/>
  <c r="AO58" i="5" s="1"/>
  <c r="E50" i="5"/>
  <c r="T14" i="6" s="1"/>
  <c r="AC26" i="5"/>
  <c r="AQ26" i="5"/>
  <c r="AO26" i="5" s="1"/>
  <c r="AC10" i="5"/>
  <c r="AQ10" i="5"/>
  <c r="AO10" i="5" s="1"/>
  <c r="AV7" i="18"/>
  <c r="BA7" i="18" s="1"/>
  <c r="AV7" i="17"/>
  <c r="BA7" i="17" s="1"/>
  <c r="W21" i="6"/>
  <c r="AP21" i="6" s="1"/>
  <c r="Z7" i="9"/>
  <c r="W7" i="9"/>
  <c r="AP7" i="8"/>
  <c r="AQ90" i="5"/>
  <c r="AO90" i="5" s="1"/>
  <c r="E42" i="5"/>
  <c r="Q14" i="6" s="1"/>
  <c r="AQ34" i="5"/>
  <c r="AO34" i="5" s="1"/>
  <c r="AC34" i="5"/>
  <c r="G114" i="5"/>
  <c r="AV7" i="9"/>
  <c r="AV7" i="8"/>
  <c r="BA7" i="8" s="1"/>
  <c r="BC106" i="5"/>
  <c r="BE7" i="6"/>
  <c r="AV7" i="7"/>
  <c r="BO18" i="5"/>
  <c r="S106" i="5"/>
  <c r="Q18" i="5"/>
  <c r="AE18" i="5"/>
  <c r="P10" i="2"/>
  <c r="U21" i="6" l="1"/>
  <c r="U22" i="15"/>
  <c r="U16" i="14"/>
  <c r="U21" i="15"/>
  <c r="U15" i="14"/>
  <c r="U15" i="15"/>
  <c r="U16" i="15"/>
  <c r="U26" i="15"/>
  <c r="U20" i="14"/>
  <c r="U24" i="15"/>
  <c r="U18" i="14"/>
  <c r="U17" i="14"/>
  <c r="U14" i="14"/>
  <c r="U25" i="15"/>
  <c r="U19" i="15"/>
  <c r="U13" i="14"/>
  <c r="U18" i="15"/>
  <c r="U27" i="15"/>
  <c r="U14" i="15"/>
  <c r="U21" i="14"/>
  <c r="U13" i="15"/>
  <c r="U23" i="15"/>
  <c r="U17" i="15"/>
  <c r="U19" i="14"/>
  <c r="U25" i="11"/>
  <c r="U22" i="13"/>
  <c r="T26" i="10"/>
  <c r="T17" i="11"/>
  <c r="U17" i="11" s="1"/>
  <c r="U24" i="11"/>
  <c r="U21" i="13"/>
  <c r="U15" i="13"/>
  <c r="U23" i="11"/>
  <c r="U20" i="13"/>
  <c r="U18" i="13"/>
  <c r="U17" i="13"/>
  <c r="T20" i="15"/>
  <c r="U22" i="11"/>
  <c r="U19" i="13"/>
  <c r="U21" i="11"/>
  <c r="U32" i="11"/>
  <c r="U20" i="11"/>
  <c r="U31" i="11"/>
  <c r="U19" i="11"/>
  <c r="U16" i="13"/>
  <c r="U30" i="11"/>
  <c r="U18" i="11"/>
  <c r="U29" i="11"/>
  <c r="U14" i="13"/>
  <c r="U28" i="11"/>
  <c r="U16" i="11"/>
  <c r="U13" i="13"/>
  <c r="U27" i="11"/>
  <c r="U15" i="11"/>
  <c r="U26" i="11"/>
  <c r="U14" i="11"/>
  <c r="T13" i="11"/>
  <c r="T23" i="13"/>
  <c r="R25" i="15"/>
  <c r="R13" i="15"/>
  <c r="R13" i="14"/>
  <c r="R24" i="15"/>
  <c r="R23" i="15"/>
  <c r="R20" i="14"/>
  <c r="R18" i="14"/>
  <c r="R15" i="15"/>
  <c r="R21" i="15"/>
  <c r="R19" i="14"/>
  <c r="R14" i="15"/>
  <c r="R18" i="15"/>
  <c r="R17" i="15"/>
  <c r="R17" i="14"/>
  <c r="R16" i="15"/>
  <c r="R26" i="15"/>
  <c r="R22" i="15"/>
  <c r="R21" i="14"/>
  <c r="R19" i="15"/>
  <c r="R16" i="14"/>
  <c r="R27" i="15"/>
  <c r="R14" i="14"/>
  <c r="R15" i="14"/>
  <c r="R21" i="11"/>
  <c r="Q13" i="11"/>
  <c r="R21" i="13"/>
  <c r="Q23" i="13"/>
  <c r="R31" i="11"/>
  <c r="R17" i="13"/>
  <c r="R15" i="13"/>
  <c r="R32" i="11"/>
  <c r="R20" i="11"/>
  <c r="R20" i="13"/>
  <c r="R19" i="11"/>
  <c r="R19" i="13"/>
  <c r="R18" i="13"/>
  <c r="R29" i="11"/>
  <c r="Q17" i="11"/>
  <c r="R17" i="11" s="1"/>
  <c r="R30" i="11"/>
  <c r="R18" i="11"/>
  <c r="R16" i="13"/>
  <c r="Q20" i="15"/>
  <c r="R28" i="11"/>
  <c r="R16" i="11"/>
  <c r="R27" i="11"/>
  <c r="R15" i="11"/>
  <c r="R26" i="11"/>
  <c r="R14" i="11"/>
  <c r="R14" i="13"/>
  <c r="R25" i="11"/>
  <c r="R13" i="13"/>
  <c r="R24" i="11"/>
  <c r="R23" i="11"/>
  <c r="R22" i="11"/>
  <c r="R22" i="13"/>
  <c r="H428" i="23"/>
  <c r="H423" i="23"/>
  <c r="AJ82" i="5"/>
  <c r="AC82" i="5" s="1"/>
  <c r="E82" i="5" s="1"/>
  <c r="L82" i="5" s="1"/>
  <c r="H456" i="23"/>
  <c r="F499" i="23"/>
  <c r="F542" i="23"/>
  <c r="F466" i="23"/>
  <c r="AJ90" i="5" s="1"/>
  <c r="AC90" i="5" s="1"/>
  <c r="E90" i="5" s="1"/>
  <c r="AI14" i="6" s="1"/>
  <c r="G450" i="23"/>
  <c r="E493" i="23"/>
  <c r="E536" i="23"/>
  <c r="F493" i="23"/>
  <c r="H450" i="23"/>
  <c r="G545" i="23"/>
  <c r="H441" i="23"/>
  <c r="F484" i="23"/>
  <c r="H449" i="23"/>
  <c r="F492" i="23"/>
  <c r="G456" i="23"/>
  <c r="H460" i="23"/>
  <c r="F503" i="23"/>
  <c r="H463" i="23"/>
  <c r="F506" i="23"/>
  <c r="H442" i="23"/>
  <c r="F485" i="23"/>
  <c r="G461" i="23"/>
  <c r="E504" i="23"/>
  <c r="H465" i="23"/>
  <c r="F508" i="23"/>
  <c r="H458" i="23"/>
  <c r="F501" i="23"/>
  <c r="H507" i="23"/>
  <c r="F550" i="23"/>
  <c r="H550" i="23" s="1"/>
  <c r="G486" i="23"/>
  <c r="E529" i="23"/>
  <c r="G529" i="23" s="1"/>
  <c r="H440" i="23"/>
  <c r="F483" i="23"/>
  <c r="F471" i="23"/>
  <c r="G440" i="23"/>
  <c r="G449" i="23"/>
  <c r="E492" i="23"/>
  <c r="G448" i="23"/>
  <c r="E491" i="23"/>
  <c r="H448" i="23"/>
  <c r="E534" i="23"/>
  <c r="H408" i="23"/>
  <c r="G423" i="23"/>
  <c r="AF12" i="7" s="1"/>
  <c r="H461" i="23"/>
  <c r="F504" i="23"/>
  <c r="H504" i="23" s="1"/>
  <c r="H462" i="23"/>
  <c r="F505" i="23"/>
  <c r="G462" i="23"/>
  <c r="C493" i="23"/>
  <c r="F451" i="23"/>
  <c r="X90" i="5" s="1"/>
  <c r="Q90" i="5" s="1"/>
  <c r="E451" i="23"/>
  <c r="H447" i="23"/>
  <c r="F490" i="23"/>
  <c r="H490" i="23" s="1"/>
  <c r="H502" i="23"/>
  <c r="F545" i="23"/>
  <c r="H545" i="23" s="1"/>
  <c r="G441" i="23"/>
  <c r="E484" i="23"/>
  <c r="E471" i="23"/>
  <c r="G439" i="23"/>
  <c r="E482" i="23"/>
  <c r="H439" i="23"/>
  <c r="E525" i="23"/>
  <c r="G457" i="23"/>
  <c r="E500" i="23"/>
  <c r="G500" i="23" s="1"/>
  <c r="G463" i="23"/>
  <c r="E506" i="23"/>
  <c r="G460" i="23"/>
  <c r="E503" i="23"/>
  <c r="G442" i="23"/>
  <c r="E485" i="23"/>
  <c r="H457" i="23"/>
  <c r="F500" i="23"/>
  <c r="F543" i="23"/>
  <c r="G446" i="23"/>
  <c r="E489" i="23"/>
  <c r="H446" i="23"/>
  <c r="G465" i="23"/>
  <c r="E508" i="23"/>
  <c r="G508" i="23" s="1"/>
  <c r="E551" i="23"/>
  <c r="G455" i="23"/>
  <c r="E498" i="23"/>
  <c r="E541" i="23" s="1"/>
  <c r="H455" i="23"/>
  <c r="E466" i="23"/>
  <c r="G428" i="23"/>
  <c r="G458" i="23"/>
  <c r="E501" i="23"/>
  <c r="G488" i="23"/>
  <c r="E531" i="23"/>
  <c r="G444" i="23"/>
  <c r="E487" i="23"/>
  <c r="G499" i="23"/>
  <c r="E542" i="23"/>
  <c r="G542" i="23" s="1"/>
  <c r="H488" i="23"/>
  <c r="F531" i="23"/>
  <c r="G447" i="23"/>
  <c r="G507" i="23"/>
  <c r="H444" i="23"/>
  <c r="F487" i="23"/>
  <c r="E532" i="23"/>
  <c r="BA7" i="9"/>
  <c r="AV20" i="6"/>
  <c r="AV19" i="6" s="1"/>
  <c r="AS19" i="6" s="1"/>
  <c r="AT19" i="6" s="1"/>
  <c r="AQ74" i="5"/>
  <c r="AO74" i="5" s="1"/>
  <c r="E74" i="5" s="1"/>
  <c r="AQ66" i="5"/>
  <c r="AO66" i="5" s="1"/>
  <c r="AC66" i="5"/>
  <c r="E58" i="5"/>
  <c r="W14" i="6" s="1"/>
  <c r="L50" i="5"/>
  <c r="U14" i="18"/>
  <c r="U21" i="17"/>
  <c r="U18" i="16"/>
  <c r="U19" i="10"/>
  <c r="U62" i="8"/>
  <c r="U44" i="8"/>
  <c r="U26" i="8"/>
  <c r="U13" i="18"/>
  <c r="U20" i="17"/>
  <c r="U29" i="16"/>
  <c r="U17" i="16"/>
  <c r="U18" i="10"/>
  <c r="U19" i="17"/>
  <c r="U28" i="16"/>
  <c r="U16" i="16"/>
  <c r="U17" i="10"/>
  <c r="U54" i="8"/>
  <c r="U36" i="8"/>
  <c r="U18" i="8"/>
  <c r="U18" i="17"/>
  <c r="U27" i="16"/>
  <c r="U15" i="16"/>
  <c r="U16" i="10"/>
  <c r="U55" i="8"/>
  <c r="U37" i="8"/>
  <c r="U19" i="8"/>
  <c r="U22" i="18"/>
  <c r="U17" i="17"/>
  <c r="U26" i="16"/>
  <c r="U14" i="16"/>
  <c r="U15" i="10"/>
  <c r="U56" i="8"/>
  <c r="U38" i="8"/>
  <c r="U20" i="8"/>
  <c r="U21" i="18"/>
  <c r="U16" i="17"/>
  <c r="U25" i="16"/>
  <c r="U13" i="16"/>
  <c r="U20" i="18"/>
  <c r="U15" i="17"/>
  <c r="U24" i="16"/>
  <c r="U13" i="10"/>
  <c r="U48" i="8"/>
  <c r="U30" i="8"/>
  <c r="U19" i="18"/>
  <c r="U14" i="17"/>
  <c r="U23" i="16"/>
  <c r="U24" i="10"/>
  <c r="U49" i="8"/>
  <c r="U31" i="8"/>
  <c r="U14" i="8"/>
  <c r="U18" i="18"/>
  <c r="U13" i="17"/>
  <c r="U22" i="16"/>
  <c r="U23" i="10"/>
  <c r="U50" i="8"/>
  <c r="U32" i="8"/>
  <c r="U13" i="8"/>
  <c r="U6" i="6"/>
  <c r="U17" i="18"/>
  <c r="U21" i="16"/>
  <c r="U22" i="10"/>
  <c r="U12" i="8"/>
  <c r="U16" i="18"/>
  <c r="U20" i="16"/>
  <c r="U21" i="10"/>
  <c r="U60" i="8"/>
  <c r="U42" i="8"/>
  <c r="U24" i="8"/>
  <c r="U15" i="18"/>
  <c r="U22" i="17"/>
  <c r="U19" i="16"/>
  <c r="U20" i="10"/>
  <c r="U61" i="8"/>
  <c r="U43" i="8"/>
  <c r="U25" i="8"/>
  <c r="U14" i="10"/>
  <c r="U31" i="16"/>
  <c r="U24" i="17"/>
  <c r="U66" i="8"/>
  <c r="U15" i="8"/>
  <c r="U24" i="18"/>
  <c r="U33" i="6"/>
  <c r="U19" i="6"/>
  <c r="U29" i="6"/>
  <c r="U68" i="8"/>
  <c r="U67" i="8"/>
  <c r="U31" i="6"/>
  <c r="U38" i="9"/>
  <c r="U20" i="6"/>
  <c r="R13" i="18"/>
  <c r="R18" i="17"/>
  <c r="R19" i="16"/>
  <c r="R17" i="17"/>
  <c r="R18" i="16"/>
  <c r="R16" i="17"/>
  <c r="R29" i="16"/>
  <c r="R17" i="16"/>
  <c r="R22" i="18"/>
  <c r="R15" i="17"/>
  <c r="R28" i="16"/>
  <c r="R16" i="16"/>
  <c r="R21" i="18"/>
  <c r="R14" i="17"/>
  <c r="R27" i="16"/>
  <c r="R15" i="16"/>
  <c r="R20" i="18"/>
  <c r="R13" i="17"/>
  <c r="R26" i="16"/>
  <c r="R14" i="16"/>
  <c r="R19" i="18"/>
  <c r="R25" i="16"/>
  <c r="R13" i="16"/>
  <c r="R18" i="18"/>
  <c r="R24" i="16"/>
  <c r="R17" i="18"/>
  <c r="R22" i="17"/>
  <c r="R23" i="16"/>
  <c r="R16" i="18"/>
  <c r="R21" i="17"/>
  <c r="R22" i="16"/>
  <c r="R15" i="18"/>
  <c r="R20" i="17"/>
  <c r="R21" i="16"/>
  <c r="R14" i="18"/>
  <c r="R19" i="17"/>
  <c r="R20" i="16"/>
  <c r="R31" i="16"/>
  <c r="R24" i="17"/>
  <c r="R24" i="18"/>
  <c r="E26" i="5"/>
  <c r="L26" i="5" s="1"/>
  <c r="E10" i="5"/>
  <c r="AV7" i="14"/>
  <c r="BA7" i="14" s="1"/>
  <c r="AV7" i="15"/>
  <c r="AV7" i="12"/>
  <c r="BA7" i="12" s="1"/>
  <c r="AV7" i="16"/>
  <c r="BA7" i="16" s="1"/>
  <c r="AV7" i="13"/>
  <c r="AV7" i="11"/>
  <c r="AP7" i="9"/>
  <c r="L42" i="5"/>
  <c r="R23" i="10"/>
  <c r="R19" i="10"/>
  <c r="R15" i="10"/>
  <c r="R38" i="9"/>
  <c r="R68" i="8"/>
  <c r="R61" i="8"/>
  <c r="R54" i="8"/>
  <c r="R44" i="8"/>
  <c r="R37" i="8"/>
  <c r="R30" i="8"/>
  <c r="R20" i="8"/>
  <c r="R15" i="8"/>
  <c r="R19" i="6"/>
  <c r="R20" i="6"/>
  <c r="R22" i="10"/>
  <c r="R18" i="10"/>
  <c r="R62" i="8"/>
  <c r="R55" i="8"/>
  <c r="R48" i="8"/>
  <c r="R38" i="8"/>
  <c r="R31" i="8"/>
  <c r="R24" i="8"/>
  <c r="R14" i="8"/>
  <c r="R21" i="10"/>
  <c r="R17" i="10"/>
  <c r="R13" i="10"/>
  <c r="R21" i="6"/>
  <c r="R66" i="8"/>
  <c r="R56" i="8"/>
  <c r="R49" i="8"/>
  <c r="R42" i="8"/>
  <c r="R32" i="8"/>
  <c r="R25" i="8"/>
  <c r="R18" i="8"/>
  <c r="R13" i="8"/>
  <c r="R6" i="6"/>
  <c r="R24" i="10"/>
  <c r="R20" i="10"/>
  <c r="R16" i="10"/>
  <c r="R67" i="8"/>
  <c r="R60" i="8"/>
  <c r="R50" i="8"/>
  <c r="R43" i="8"/>
  <c r="R36" i="8"/>
  <c r="R26" i="8"/>
  <c r="R19" i="8"/>
  <c r="R12" i="8"/>
  <c r="R29" i="6"/>
  <c r="R33" i="6"/>
  <c r="R31" i="6"/>
  <c r="E34" i="5"/>
  <c r="L34" i="5" s="1"/>
  <c r="BO106" i="5"/>
  <c r="S114" i="5"/>
  <c r="BO114" i="5" s="1"/>
  <c r="AC18" i="5"/>
  <c r="AQ18" i="5"/>
  <c r="AE106" i="5"/>
  <c r="AE114" i="5" s="1"/>
  <c r="AV7" i="10"/>
  <c r="BC114" i="5"/>
  <c r="AJ19" i="15" l="1"/>
  <c r="AJ19" i="14"/>
  <c r="AJ17" i="15"/>
  <c r="AJ17" i="14"/>
  <c r="AJ13" i="15"/>
  <c r="AJ18" i="15"/>
  <c r="AJ18" i="14"/>
  <c r="AJ15" i="14"/>
  <c r="AJ25" i="15"/>
  <c r="AJ14" i="14"/>
  <c r="AJ20" i="14"/>
  <c r="AJ16" i="15"/>
  <c r="AJ16" i="14"/>
  <c r="AJ27" i="15"/>
  <c r="AJ15" i="15"/>
  <c r="AJ13" i="14"/>
  <c r="AJ24" i="15"/>
  <c r="AJ21" i="14"/>
  <c r="AJ23" i="15"/>
  <c r="AJ22" i="15"/>
  <c r="AJ21" i="15"/>
  <c r="AJ26" i="15"/>
  <c r="AJ14" i="15"/>
  <c r="AJ22" i="11"/>
  <c r="AJ15" i="13"/>
  <c r="AJ32" i="11"/>
  <c r="AJ18" i="11"/>
  <c r="AJ21" i="11"/>
  <c r="AJ14" i="13"/>
  <c r="AJ13" i="13"/>
  <c r="AI23" i="13"/>
  <c r="AJ20" i="11"/>
  <c r="AJ31" i="11"/>
  <c r="AJ19" i="11"/>
  <c r="AJ30" i="11"/>
  <c r="AJ29" i="11"/>
  <c r="AJ22" i="13"/>
  <c r="AJ28" i="11"/>
  <c r="AJ16" i="11"/>
  <c r="AI13" i="11"/>
  <c r="AJ21" i="13"/>
  <c r="AJ27" i="11"/>
  <c r="AJ15" i="11"/>
  <c r="AJ20" i="13"/>
  <c r="AI17" i="11"/>
  <c r="AJ17" i="11" s="1"/>
  <c r="AJ26" i="11"/>
  <c r="AJ14" i="11"/>
  <c r="AJ19" i="13"/>
  <c r="AJ25" i="11"/>
  <c r="AJ18" i="13"/>
  <c r="AI20" i="15"/>
  <c r="AJ24" i="11"/>
  <c r="AJ17" i="13"/>
  <c r="AJ23" i="11"/>
  <c r="AJ16" i="13"/>
  <c r="R23" i="13"/>
  <c r="Q25" i="13"/>
  <c r="U20" i="15"/>
  <c r="T29" i="15"/>
  <c r="R13" i="11"/>
  <c r="Q34" i="11"/>
  <c r="U23" i="13"/>
  <c r="T25" i="13"/>
  <c r="U13" i="11"/>
  <c r="T34" i="11"/>
  <c r="X19" i="15"/>
  <c r="X19" i="14"/>
  <c r="X18" i="15"/>
  <c r="X18" i="14"/>
  <c r="X17" i="15"/>
  <c r="X17" i="14"/>
  <c r="X23" i="15"/>
  <c r="X14" i="14"/>
  <c r="X25" i="15"/>
  <c r="X13" i="14"/>
  <c r="X16" i="15"/>
  <c r="X16" i="14"/>
  <c r="X27" i="15"/>
  <c r="X15" i="15"/>
  <c r="X15" i="14"/>
  <c r="X24" i="15"/>
  <c r="X22" i="15"/>
  <c r="X26" i="15"/>
  <c r="X14" i="15"/>
  <c r="X13" i="15"/>
  <c r="X21" i="15"/>
  <c r="X21" i="14"/>
  <c r="X20" i="14"/>
  <c r="W17" i="11"/>
  <c r="X17" i="11" s="1"/>
  <c r="X30" i="11"/>
  <c r="X18" i="11"/>
  <c r="X28" i="11"/>
  <c r="X21" i="13"/>
  <c r="X29" i="11"/>
  <c r="X16" i="11"/>
  <c r="X22" i="13"/>
  <c r="X15" i="11"/>
  <c r="X19" i="13"/>
  <c r="W20" i="15"/>
  <c r="X27" i="11"/>
  <c r="X14" i="11"/>
  <c r="X20" i="13"/>
  <c r="W23" i="13"/>
  <c r="X26" i="11"/>
  <c r="X17" i="13"/>
  <c r="X25" i="11"/>
  <c r="X18" i="13"/>
  <c r="X24" i="11"/>
  <c r="X23" i="11"/>
  <c r="X16" i="13"/>
  <c r="X22" i="11"/>
  <c r="X15" i="13"/>
  <c r="W26" i="10"/>
  <c r="X21" i="11"/>
  <c r="X14" i="13"/>
  <c r="X32" i="11"/>
  <c r="X20" i="11"/>
  <c r="W13" i="11"/>
  <c r="X13" i="13"/>
  <c r="X31" i="11"/>
  <c r="X19" i="11"/>
  <c r="R20" i="15"/>
  <c r="Q29" i="15"/>
  <c r="T27" i="6"/>
  <c r="U6" i="10"/>
  <c r="H501" i="23"/>
  <c r="H531" i="23"/>
  <c r="G466" i="23"/>
  <c r="AI12" i="7" s="1"/>
  <c r="G451" i="23"/>
  <c r="AI11" i="7" s="1"/>
  <c r="G471" i="23"/>
  <c r="F533" i="23"/>
  <c r="H485" i="23"/>
  <c r="F528" i="23"/>
  <c r="H493" i="23"/>
  <c r="F536" i="23"/>
  <c r="H536" i="23" s="1"/>
  <c r="G534" i="23"/>
  <c r="H534" i="23"/>
  <c r="H506" i="23"/>
  <c r="F549" i="23"/>
  <c r="G536" i="23"/>
  <c r="G498" i="23"/>
  <c r="H498" i="23"/>
  <c r="E509" i="23"/>
  <c r="G485" i="23"/>
  <c r="E528" i="23"/>
  <c r="G528" i="23" s="1"/>
  <c r="E514" i="23"/>
  <c r="G482" i="23"/>
  <c r="H482" i="23"/>
  <c r="G493" i="23"/>
  <c r="G487" i="23"/>
  <c r="E530" i="23"/>
  <c r="G530" i="23" s="1"/>
  <c r="H451" i="23"/>
  <c r="G491" i="23"/>
  <c r="H491" i="23"/>
  <c r="H503" i="23"/>
  <c r="F546" i="23"/>
  <c r="H483" i="23"/>
  <c r="F514" i="23"/>
  <c r="G483" i="23"/>
  <c r="C536" i="23"/>
  <c r="F494" i="23"/>
  <c r="X98" i="5" s="1"/>
  <c r="Q98" i="5" s="1"/>
  <c r="E494" i="23"/>
  <c r="G494" i="23" s="1"/>
  <c r="AL11" i="7" s="1"/>
  <c r="F544" i="23"/>
  <c r="H466" i="23"/>
  <c r="G525" i="23"/>
  <c r="H525" i="23"/>
  <c r="G531" i="23"/>
  <c r="G492" i="23"/>
  <c r="E535" i="23"/>
  <c r="H542" i="23"/>
  <c r="G551" i="23"/>
  <c r="G532" i="23"/>
  <c r="H532" i="23"/>
  <c r="G550" i="23"/>
  <c r="H505" i="23"/>
  <c r="G505" i="23"/>
  <c r="F548" i="23"/>
  <c r="H492" i="23"/>
  <c r="H499" i="23"/>
  <c r="F509" i="23"/>
  <c r="H487" i="23"/>
  <c r="F530" i="23"/>
  <c r="G490" i="23"/>
  <c r="G506" i="23"/>
  <c r="E549" i="23"/>
  <c r="G549" i="23" s="1"/>
  <c r="G484" i="23"/>
  <c r="E527" i="23"/>
  <c r="F526" i="23"/>
  <c r="H508" i="23"/>
  <c r="F551" i="23"/>
  <c r="H551" i="23" s="1"/>
  <c r="H500" i="23"/>
  <c r="G503" i="23"/>
  <c r="E546" i="23"/>
  <c r="G546" i="23" s="1"/>
  <c r="G501" i="23"/>
  <c r="E544" i="23"/>
  <c r="G489" i="23"/>
  <c r="H489" i="23"/>
  <c r="F547" i="23"/>
  <c r="H484" i="23"/>
  <c r="F527" i="23"/>
  <c r="H529" i="23"/>
  <c r="G541" i="23"/>
  <c r="H541" i="23"/>
  <c r="E543" i="23"/>
  <c r="G543" i="23" s="1"/>
  <c r="H471" i="23"/>
  <c r="G504" i="23"/>
  <c r="E547" i="23"/>
  <c r="F535" i="23"/>
  <c r="U63" i="8"/>
  <c r="AJ19" i="18"/>
  <c r="AJ25" i="16"/>
  <c r="AJ13" i="16"/>
  <c r="AJ18" i="18"/>
  <c r="AJ24" i="16"/>
  <c r="AJ17" i="18"/>
  <c r="AJ22" i="17"/>
  <c r="AJ23" i="16"/>
  <c r="AJ16" i="18"/>
  <c r="AJ21" i="17"/>
  <c r="AJ22" i="16"/>
  <c r="AJ15" i="18"/>
  <c r="AJ20" i="17"/>
  <c r="AJ21" i="16"/>
  <c r="AJ14" i="18"/>
  <c r="AJ19" i="17"/>
  <c r="AJ20" i="16"/>
  <c r="AJ13" i="18"/>
  <c r="AJ18" i="17"/>
  <c r="AJ19" i="16"/>
  <c r="AJ17" i="17"/>
  <c r="AJ18" i="16"/>
  <c r="AJ16" i="17"/>
  <c r="AJ29" i="16"/>
  <c r="AJ17" i="16"/>
  <c r="AJ22" i="18"/>
  <c r="AJ15" i="17"/>
  <c r="AJ28" i="16"/>
  <c r="AJ16" i="16"/>
  <c r="AJ21" i="18"/>
  <c r="AJ14" i="17"/>
  <c r="AJ27" i="16"/>
  <c r="AJ15" i="16"/>
  <c r="AJ20" i="18"/>
  <c r="AJ13" i="17"/>
  <c r="AJ26" i="16"/>
  <c r="AJ14" i="16"/>
  <c r="AJ24" i="18"/>
  <c r="AJ24" i="17"/>
  <c r="AJ31" i="16"/>
  <c r="AF14" i="6"/>
  <c r="AC14" i="6"/>
  <c r="L74" i="5"/>
  <c r="E66" i="5"/>
  <c r="L66" i="5" s="1"/>
  <c r="L58" i="5"/>
  <c r="X15" i="18"/>
  <c r="X29" i="16"/>
  <c r="X17" i="16"/>
  <c r="X18" i="10"/>
  <c r="X62" i="8"/>
  <c r="X44" i="8"/>
  <c r="X26" i="8"/>
  <c r="X14" i="18"/>
  <c r="X28" i="16"/>
  <c r="X16" i="16"/>
  <c r="X17" i="10"/>
  <c r="X13" i="18"/>
  <c r="X22" i="17"/>
  <c r="X27" i="16"/>
  <c r="X15" i="16"/>
  <c r="X16" i="10"/>
  <c r="X54" i="8"/>
  <c r="X36" i="8"/>
  <c r="X18" i="8"/>
  <c r="X6" i="6"/>
  <c r="X21" i="17"/>
  <c r="X26" i="16"/>
  <c r="X14" i="16"/>
  <c r="X15" i="10"/>
  <c r="X55" i="8"/>
  <c r="X37" i="8"/>
  <c r="X20" i="8"/>
  <c r="X20" i="17"/>
  <c r="X25" i="16"/>
  <c r="X13" i="16"/>
  <c r="X14" i="10"/>
  <c r="X56" i="8"/>
  <c r="X38" i="8"/>
  <c r="X22" i="18"/>
  <c r="X19" i="17"/>
  <c r="X24" i="16"/>
  <c r="X13" i="10"/>
  <c r="X14" i="8"/>
  <c r="X21" i="18"/>
  <c r="X18" i="17"/>
  <c r="X23" i="16"/>
  <c r="X48" i="8"/>
  <c r="X30" i="8"/>
  <c r="X13" i="8"/>
  <c r="X20" i="18"/>
  <c r="X17" i="17"/>
  <c r="X22" i="16"/>
  <c r="X23" i="10"/>
  <c r="X49" i="8"/>
  <c r="X31" i="8"/>
  <c r="X12" i="8"/>
  <c r="X19" i="18"/>
  <c r="X16" i="17"/>
  <c r="X21" i="16"/>
  <c r="X22" i="10"/>
  <c r="X50" i="8"/>
  <c r="X32" i="8"/>
  <c r="X18" i="18"/>
  <c r="X15" i="17"/>
  <c r="X20" i="16"/>
  <c r="X21" i="10"/>
  <c r="X17" i="18"/>
  <c r="X14" i="17"/>
  <c r="X19" i="16"/>
  <c r="X20" i="10"/>
  <c r="X60" i="8"/>
  <c r="X42" i="8"/>
  <c r="X24" i="8"/>
  <c r="X16" i="18"/>
  <c r="X13" i="17"/>
  <c r="X18" i="16"/>
  <c r="X19" i="10"/>
  <c r="X61" i="8"/>
  <c r="X43" i="8"/>
  <c r="X25" i="8"/>
  <c r="X66" i="8"/>
  <c r="X19" i="8"/>
  <c r="X31" i="16"/>
  <c r="X15" i="8"/>
  <c r="X24" i="18"/>
  <c r="X24" i="17"/>
  <c r="X31" i="6"/>
  <c r="X29" i="6"/>
  <c r="X33" i="6"/>
  <c r="X19" i="6"/>
  <c r="X68" i="8"/>
  <c r="X67" i="8"/>
  <c r="X38" i="9"/>
  <c r="X20" i="6"/>
  <c r="X21" i="6"/>
  <c r="U33" i="8"/>
  <c r="U26" i="10"/>
  <c r="U21" i="8"/>
  <c r="U27" i="8"/>
  <c r="U69" i="8"/>
  <c r="U39" i="8"/>
  <c r="U45" i="8"/>
  <c r="U57" i="8"/>
  <c r="U51" i="8"/>
  <c r="K14" i="6"/>
  <c r="L6" i="6" s="1"/>
  <c r="L15" i="18"/>
  <c r="L55" i="8"/>
  <c r="L37" i="8"/>
  <c r="L23" i="10"/>
  <c r="L10" i="5"/>
  <c r="E14" i="6"/>
  <c r="AS20" i="6"/>
  <c r="AT20" i="6" s="1"/>
  <c r="L90" i="5"/>
  <c r="AJ23" i="10"/>
  <c r="AJ19" i="10"/>
  <c r="AJ15" i="10"/>
  <c r="AJ21" i="6"/>
  <c r="AJ66" i="8"/>
  <c r="AJ56" i="8"/>
  <c r="AJ49" i="8"/>
  <c r="AJ42" i="8"/>
  <c r="AJ32" i="8"/>
  <c r="AJ25" i="8"/>
  <c r="AJ18" i="8"/>
  <c r="AJ13" i="8"/>
  <c r="AJ29" i="6"/>
  <c r="AJ19" i="6"/>
  <c r="AJ22" i="10"/>
  <c r="AJ18" i="10"/>
  <c r="AJ38" i="9"/>
  <c r="AJ67" i="8"/>
  <c r="AJ60" i="8"/>
  <c r="AJ50" i="8"/>
  <c r="AJ43" i="8"/>
  <c r="AJ36" i="8"/>
  <c r="AJ26" i="8"/>
  <c r="AJ19" i="8"/>
  <c r="AJ12" i="8"/>
  <c r="AJ6" i="6"/>
  <c r="AJ20" i="6"/>
  <c r="AJ21" i="10"/>
  <c r="AJ17" i="10"/>
  <c r="AJ13" i="10"/>
  <c r="AJ68" i="8"/>
  <c r="AJ61" i="8"/>
  <c r="AJ54" i="8"/>
  <c r="AJ44" i="8"/>
  <c r="AJ37" i="8"/>
  <c r="AJ30" i="8"/>
  <c r="AJ20" i="8"/>
  <c r="AJ15" i="8"/>
  <c r="AJ33" i="6"/>
  <c r="AJ31" i="6"/>
  <c r="AJ24" i="10"/>
  <c r="AJ20" i="10"/>
  <c r="AJ16" i="10"/>
  <c r="AJ62" i="8"/>
  <c r="AJ55" i="8"/>
  <c r="AJ48" i="8"/>
  <c r="AJ38" i="8"/>
  <c r="AJ31" i="8"/>
  <c r="AJ24" i="8"/>
  <c r="AJ14" i="8"/>
  <c r="R39" i="8"/>
  <c r="R21" i="8"/>
  <c r="R27" i="8"/>
  <c r="R57" i="8"/>
  <c r="R69" i="8"/>
  <c r="Q26" i="10"/>
  <c r="R14" i="10"/>
  <c r="R26" i="10" s="1"/>
  <c r="R33" i="8"/>
  <c r="R63" i="8"/>
  <c r="R45" i="8"/>
  <c r="R51" i="8"/>
  <c r="N14" i="6"/>
  <c r="AO18" i="5"/>
  <c r="AO106" i="5" s="1"/>
  <c r="AQ106" i="5"/>
  <c r="AQ114" i="5" s="1"/>
  <c r="X24" i="10" l="1"/>
  <c r="T32" i="6"/>
  <c r="U32" i="6" s="1"/>
  <c r="U6" i="15"/>
  <c r="X13" i="11"/>
  <c r="W34" i="11"/>
  <c r="R6" i="13"/>
  <c r="Q30" i="6"/>
  <c r="R30" i="6" s="1"/>
  <c r="X23" i="13"/>
  <c r="W25" i="13"/>
  <c r="AJ23" i="13"/>
  <c r="AI25" i="13"/>
  <c r="U27" i="6"/>
  <c r="W27" i="6"/>
  <c r="X6" i="10"/>
  <c r="T28" i="6"/>
  <c r="U28" i="6" s="1"/>
  <c r="U6" i="11"/>
  <c r="Q32" i="6"/>
  <c r="R32" i="6" s="1"/>
  <c r="R6" i="15"/>
  <c r="AJ13" i="11"/>
  <c r="AI34" i="11"/>
  <c r="F13" i="16"/>
  <c r="F16" i="15"/>
  <c r="F13" i="15"/>
  <c r="F13" i="14"/>
  <c r="F17" i="15"/>
  <c r="F16" i="14"/>
  <c r="F19" i="14"/>
  <c r="F14" i="15"/>
  <c r="F18" i="15"/>
  <c r="F14" i="14"/>
  <c r="F22" i="15"/>
  <c r="F27" i="15"/>
  <c r="F19" i="15"/>
  <c r="F21" i="15"/>
  <c r="F23" i="15"/>
  <c r="F24" i="15"/>
  <c r="F20" i="14"/>
  <c r="F15" i="14"/>
  <c r="F18" i="14"/>
  <c r="F26" i="15"/>
  <c r="F15" i="15"/>
  <c r="F17" i="14"/>
  <c r="F25" i="15"/>
  <c r="F21" i="14"/>
  <c r="F29" i="11"/>
  <c r="F20" i="13"/>
  <c r="F31" i="11"/>
  <c r="F22" i="13"/>
  <c r="F32" i="11"/>
  <c r="F13" i="13"/>
  <c r="F18" i="11"/>
  <c r="F30" i="11"/>
  <c r="F21" i="13"/>
  <c r="F19" i="11"/>
  <c r="E26" i="10"/>
  <c r="E13" i="11"/>
  <c r="E23" i="13"/>
  <c r="F20" i="11"/>
  <c r="F21" i="11"/>
  <c r="F13" i="17"/>
  <c r="F15" i="13"/>
  <c r="F22" i="11"/>
  <c r="F14" i="13"/>
  <c r="E17" i="11"/>
  <c r="F17" i="11" s="1"/>
  <c r="F23" i="11"/>
  <c r="F18" i="13"/>
  <c r="F24" i="11"/>
  <c r="E20" i="15"/>
  <c r="F25" i="11"/>
  <c r="F16" i="13"/>
  <c r="F14" i="11"/>
  <c r="F26" i="11"/>
  <c r="F17" i="13"/>
  <c r="F15" i="11"/>
  <c r="F27" i="11"/>
  <c r="F16" i="11"/>
  <c r="F28" i="11"/>
  <c r="F19" i="13"/>
  <c r="L21" i="16"/>
  <c r="L19" i="15"/>
  <c r="L19" i="14"/>
  <c r="L18" i="15"/>
  <c r="L18" i="14"/>
  <c r="L17" i="15"/>
  <c r="L17" i="14"/>
  <c r="L15" i="14"/>
  <c r="L13" i="15"/>
  <c r="L21" i="14"/>
  <c r="L23" i="15"/>
  <c r="L14" i="14"/>
  <c r="L22" i="15"/>
  <c r="L16" i="15"/>
  <c r="L16" i="14"/>
  <c r="L15" i="15"/>
  <c r="L25" i="15"/>
  <c r="L20" i="14"/>
  <c r="L27" i="15"/>
  <c r="L13" i="14"/>
  <c r="L26" i="15"/>
  <c r="L14" i="15"/>
  <c r="L24" i="15"/>
  <c r="L21" i="15"/>
  <c r="L25" i="11"/>
  <c r="L19" i="13"/>
  <c r="K23" i="13"/>
  <c r="L21" i="11"/>
  <c r="L24" i="11"/>
  <c r="L18" i="13"/>
  <c r="L23" i="11"/>
  <c r="K13" i="11"/>
  <c r="L17" i="13"/>
  <c r="K26" i="10"/>
  <c r="L13" i="13"/>
  <c r="L22" i="11"/>
  <c r="L16" i="13"/>
  <c r="L15" i="13"/>
  <c r="K17" i="11"/>
  <c r="L17" i="11" s="1"/>
  <c r="L14" i="13"/>
  <c r="L32" i="11"/>
  <c r="L20" i="11"/>
  <c r="K20" i="15"/>
  <c r="L31" i="11"/>
  <c r="L19" i="11"/>
  <c r="L30" i="11"/>
  <c r="L18" i="11"/>
  <c r="L29" i="11"/>
  <c r="L28" i="11"/>
  <c r="L16" i="11"/>
  <c r="L22" i="13"/>
  <c r="L27" i="11"/>
  <c r="L15" i="11"/>
  <c r="L21" i="13"/>
  <c r="L26" i="11"/>
  <c r="L14" i="11"/>
  <c r="L20" i="13"/>
  <c r="X20" i="15"/>
  <c r="W29" i="15"/>
  <c r="T30" i="6"/>
  <c r="U30" i="6" s="1"/>
  <c r="U6" i="13"/>
  <c r="AJ20" i="15"/>
  <c r="AI29" i="15"/>
  <c r="AD14" i="16"/>
  <c r="AD25" i="15"/>
  <c r="AD13" i="15"/>
  <c r="AD13" i="14"/>
  <c r="AD23" i="15"/>
  <c r="AD24" i="15"/>
  <c r="AD18" i="15"/>
  <c r="AD16" i="15"/>
  <c r="AD27" i="15"/>
  <c r="AD14" i="15"/>
  <c r="AD21" i="14"/>
  <c r="AD16" i="14"/>
  <c r="AD22" i="15"/>
  <c r="AD19" i="15"/>
  <c r="AD21" i="15"/>
  <c r="AD20" i="14"/>
  <c r="AD19" i="14"/>
  <c r="AD17" i="14"/>
  <c r="AD18" i="14"/>
  <c r="AD17" i="15"/>
  <c r="AD15" i="15"/>
  <c r="AD14" i="14"/>
  <c r="AD15" i="14"/>
  <c r="AD26" i="15"/>
  <c r="AC20" i="15"/>
  <c r="AD26" i="11"/>
  <c r="AD14" i="11"/>
  <c r="AD13" i="13"/>
  <c r="AD25" i="11"/>
  <c r="AD22" i="13"/>
  <c r="AD24" i="11"/>
  <c r="AD23" i="11"/>
  <c r="AD21" i="13"/>
  <c r="AD20" i="13"/>
  <c r="AD19" i="13"/>
  <c r="AD22" i="11"/>
  <c r="AD21" i="11"/>
  <c r="AD32" i="11"/>
  <c r="AD20" i="11"/>
  <c r="AD31" i="11"/>
  <c r="AD19" i="11"/>
  <c r="AD18" i="13"/>
  <c r="AD30" i="11"/>
  <c r="AD18" i="11"/>
  <c r="AC13" i="11"/>
  <c r="AD17" i="13"/>
  <c r="AC23" i="13"/>
  <c r="AC26" i="10"/>
  <c r="AD29" i="11"/>
  <c r="AD16" i="13"/>
  <c r="AC17" i="11"/>
  <c r="AD17" i="11" s="1"/>
  <c r="AD28" i="11"/>
  <c r="AD16" i="11"/>
  <c r="AD15" i="13"/>
  <c r="AD27" i="11"/>
  <c r="AD15" i="11"/>
  <c r="AD14" i="13"/>
  <c r="AG18" i="18"/>
  <c r="AG22" i="15"/>
  <c r="AG16" i="14"/>
  <c r="AG15" i="14"/>
  <c r="AG14" i="14"/>
  <c r="AG14" i="15"/>
  <c r="AG13" i="15"/>
  <c r="AG17" i="14"/>
  <c r="AG21" i="15"/>
  <c r="AG21" i="14"/>
  <c r="AG16" i="15"/>
  <c r="AG26" i="15"/>
  <c r="AG20" i="14"/>
  <c r="AG19" i="15"/>
  <c r="AG13" i="14"/>
  <c r="AG18" i="15"/>
  <c r="AG24" i="15"/>
  <c r="AG27" i="15"/>
  <c r="AG19" i="14"/>
  <c r="AG17" i="15"/>
  <c r="AG15" i="15"/>
  <c r="AG25" i="15"/>
  <c r="AG23" i="15"/>
  <c r="AG18" i="14"/>
  <c r="AG30" i="11"/>
  <c r="AG18" i="11"/>
  <c r="AG14" i="13"/>
  <c r="AG16" i="11"/>
  <c r="AG29" i="11"/>
  <c r="AG13" i="13"/>
  <c r="AG28" i="11"/>
  <c r="AG26" i="11"/>
  <c r="AG21" i="13"/>
  <c r="AF23" i="13"/>
  <c r="AG27" i="11"/>
  <c r="AG15" i="11"/>
  <c r="AG14" i="11"/>
  <c r="AG22" i="13"/>
  <c r="AG25" i="11"/>
  <c r="AG24" i="11"/>
  <c r="AG20" i="13"/>
  <c r="AG23" i="11"/>
  <c r="AF13" i="11"/>
  <c r="AG19" i="13"/>
  <c r="AF26" i="10"/>
  <c r="AG22" i="11"/>
  <c r="AG18" i="13"/>
  <c r="AF17" i="11"/>
  <c r="AG17" i="11" s="1"/>
  <c r="AG21" i="11"/>
  <c r="AG17" i="13"/>
  <c r="AG32" i="11"/>
  <c r="AG20" i="11"/>
  <c r="AG16" i="13"/>
  <c r="AF20" i="15"/>
  <c r="AG31" i="11"/>
  <c r="AG19" i="11"/>
  <c r="AG15" i="13"/>
  <c r="Q28" i="6"/>
  <c r="R28" i="6" s="1"/>
  <c r="R6" i="11"/>
  <c r="O16" i="15"/>
  <c r="O27" i="15"/>
  <c r="O15" i="15"/>
  <c r="O21" i="14"/>
  <c r="O26" i="15"/>
  <c r="O14" i="15"/>
  <c r="O24" i="15"/>
  <c r="O20" i="14"/>
  <c r="O21" i="15"/>
  <c r="O15" i="14"/>
  <c r="O13" i="14"/>
  <c r="O25" i="15"/>
  <c r="O13" i="15"/>
  <c r="O19" i="14"/>
  <c r="O18" i="14"/>
  <c r="O17" i="14"/>
  <c r="O18" i="15"/>
  <c r="O14" i="14"/>
  <c r="O19" i="15"/>
  <c r="O23" i="15"/>
  <c r="O22" i="15"/>
  <c r="O16" i="14"/>
  <c r="O17" i="15"/>
  <c r="O29" i="11"/>
  <c r="O20" i="13"/>
  <c r="O15" i="11"/>
  <c r="O18" i="13"/>
  <c r="O17" i="13"/>
  <c r="O15" i="13"/>
  <c r="O28" i="11"/>
  <c r="O16" i="11"/>
  <c r="N13" i="11"/>
  <c r="O19" i="13"/>
  <c r="N23" i="13"/>
  <c r="O27" i="11"/>
  <c r="O16" i="13"/>
  <c r="O14" i="13"/>
  <c r="O25" i="11"/>
  <c r="N17" i="11"/>
  <c r="O17" i="11" s="1"/>
  <c r="O26" i="11"/>
  <c r="O14" i="11"/>
  <c r="N20" i="15"/>
  <c r="O24" i="11"/>
  <c r="O13" i="13"/>
  <c r="O23" i="11"/>
  <c r="O22" i="11"/>
  <c r="O21" i="11"/>
  <c r="O32" i="11"/>
  <c r="O20" i="11"/>
  <c r="O31" i="11"/>
  <c r="O19" i="11"/>
  <c r="O22" i="13"/>
  <c r="O30" i="11"/>
  <c r="O18" i="11"/>
  <c r="O21" i="13"/>
  <c r="H547" i="23"/>
  <c r="H549" i="23"/>
  <c r="H544" i="23"/>
  <c r="H535" i="23"/>
  <c r="H527" i="23"/>
  <c r="H514" i="23"/>
  <c r="H509" i="23"/>
  <c r="AJ98" i="5"/>
  <c r="AC98" i="5" s="1"/>
  <c r="AC106" i="5" s="1"/>
  <c r="Q106" i="5"/>
  <c r="G514" i="23"/>
  <c r="AG22" i="17"/>
  <c r="AG17" i="10"/>
  <c r="AG21" i="18"/>
  <c r="F552" i="23"/>
  <c r="G544" i="23"/>
  <c r="H530" i="23"/>
  <c r="F537" i="23"/>
  <c r="E537" i="23"/>
  <c r="G537" i="23" s="1"/>
  <c r="H528" i="23"/>
  <c r="H546" i="23"/>
  <c r="H494" i="23"/>
  <c r="H548" i="23"/>
  <c r="G548" i="23"/>
  <c r="G509" i="23"/>
  <c r="AL12" i="7" s="1"/>
  <c r="H533" i="23"/>
  <c r="G533" i="23"/>
  <c r="G535" i="23"/>
  <c r="H526" i="23"/>
  <c r="F557" i="23"/>
  <c r="G526" i="23"/>
  <c r="H543" i="23"/>
  <c r="G547" i="23"/>
  <c r="G527" i="23"/>
  <c r="E557" i="23"/>
  <c r="E552" i="23"/>
  <c r="L27" i="16"/>
  <c r="AG29" i="16"/>
  <c r="AG25" i="8"/>
  <c r="L18" i="10"/>
  <c r="L50" i="8"/>
  <c r="L48" i="8"/>
  <c r="AD19" i="10"/>
  <c r="X45" i="8"/>
  <c r="L29" i="6"/>
  <c r="L31" i="6"/>
  <c r="AD14" i="8"/>
  <c r="AD13" i="18"/>
  <c r="AD15" i="17"/>
  <c r="AD24" i="18"/>
  <c r="AD66" i="8"/>
  <c r="AD38" i="9"/>
  <c r="AD16" i="16"/>
  <c r="AD20" i="10"/>
  <c r="AD14" i="18"/>
  <c r="AD13" i="8"/>
  <c r="AD31" i="8"/>
  <c r="AD61" i="8"/>
  <c r="AD19" i="6"/>
  <c r="AD28" i="16"/>
  <c r="AD21" i="18"/>
  <c r="AD16" i="17"/>
  <c r="AD21" i="6"/>
  <c r="AD43" i="8"/>
  <c r="AD18" i="8"/>
  <c r="AD67" i="8"/>
  <c r="AD19" i="17"/>
  <c r="AD60" i="8"/>
  <c r="AD38" i="8"/>
  <c r="AD33" i="6"/>
  <c r="AD18" i="18"/>
  <c r="AD21" i="10"/>
  <c r="AD56" i="8"/>
  <c r="AD24" i="17"/>
  <c r="AD31" i="16"/>
  <c r="AD18" i="10"/>
  <c r="AD12" i="8"/>
  <c r="AD26" i="16"/>
  <c r="AD18" i="16"/>
  <c r="AD17" i="16"/>
  <c r="AD22" i="10"/>
  <c r="AD17" i="17"/>
  <c r="AD21" i="17"/>
  <c r="AD14" i="10"/>
  <c r="AD20" i="6"/>
  <c r="AD15" i="8"/>
  <c r="AD44" i="8"/>
  <c r="AD21" i="16"/>
  <c r="L17" i="16"/>
  <c r="L15" i="10"/>
  <c r="L13" i="17"/>
  <c r="L20" i="6"/>
  <c r="L43" i="8"/>
  <c r="L12" i="8"/>
  <c r="L16" i="18"/>
  <c r="L19" i="10"/>
  <c r="L31" i="8"/>
  <c r="L62" i="8"/>
  <c r="L22" i="16"/>
  <c r="L21" i="6"/>
  <c r="L25" i="8"/>
  <c r="L26" i="16"/>
  <c r="L17" i="10"/>
  <c r="L24" i="10"/>
  <c r="L49" i="8"/>
  <c r="L18" i="17"/>
  <c r="L13" i="10"/>
  <c r="L22" i="17"/>
  <c r="L20" i="8"/>
  <c r="L14" i="8"/>
  <c r="L21" i="10"/>
  <c r="L29" i="16"/>
  <c r="L14" i="16"/>
  <c r="L21" i="18"/>
  <c r="L31" i="16"/>
  <c r="L17" i="17"/>
  <c r="L16" i="16"/>
  <c r="L36" i="8"/>
  <c r="L18" i="16"/>
  <c r="L23" i="16"/>
  <c r="L19" i="17"/>
  <c r="L67" i="8"/>
  <c r="L14" i="17"/>
  <c r="L13" i="16"/>
  <c r="L60" i="8"/>
  <c r="L18" i="18"/>
  <c r="L20" i="18"/>
  <c r="L20" i="16"/>
  <c r="L20" i="10"/>
  <c r="L15" i="8"/>
  <c r="L19" i="16"/>
  <c r="L24" i="17"/>
  <c r="L20" i="17"/>
  <c r="L15" i="17"/>
  <c r="L38" i="9"/>
  <c r="L14" i="18"/>
  <c r="L66" i="8"/>
  <c r="L56" i="8"/>
  <c r="L61" i="8"/>
  <c r="L28" i="16"/>
  <c r="L54" i="8"/>
  <c r="L44" i="8"/>
  <c r="L33" i="6"/>
  <c r="L14" i="10"/>
  <c r="L13" i="18"/>
  <c r="L25" i="16"/>
  <c r="L16" i="10"/>
  <c r="L24" i="8"/>
  <c r="L13" i="8"/>
  <c r="L22" i="18"/>
  <c r="L17" i="18"/>
  <c r="L24" i="16"/>
  <c r="L19" i="18"/>
  <c r="L38" i="8"/>
  <c r="L18" i="8"/>
  <c r="L68" i="8"/>
  <c r="L26" i="8"/>
  <c r="L21" i="17"/>
  <c r="L19" i="6"/>
  <c r="L24" i="18"/>
  <c r="L19" i="8"/>
  <c r="L16" i="17"/>
  <c r="L15" i="16"/>
  <c r="L42" i="8"/>
  <c r="L32" i="8"/>
  <c r="L30" i="8"/>
  <c r="AG21" i="16"/>
  <c r="AG19" i="6"/>
  <c r="AG67" i="8"/>
  <c r="AG12" i="8"/>
  <c r="AG49" i="8"/>
  <c r="AG16" i="17"/>
  <c r="AG13" i="18"/>
  <c r="AG33" i="6"/>
  <c r="AG31" i="8"/>
  <c r="AG27" i="16"/>
  <c r="AG18" i="17"/>
  <c r="AG19" i="18"/>
  <c r="AG15" i="18"/>
  <c r="AG15" i="8"/>
  <c r="AG66" i="8"/>
  <c r="AG61" i="8"/>
  <c r="AG31" i="16"/>
  <c r="AG24" i="8"/>
  <c r="AG16" i="10"/>
  <c r="AG42" i="8"/>
  <c r="AG24" i="16"/>
  <c r="AG43" i="8"/>
  <c r="AG14" i="8"/>
  <c r="AG13" i="10"/>
  <c r="AG15" i="16"/>
  <c r="AG20" i="16"/>
  <c r="AG13" i="16"/>
  <c r="AG25" i="16"/>
  <c r="AG20" i="17"/>
  <c r="AG24" i="18"/>
  <c r="AG28" i="16"/>
  <c r="AG20" i="10"/>
  <c r="AG22" i="16"/>
  <c r="AG17" i="18"/>
  <c r="AG23" i="10"/>
  <c r="AG21" i="6"/>
  <c r="AG19" i="8"/>
  <c r="AG62" i="8"/>
  <c r="AG19" i="16"/>
  <c r="AG48" i="8"/>
  <c r="AG20" i="8"/>
  <c r="AG60" i="8"/>
  <c r="AG38" i="9"/>
  <c r="AG24" i="17"/>
  <c r="AG18" i="10"/>
  <c r="AG14" i="17"/>
  <c r="AG24" i="10"/>
  <c r="AG37" i="8"/>
  <c r="AG16" i="16"/>
  <c r="AG20" i="6"/>
  <c r="AG14" i="10"/>
  <c r="AG17" i="16"/>
  <c r="AG21" i="10"/>
  <c r="AG23" i="16"/>
  <c r="AG15" i="10"/>
  <c r="AG55" i="8"/>
  <c r="AG68" i="8"/>
  <c r="AG20" i="18"/>
  <c r="AG19" i="10"/>
  <c r="AG15" i="17"/>
  <c r="AG17" i="17"/>
  <c r="AG19" i="17"/>
  <c r="AG14" i="16"/>
  <c r="AG18" i="8"/>
  <c r="AG6" i="6"/>
  <c r="AG18" i="16"/>
  <c r="AG32" i="8"/>
  <c r="AG14" i="18"/>
  <c r="AG16" i="18"/>
  <c r="AG26" i="16"/>
  <c r="AG29" i="6"/>
  <c r="AG36" i="8"/>
  <c r="AG26" i="8"/>
  <c r="AG13" i="17"/>
  <c r="AG50" i="8"/>
  <c r="AG13" i="8"/>
  <c r="AG38" i="8"/>
  <c r="AG21" i="17"/>
  <c r="AG31" i="6"/>
  <c r="AG54" i="8"/>
  <c r="AG44" i="8"/>
  <c r="AG22" i="18"/>
  <c r="AG22" i="10"/>
  <c r="AG30" i="8"/>
  <c r="AG56" i="8"/>
  <c r="AD36" i="8"/>
  <c r="AD20" i="18"/>
  <c r="AD32" i="8"/>
  <c r="AD16" i="18"/>
  <c r="AD29" i="6"/>
  <c r="AD54" i="8"/>
  <c r="AD25" i="8"/>
  <c r="AD13" i="17"/>
  <c r="AD19" i="8"/>
  <c r="AD29" i="16"/>
  <c r="AD24" i="8"/>
  <c r="AD23" i="16"/>
  <c r="AD55" i="8"/>
  <c r="AD26" i="8"/>
  <c r="AD42" i="8"/>
  <c r="AD14" i="17"/>
  <c r="AD37" i="8"/>
  <c r="AD30" i="8"/>
  <c r="AD24" i="16"/>
  <c r="AD16" i="10"/>
  <c r="AD31" i="6"/>
  <c r="AD20" i="17"/>
  <c r="AD19" i="16"/>
  <c r="AD23" i="10"/>
  <c r="AD13" i="16"/>
  <c r="AD15" i="16"/>
  <c r="AD68" i="8"/>
  <c r="AD19" i="18"/>
  <c r="AD22" i="17"/>
  <c r="AD22" i="16"/>
  <c r="AD25" i="16"/>
  <c r="AD20" i="16"/>
  <c r="AD49" i="8"/>
  <c r="AD15" i="18"/>
  <c r="AD27" i="16"/>
  <c r="AD22" i="18"/>
  <c r="AD20" i="8"/>
  <c r="AD18" i="17"/>
  <c r="AD17" i="10"/>
  <c r="AD62" i="8"/>
  <c r="AD6" i="6"/>
  <c r="AD50" i="8"/>
  <c r="AD48" i="8"/>
  <c r="AD15" i="10"/>
  <c r="AD17" i="18"/>
  <c r="AD13" i="10"/>
  <c r="Z14" i="6"/>
  <c r="X63" i="8"/>
  <c r="X27" i="8"/>
  <c r="X33" i="8"/>
  <c r="X51" i="8"/>
  <c r="X21" i="8"/>
  <c r="X39" i="8"/>
  <c r="X69" i="8"/>
  <c r="X57" i="8"/>
  <c r="X26" i="10"/>
  <c r="O19" i="10"/>
  <c r="O15" i="17"/>
  <c r="O20" i="16"/>
  <c r="O14" i="17"/>
  <c r="O19" i="16"/>
  <c r="O22" i="18"/>
  <c r="O13" i="17"/>
  <c r="O18" i="16"/>
  <c r="O21" i="18"/>
  <c r="O29" i="16"/>
  <c r="O17" i="16"/>
  <c r="O20" i="18"/>
  <c r="O28" i="16"/>
  <c r="O16" i="16"/>
  <c r="O19" i="18"/>
  <c r="O22" i="17"/>
  <c r="O27" i="16"/>
  <c r="O15" i="16"/>
  <c r="O18" i="18"/>
  <c r="O21" i="17"/>
  <c r="O26" i="16"/>
  <c r="O14" i="16"/>
  <c r="O17" i="18"/>
  <c r="O20" i="17"/>
  <c r="O25" i="16"/>
  <c r="O13" i="16"/>
  <c r="O16" i="18"/>
  <c r="O19" i="17"/>
  <c r="O24" i="16"/>
  <c r="O15" i="18"/>
  <c r="O18" i="17"/>
  <c r="O23" i="16"/>
  <c r="O14" i="18"/>
  <c r="O17" i="17"/>
  <c r="O22" i="16"/>
  <c r="O13" i="18"/>
  <c r="O16" i="17"/>
  <c r="O21" i="16"/>
  <c r="O24" i="17"/>
  <c r="O31" i="16"/>
  <c r="O24" i="18"/>
  <c r="L22" i="10"/>
  <c r="F38" i="9"/>
  <c r="F20" i="6"/>
  <c r="F21" i="6"/>
  <c r="U35" i="9"/>
  <c r="U13" i="9"/>
  <c r="X18" i="9"/>
  <c r="X19" i="9"/>
  <c r="X30" i="9"/>
  <c r="X32" i="9"/>
  <c r="U28" i="9"/>
  <c r="U19" i="9"/>
  <c r="R16" i="9"/>
  <c r="U21" i="9"/>
  <c r="F18" i="17"/>
  <c r="AJ19" i="9"/>
  <c r="I20" i="9"/>
  <c r="I33" i="9"/>
  <c r="F30" i="8"/>
  <c r="F35" i="9"/>
  <c r="L19" i="9"/>
  <c r="F21" i="9"/>
  <c r="AD31" i="9"/>
  <c r="L27" i="9"/>
  <c r="AG31" i="9"/>
  <c r="I29" i="9"/>
  <c r="I32" i="9"/>
  <c r="R30" i="9"/>
  <c r="R32" i="9"/>
  <c r="U14" i="9"/>
  <c r="U15" i="9"/>
  <c r="X20" i="9"/>
  <c r="X21" i="9"/>
  <c r="U18" i="9"/>
  <c r="R15" i="9"/>
  <c r="F20" i="10"/>
  <c r="O35" i="9"/>
  <c r="R17" i="9"/>
  <c r="F19" i="16"/>
  <c r="AG15" i="9"/>
  <c r="F29" i="9"/>
  <c r="F13" i="9"/>
  <c r="O14" i="9"/>
  <c r="F55" i="8"/>
  <c r="I16" i="9"/>
  <c r="F44" i="8"/>
  <c r="F15" i="8"/>
  <c r="AJ27" i="9"/>
  <c r="F67" i="8"/>
  <c r="U27" i="9"/>
  <c r="F61" i="8"/>
  <c r="F31" i="6"/>
  <c r="X15" i="9"/>
  <c r="R20" i="9"/>
  <c r="R21" i="9"/>
  <c r="R33" i="9"/>
  <c r="R34" i="9"/>
  <c r="U16" i="9"/>
  <c r="U17" i="9"/>
  <c r="R14" i="9"/>
  <c r="F21" i="10"/>
  <c r="O34" i="9"/>
  <c r="AM30" i="9"/>
  <c r="L30" i="9"/>
  <c r="F19" i="10"/>
  <c r="O13" i="9"/>
  <c r="F18" i="10"/>
  <c r="AD34" i="9"/>
  <c r="F42" i="8"/>
  <c r="F32" i="9"/>
  <c r="I35" i="9"/>
  <c r="F31" i="8"/>
  <c r="F19" i="9"/>
  <c r="F20" i="8"/>
  <c r="F24" i="18"/>
  <c r="F31" i="9"/>
  <c r="AM31" i="9"/>
  <c r="L16" i="9"/>
  <c r="AJ31" i="9"/>
  <c r="F56" i="8"/>
  <c r="F16" i="10"/>
  <c r="O16" i="9"/>
  <c r="F15" i="10"/>
  <c r="O17" i="9"/>
  <c r="O28" i="9"/>
  <c r="O29" i="9"/>
  <c r="R35" i="9"/>
  <c r="R13" i="9"/>
  <c r="F22" i="10"/>
  <c r="O33" i="9"/>
  <c r="AM29" i="9"/>
  <c r="L29" i="9"/>
  <c r="AM20" i="9"/>
  <c r="F14" i="18"/>
  <c r="AM32" i="9"/>
  <c r="L32" i="9"/>
  <c r="AM33" i="9"/>
  <c r="AA29" i="9"/>
  <c r="F18" i="8"/>
  <c r="F15" i="9"/>
  <c r="F49" i="8"/>
  <c r="I27" i="9"/>
  <c r="AM35" i="9"/>
  <c r="L35" i="9"/>
  <c r="AM13" i="9"/>
  <c r="L13" i="9"/>
  <c r="F13" i="10"/>
  <c r="O18" i="9"/>
  <c r="F14" i="10"/>
  <c r="O19" i="9"/>
  <c r="O30" i="9"/>
  <c r="O32" i="9"/>
  <c r="AM28" i="9"/>
  <c r="L28" i="9"/>
  <c r="AM19" i="9"/>
  <c r="F15" i="17"/>
  <c r="AJ16" i="9"/>
  <c r="F16" i="17"/>
  <c r="AM21" i="9"/>
  <c r="F15" i="18"/>
  <c r="AJ28" i="9"/>
  <c r="AA19" i="9"/>
  <c r="U33" i="9"/>
  <c r="F37" i="8"/>
  <c r="F34" i="9"/>
  <c r="I14" i="9"/>
  <c r="F25" i="8"/>
  <c r="I19" i="9"/>
  <c r="L21" i="9"/>
  <c r="O31" i="9"/>
  <c r="AM27" i="9"/>
  <c r="F17" i="18"/>
  <c r="AJ30" i="9"/>
  <c r="F18" i="18"/>
  <c r="AJ32" i="9"/>
  <c r="F19" i="18"/>
  <c r="AM14" i="9"/>
  <c r="L14" i="9"/>
  <c r="AM15" i="9"/>
  <c r="L15" i="9"/>
  <c r="F24" i="10"/>
  <c r="O20" i="9"/>
  <c r="F23" i="10"/>
  <c r="O21" i="9"/>
  <c r="AM18" i="9"/>
  <c r="F14" i="17"/>
  <c r="AJ15" i="9"/>
  <c r="F16" i="16"/>
  <c r="AG35" i="9"/>
  <c r="F17" i="16"/>
  <c r="AJ17" i="9"/>
  <c r="F17" i="17"/>
  <c r="AJ18" i="9"/>
  <c r="R18" i="9"/>
  <c r="F19" i="17"/>
  <c r="AJ20" i="9"/>
  <c r="F20" i="17"/>
  <c r="AJ21" i="9"/>
  <c r="F21" i="17"/>
  <c r="AJ33" i="9"/>
  <c r="F20" i="18"/>
  <c r="AJ34" i="9"/>
  <c r="F21" i="18"/>
  <c r="AM16" i="9"/>
  <c r="F22" i="18"/>
  <c r="AM17" i="9"/>
  <c r="L17" i="9"/>
  <c r="AJ14" i="9"/>
  <c r="F15" i="16"/>
  <c r="AG34" i="9"/>
  <c r="F28" i="16"/>
  <c r="AD30" i="9"/>
  <c r="F29" i="16"/>
  <c r="AG13" i="9"/>
  <c r="F18" i="16"/>
  <c r="AG14" i="9"/>
  <c r="U34" i="9"/>
  <c r="I21" i="9"/>
  <c r="I34" i="9"/>
  <c r="F20" i="16"/>
  <c r="AG16" i="9"/>
  <c r="F21" i="16"/>
  <c r="AG17" i="9"/>
  <c r="F22" i="16"/>
  <c r="AG28" i="9"/>
  <c r="F22" i="17"/>
  <c r="AG29" i="9"/>
  <c r="AJ35" i="9"/>
  <c r="AJ13" i="9"/>
  <c r="F13" i="18"/>
  <c r="AG33" i="9"/>
  <c r="F27" i="16"/>
  <c r="AD29" i="9"/>
  <c r="AD20" i="9"/>
  <c r="AD32" i="9"/>
  <c r="AD33" i="9"/>
  <c r="R29" i="9"/>
  <c r="F30" i="9"/>
  <c r="F14" i="9"/>
  <c r="F13" i="8"/>
  <c r="L18" i="9"/>
  <c r="F20" i="9"/>
  <c r="F19" i="8"/>
  <c r="O27" i="9"/>
  <c r="AD35" i="9"/>
  <c r="AD13" i="9"/>
  <c r="AG18" i="9"/>
  <c r="F23" i="16"/>
  <c r="AG19" i="9"/>
  <c r="F24" i="16"/>
  <c r="AG30" i="9"/>
  <c r="F25" i="16"/>
  <c r="AG32" i="9"/>
  <c r="F14" i="16"/>
  <c r="AD28" i="9"/>
  <c r="AD19" i="9"/>
  <c r="AA16" i="9"/>
  <c r="AD21" i="9"/>
  <c r="AA28" i="9"/>
  <c r="R19" i="9"/>
  <c r="F62" i="8"/>
  <c r="F33" i="9"/>
  <c r="F6" i="6"/>
  <c r="I15" i="9"/>
  <c r="F48" i="8"/>
  <c r="F66" i="8"/>
  <c r="I31" i="9"/>
  <c r="AA30" i="9"/>
  <c r="AA32" i="9"/>
  <c r="AD14" i="9"/>
  <c r="AD15" i="9"/>
  <c r="AG20" i="9"/>
  <c r="AG21" i="9"/>
  <c r="F26" i="16"/>
  <c r="AD18" i="9"/>
  <c r="AA15" i="9"/>
  <c r="X35" i="9"/>
  <c r="AA17" i="9"/>
  <c r="AA18" i="9"/>
  <c r="F17" i="10"/>
  <c r="O15" i="9"/>
  <c r="F38" i="8"/>
  <c r="F60" i="8"/>
  <c r="AA20" i="9"/>
  <c r="AA21" i="9"/>
  <c r="AA33" i="9"/>
  <c r="AA34" i="9"/>
  <c r="AD16" i="9"/>
  <c r="AD17" i="9"/>
  <c r="AA14" i="9"/>
  <c r="X34" i="9"/>
  <c r="U30" i="9"/>
  <c r="X13" i="9"/>
  <c r="X14" i="9"/>
  <c r="AM34" i="9"/>
  <c r="X16" i="9"/>
  <c r="X17" i="9"/>
  <c r="X28" i="9"/>
  <c r="X29" i="9"/>
  <c r="AA35" i="9"/>
  <c r="AA13" i="9"/>
  <c r="X33" i="9"/>
  <c r="U29" i="9"/>
  <c r="U20" i="9"/>
  <c r="U32" i="9"/>
  <c r="F16" i="18"/>
  <c r="R28" i="9"/>
  <c r="L20" i="9"/>
  <c r="F27" i="9"/>
  <c r="X31" i="9"/>
  <c r="F24" i="8"/>
  <c r="F32" i="8"/>
  <c r="F19" i="6"/>
  <c r="AG27" i="9"/>
  <c r="F28" i="9"/>
  <c r="F68" i="8"/>
  <c r="L34" i="9"/>
  <c r="F36" i="8"/>
  <c r="I17" i="9"/>
  <c r="U31" i="9"/>
  <c r="I28" i="9"/>
  <c r="L33" i="9"/>
  <c r="AA27" i="9"/>
  <c r="I13" i="9"/>
  <c r="F16" i="9"/>
  <c r="F33" i="6"/>
  <c r="AJ29" i="9"/>
  <c r="R27" i="9"/>
  <c r="F31" i="16"/>
  <c r="AA31" i="9"/>
  <c r="AD27" i="9"/>
  <c r="F14" i="8"/>
  <c r="X27" i="9"/>
  <c r="L31" i="9"/>
  <c r="I18" i="9"/>
  <c r="F43" i="8"/>
  <c r="F50" i="8"/>
  <c r="F12" i="8"/>
  <c r="R31" i="9"/>
  <c r="F17" i="9"/>
  <c r="F54" i="8"/>
  <c r="F29" i="6"/>
  <c r="F26" i="8"/>
  <c r="I30" i="9"/>
  <c r="F24" i="17"/>
  <c r="F18" i="9"/>
  <c r="AJ51" i="8"/>
  <c r="AJ27" i="8"/>
  <c r="AJ57" i="8"/>
  <c r="AJ63" i="8"/>
  <c r="AJ45" i="8"/>
  <c r="AJ33" i="8"/>
  <c r="AJ39" i="8"/>
  <c r="AJ21" i="8"/>
  <c r="AJ14" i="10"/>
  <c r="AJ26" i="10" s="1"/>
  <c r="AI26" i="10"/>
  <c r="AJ69" i="8"/>
  <c r="Q27" i="6"/>
  <c r="R6" i="10"/>
  <c r="O26" i="8"/>
  <c r="O19" i="8"/>
  <c r="O60" i="8"/>
  <c r="O16" i="10"/>
  <c r="O20" i="10"/>
  <c r="O43" i="8"/>
  <c r="O6" i="6"/>
  <c r="O49" i="8"/>
  <c r="O33" i="6"/>
  <c r="O56" i="8"/>
  <c r="O14" i="8"/>
  <c r="O12" i="8"/>
  <c r="O50" i="8"/>
  <c r="O24" i="10"/>
  <c r="O18" i="8"/>
  <c r="O66" i="8"/>
  <c r="O38" i="8"/>
  <c r="O19" i="6"/>
  <c r="O25" i="8"/>
  <c r="O21" i="10"/>
  <c r="O62" i="8"/>
  <c r="O18" i="10"/>
  <c r="O32" i="8"/>
  <c r="O17" i="10"/>
  <c r="O31" i="8"/>
  <c r="O15" i="8"/>
  <c r="O14" i="10"/>
  <c r="O30" i="8"/>
  <c r="O61" i="8"/>
  <c r="O68" i="8"/>
  <c r="O36" i="8"/>
  <c r="O67" i="8"/>
  <c r="O31" i="6"/>
  <c r="O13" i="8"/>
  <c r="O42" i="8"/>
  <c r="O13" i="10"/>
  <c r="O48" i="8"/>
  <c r="O29" i="6"/>
  <c r="O37" i="8"/>
  <c r="O44" i="8"/>
  <c r="O21" i="6"/>
  <c r="O38" i="9"/>
  <c r="O20" i="6"/>
  <c r="O24" i="8"/>
  <c r="O55" i="8"/>
  <c r="O22" i="10"/>
  <c r="O20" i="8"/>
  <c r="O54" i="8"/>
  <c r="O15" i="10"/>
  <c r="O23" i="10"/>
  <c r="E18" i="5"/>
  <c r="H14" i="6" s="1"/>
  <c r="AC114" i="5"/>
  <c r="AJ106" i="5"/>
  <c r="E106" i="5"/>
  <c r="L106" i="5" s="1"/>
  <c r="AV106" i="5"/>
  <c r="AO114" i="5"/>
  <c r="E98" i="5" l="1"/>
  <c r="F57" i="8"/>
  <c r="AD24" i="10"/>
  <c r="F20" i="15"/>
  <c r="E29" i="15"/>
  <c r="F13" i="11"/>
  <c r="E34" i="11"/>
  <c r="AI28" i="6"/>
  <c r="AJ28" i="6" s="1"/>
  <c r="AJ6" i="11"/>
  <c r="AI30" i="6"/>
  <c r="AJ30" i="6" s="1"/>
  <c r="AJ6" i="13"/>
  <c r="AD13" i="11"/>
  <c r="AD34" i="11" s="1"/>
  <c r="AC34" i="11"/>
  <c r="E27" i="6"/>
  <c r="F6" i="10"/>
  <c r="B9" i="10"/>
  <c r="W30" i="6"/>
  <c r="X30" i="6" s="1"/>
  <c r="X6" i="13"/>
  <c r="AA37" i="8"/>
  <c r="AA16" i="15"/>
  <c r="AA21" i="14"/>
  <c r="AA26" i="15"/>
  <c r="AA14" i="15"/>
  <c r="AA18" i="14"/>
  <c r="AA16" i="14"/>
  <c r="AA21" i="15"/>
  <c r="AA18" i="15"/>
  <c r="AA17" i="15"/>
  <c r="AA27" i="15"/>
  <c r="AA15" i="15"/>
  <c r="AA20" i="14"/>
  <c r="AA25" i="15"/>
  <c r="AA13" i="15"/>
  <c r="AA19" i="14"/>
  <c r="AA24" i="15"/>
  <c r="AA15" i="14"/>
  <c r="AA23" i="14" s="1"/>
  <c r="AA14" i="14"/>
  <c r="AA19" i="15"/>
  <c r="AA13" i="14"/>
  <c r="AA22" i="15"/>
  <c r="AA23" i="15"/>
  <c r="AA17" i="14"/>
  <c r="AA22" i="11"/>
  <c r="AA20" i="11"/>
  <c r="AA21" i="13"/>
  <c r="AA20" i="13"/>
  <c r="Z20" i="15"/>
  <c r="AA21" i="11"/>
  <c r="AA32" i="11"/>
  <c r="AA22" i="13"/>
  <c r="AA30" i="11"/>
  <c r="AA19" i="13"/>
  <c r="AA18" i="13"/>
  <c r="AA31" i="11"/>
  <c r="AA19" i="11"/>
  <c r="AA18" i="11"/>
  <c r="AA29" i="11"/>
  <c r="AA28" i="11"/>
  <c r="AA16" i="11"/>
  <c r="AA27" i="11"/>
  <c r="AA15" i="11"/>
  <c r="AA17" i="13"/>
  <c r="AA26" i="11"/>
  <c r="AA14" i="11"/>
  <c r="AA16" i="13"/>
  <c r="AA25" i="11"/>
  <c r="Z13" i="11"/>
  <c r="AA15" i="13"/>
  <c r="Z23" i="13"/>
  <c r="Z26" i="10"/>
  <c r="AA24" i="11"/>
  <c r="AA14" i="13"/>
  <c r="Z17" i="11"/>
  <c r="AA17" i="11" s="1"/>
  <c r="AA23" i="11"/>
  <c r="AA13" i="13"/>
  <c r="O23" i="13"/>
  <c r="N25" i="13"/>
  <c r="AG23" i="13"/>
  <c r="AF25" i="13"/>
  <c r="W32" i="6"/>
  <c r="X32" i="6" s="1"/>
  <c r="X6" i="15"/>
  <c r="AF27" i="6"/>
  <c r="AG6" i="10"/>
  <c r="K27" i="6"/>
  <c r="L6" i="10"/>
  <c r="I22" i="15"/>
  <c r="I16" i="14"/>
  <c r="I21" i="15"/>
  <c r="I15" i="14"/>
  <c r="I14" i="14"/>
  <c r="I18" i="15"/>
  <c r="I15" i="15"/>
  <c r="I21" i="14"/>
  <c r="I13" i="15"/>
  <c r="I19" i="14"/>
  <c r="I24" i="15"/>
  <c r="I16" i="15"/>
  <c r="I14" i="15"/>
  <c r="I20" i="14"/>
  <c r="I19" i="15"/>
  <c r="I13" i="14"/>
  <c r="I25" i="15"/>
  <c r="I23" i="15"/>
  <c r="I27" i="15"/>
  <c r="I26" i="15"/>
  <c r="I18" i="14"/>
  <c r="I17" i="15"/>
  <c r="I17" i="14"/>
  <c r="I23" i="14" s="1"/>
  <c r="I21" i="11"/>
  <c r="I18" i="13"/>
  <c r="I31" i="11"/>
  <c r="I32" i="11"/>
  <c r="I20" i="11"/>
  <c r="I17" i="13"/>
  <c r="I16" i="13"/>
  <c r="H13" i="11"/>
  <c r="H23" i="13"/>
  <c r="I29" i="11"/>
  <c r="I19" i="11"/>
  <c r="I13" i="13"/>
  <c r="I30" i="11"/>
  <c r="I18" i="11"/>
  <c r="I15" i="13"/>
  <c r="I14" i="13"/>
  <c r="H17" i="11"/>
  <c r="I17" i="11" s="1"/>
  <c r="I28" i="11"/>
  <c r="I16" i="11"/>
  <c r="I27" i="11"/>
  <c r="I15" i="11"/>
  <c r="H20" i="15"/>
  <c r="I26" i="11"/>
  <c r="I14" i="11"/>
  <c r="I25" i="11"/>
  <c r="I22" i="13"/>
  <c r="I24" i="11"/>
  <c r="I21" i="13"/>
  <c r="I23" i="11"/>
  <c r="I20" i="13"/>
  <c r="I22" i="11"/>
  <c r="I19" i="13"/>
  <c r="O13" i="11"/>
  <c r="O34" i="11" s="1"/>
  <c r="N34" i="11"/>
  <c r="O20" i="15"/>
  <c r="O29" i="15" s="1"/>
  <c r="N29" i="15"/>
  <c r="AG13" i="11"/>
  <c r="AF34" i="11"/>
  <c r="L13" i="11"/>
  <c r="K34" i="11"/>
  <c r="AG20" i="15"/>
  <c r="AG29" i="15" s="1"/>
  <c r="AF29" i="15"/>
  <c r="L20" i="15"/>
  <c r="K29" i="15"/>
  <c r="W28" i="6"/>
  <c r="X28" i="6" s="1"/>
  <c r="X6" i="11"/>
  <c r="AD20" i="15"/>
  <c r="AC29" i="15"/>
  <c r="X27" i="6"/>
  <c r="AC27" i="6"/>
  <c r="AD6" i="10"/>
  <c r="AI32" i="6"/>
  <c r="AJ32" i="6" s="1"/>
  <c r="AJ6" i="15"/>
  <c r="AD23" i="13"/>
  <c r="AC25" i="13"/>
  <c r="L23" i="13"/>
  <c r="K25" i="13"/>
  <c r="F23" i="13"/>
  <c r="F25" i="13" s="1"/>
  <c r="E25" i="13"/>
  <c r="T34" i="6"/>
  <c r="U34" i="6" s="1"/>
  <c r="X106" i="5"/>
  <c r="Q114" i="5"/>
  <c r="AL14" i="6"/>
  <c r="L98" i="5"/>
  <c r="G552" i="23"/>
  <c r="G557" i="23"/>
  <c r="L51" i="8"/>
  <c r="H557" i="23"/>
  <c r="H537" i="23"/>
  <c r="H552" i="23"/>
  <c r="L57" i="8"/>
  <c r="L45" i="8"/>
  <c r="AA6" i="6"/>
  <c r="AA21" i="6"/>
  <c r="L39" i="8"/>
  <c r="L63" i="8"/>
  <c r="L21" i="8"/>
  <c r="L33" i="8"/>
  <c r="AD69" i="8"/>
  <c r="AA19" i="18"/>
  <c r="AA21" i="10"/>
  <c r="AA13" i="10"/>
  <c r="L27" i="8"/>
  <c r="AD39" i="8"/>
  <c r="AD27" i="8"/>
  <c r="AD33" i="8"/>
  <c r="L69" i="8"/>
  <c r="L26" i="10"/>
  <c r="AG69" i="8"/>
  <c r="AD63" i="8"/>
  <c r="AD45" i="8"/>
  <c r="AA19" i="17"/>
  <c r="AA20" i="8"/>
  <c r="AA17" i="17"/>
  <c r="AA36" i="8"/>
  <c r="AA22" i="18"/>
  <c r="AA68" i="8"/>
  <c r="AA25" i="8"/>
  <c r="AA27" i="16"/>
  <c r="AA24" i="16"/>
  <c r="AA22" i="16"/>
  <c r="AA22" i="10"/>
  <c r="AA38" i="8"/>
  <c r="AA12" i="8"/>
  <c r="AA31" i="16"/>
  <c r="AA15" i="8"/>
  <c r="AA17" i="16"/>
  <c r="AA21" i="17"/>
  <c r="AA13" i="17"/>
  <c r="AA18" i="10"/>
  <c r="AA13" i="18"/>
  <c r="AA24" i="8"/>
  <c r="AA42" i="8"/>
  <c r="AA15" i="16"/>
  <c r="AA55" i="8"/>
  <c r="AA60" i="8"/>
  <c r="AA50" i="8"/>
  <c r="AA18" i="18"/>
  <c r="AA20" i="18"/>
  <c r="AA24" i="18"/>
  <c r="AA18" i="16"/>
  <c r="AA13" i="16"/>
  <c r="AA26" i="8"/>
  <c r="AA56" i="8"/>
  <c r="AA29" i="6"/>
  <c r="AA20" i="16"/>
  <c r="AA54" i="8"/>
  <c r="AA20" i="6"/>
  <c r="AA33" i="6"/>
  <c r="AA14" i="10"/>
  <c r="AA23" i="10"/>
  <c r="AA25" i="16"/>
  <c r="AA24" i="17"/>
  <c r="AA44" i="8"/>
  <c r="AA19" i="10"/>
  <c r="AG45" i="8"/>
  <c r="AG27" i="8"/>
  <c r="AG33" i="8"/>
  <c r="AG63" i="8"/>
  <c r="AG39" i="8"/>
  <c r="AG21" i="8"/>
  <c r="AG51" i="8"/>
  <c r="AG57" i="8"/>
  <c r="AG26" i="10"/>
  <c r="AD21" i="8"/>
  <c r="AD57" i="8"/>
  <c r="AD26" i="10"/>
  <c r="AD51" i="8"/>
  <c r="AA15" i="17"/>
  <c r="AA31" i="6"/>
  <c r="AA13" i="8"/>
  <c r="AA38" i="9"/>
  <c r="AA43" i="8"/>
  <c r="AA66" i="8"/>
  <c r="AA17" i="10"/>
  <c r="AA16" i="10"/>
  <c r="AA14" i="17"/>
  <c r="AA61" i="8"/>
  <c r="AA14" i="18"/>
  <c r="AA16" i="18"/>
  <c r="AA29" i="16"/>
  <c r="AA16" i="17"/>
  <c r="AA17" i="18"/>
  <c r="AA22" i="17"/>
  <c r="AA14" i="8"/>
  <c r="AA49" i="8"/>
  <c r="AA16" i="16"/>
  <c r="AA19" i="6"/>
  <c r="AA20" i="10"/>
  <c r="AA19" i="16"/>
  <c r="AA18" i="17"/>
  <c r="AA15" i="10"/>
  <c r="AA14" i="16"/>
  <c r="AA31" i="8"/>
  <c r="AA28" i="16"/>
  <c r="AA30" i="8"/>
  <c r="AA21" i="16"/>
  <c r="AA20" i="17"/>
  <c r="AA21" i="18"/>
  <c r="AA15" i="18"/>
  <c r="AA19" i="8"/>
  <c r="AA26" i="16"/>
  <c r="AA62" i="8"/>
  <c r="AA32" i="8"/>
  <c r="AA48" i="8"/>
  <c r="AA24" i="10"/>
  <c r="AA23" i="16"/>
  <c r="AA18" i="8"/>
  <c r="AA67" i="8"/>
  <c r="I22" i="18"/>
  <c r="I21" i="17"/>
  <c r="I22" i="16"/>
  <c r="I21" i="18"/>
  <c r="I20" i="17"/>
  <c r="I21" i="16"/>
  <c r="I20" i="18"/>
  <c r="I19" i="17"/>
  <c r="I20" i="16"/>
  <c r="I19" i="18"/>
  <c r="I18" i="17"/>
  <c r="I19" i="16"/>
  <c r="I18" i="18"/>
  <c r="I17" i="17"/>
  <c r="I18" i="16"/>
  <c r="I17" i="18"/>
  <c r="I16" i="17"/>
  <c r="I29" i="16"/>
  <c r="I17" i="16"/>
  <c r="I16" i="18"/>
  <c r="I15" i="17"/>
  <c r="I28" i="16"/>
  <c r="I16" i="16"/>
  <c r="I15" i="18"/>
  <c r="I14" i="17"/>
  <c r="I27" i="16"/>
  <c r="I15" i="16"/>
  <c r="I14" i="18"/>
  <c r="I13" i="17"/>
  <c r="I26" i="16"/>
  <c r="I14" i="16"/>
  <c r="I13" i="18"/>
  <c r="I25" i="16"/>
  <c r="I13" i="16"/>
  <c r="I24" i="16"/>
  <c r="I22" i="17"/>
  <c r="I23" i="16"/>
  <c r="I24" i="17"/>
  <c r="I24" i="18"/>
  <c r="I31" i="16"/>
  <c r="O36" i="9"/>
  <c r="F39" i="8"/>
  <c r="AJ23" i="14"/>
  <c r="I23" i="9"/>
  <c r="AG25" i="13"/>
  <c r="AD36" i="9"/>
  <c r="AG23" i="9"/>
  <c r="R23" i="14"/>
  <c r="AG36" i="9"/>
  <c r="X25" i="13"/>
  <c r="F23" i="14"/>
  <c r="U36" i="9"/>
  <c r="L36" i="9"/>
  <c r="AD25" i="13"/>
  <c r="R25" i="13"/>
  <c r="AM36" i="9"/>
  <c r="AD23" i="14"/>
  <c r="AD23" i="9"/>
  <c r="L23" i="14"/>
  <c r="F26" i="10"/>
  <c r="X23" i="14"/>
  <c r="F36" i="9"/>
  <c r="AJ36" i="9"/>
  <c r="F29" i="15"/>
  <c r="X36" i="9"/>
  <c r="X23" i="9"/>
  <c r="F63" i="8"/>
  <c r="L25" i="13"/>
  <c r="F34" i="11"/>
  <c r="U25" i="13"/>
  <c r="F27" i="8"/>
  <c r="AA23" i="9"/>
  <c r="L34" i="11"/>
  <c r="R34" i="11"/>
  <c r="AJ29" i="15"/>
  <c r="F33" i="8"/>
  <c r="AG23" i="14"/>
  <c r="L29" i="15"/>
  <c r="O25" i="13"/>
  <c r="R29" i="15"/>
  <c r="L23" i="9"/>
  <c r="I36" i="9"/>
  <c r="AD29" i="15"/>
  <c r="AA36" i="9"/>
  <c r="AG34" i="11"/>
  <c r="F69" i="8"/>
  <c r="O23" i="14"/>
  <c r="AM23" i="9"/>
  <c r="U23" i="14"/>
  <c r="X29" i="15"/>
  <c r="F23" i="9"/>
  <c r="U23" i="9"/>
  <c r="F51" i="8"/>
  <c r="AJ23" i="9"/>
  <c r="X34" i="11"/>
  <c r="F45" i="8"/>
  <c r="O23" i="9"/>
  <c r="R36" i="9"/>
  <c r="U29" i="15"/>
  <c r="AJ25" i="13"/>
  <c r="U34" i="11"/>
  <c r="F21" i="8"/>
  <c r="R23" i="9"/>
  <c r="AJ34" i="11"/>
  <c r="AI27" i="6"/>
  <c r="AJ6" i="10"/>
  <c r="Q34" i="6"/>
  <c r="R34" i="6" s="1"/>
  <c r="R27" i="6"/>
  <c r="O21" i="8"/>
  <c r="O39" i="8"/>
  <c r="O33" i="8"/>
  <c r="O51" i="8"/>
  <c r="O27" i="8"/>
  <c r="O63" i="8"/>
  <c r="N26" i="10"/>
  <c r="O6" i="10" s="1"/>
  <c r="O69" i="8"/>
  <c r="O45" i="8"/>
  <c r="O57" i="8"/>
  <c r="O26" i="10"/>
  <c r="L18" i="5"/>
  <c r="AP13" i="6"/>
  <c r="AT114" i="5"/>
  <c r="AH114" i="5"/>
  <c r="AP12" i="6"/>
  <c r="E114" i="5"/>
  <c r="J114" i="5" s="1"/>
  <c r="I66" i="8"/>
  <c r="I32" i="8"/>
  <c r="I24" i="10"/>
  <c r="I67" i="8"/>
  <c r="I36" i="8"/>
  <c r="I23" i="10"/>
  <c r="I61" i="8"/>
  <c r="I30" i="8"/>
  <c r="I18" i="10"/>
  <c r="I62" i="8"/>
  <c r="I31" i="8"/>
  <c r="I13" i="8"/>
  <c r="I12" i="8"/>
  <c r="I22" i="10"/>
  <c r="I38" i="8"/>
  <c r="I21" i="10"/>
  <c r="I56" i="8"/>
  <c r="I25" i="8"/>
  <c r="I20" i="10"/>
  <c r="I60" i="8"/>
  <c r="I26" i="8"/>
  <c r="I19" i="10"/>
  <c r="I54" i="8"/>
  <c r="I20" i="8"/>
  <c r="I55" i="8"/>
  <c r="I24" i="8"/>
  <c r="I31" i="6"/>
  <c r="I20" i="6"/>
  <c r="I50" i="8"/>
  <c r="I15" i="10"/>
  <c r="I15" i="8"/>
  <c r="I48" i="8"/>
  <c r="I14" i="8"/>
  <c r="I19" i="6"/>
  <c r="I42" i="8"/>
  <c r="I43" i="8"/>
  <c r="I38" i="9"/>
  <c r="I29" i="6"/>
  <c r="I17" i="10"/>
  <c r="I49" i="8"/>
  <c r="I18" i="8"/>
  <c r="I16" i="10"/>
  <c r="I19" i="8"/>
  <c r="I44" i="8"/>
  <c r="AP14" i="6"/>
  <c r="I33" i="6"/>
  <c r="I21" i="6"/>
  <c r="I37" i="8"/>
  <c r="I6" i="6"/>
  <c r="I13" i="10"/>
  <c r="I68" i="8"/>
  <c r="AC30" i="6" l="1"/>
  <c r="AD30" i="6" s="1"/>
  <c r="AD6" i="13"/>
  <c r="N28" i="6"/>
  <c r="O28" i="6" s="1"/>
  <c r="O6" i="11"/>
  <c r="I20" i="15"/>
  <c r="I29" i="15" s="1"/>
  <c r="H29" i="15"/>
  <c r="AC28" i="6"/>
  <c r="AD28" i="6" s="1"/>
  <c r="AD6" i="11"/>
  <c r="AG27" i="6"/>
  <c r="AA20" i="15"/>
  <c r="AA29" i="15" s="1"/>
  <c r="Z29" i="15"/>
  <c r="K32" i="6"/>
  <c r="L32" i="6" s="1"/>
  <c r="L6" i="15"/>
  <c r="I23" i="13"/>
  <c r="I25" i="13" s="1"/>
  <c r="H25" i="13"/>
  <c r="Z27" i="6"/>
  <c r="AA6" i="10"/>
  <c r="I13" i="11"/>
  <c r="I34" i="11" s="1"/>
  <c r="H34" i="11"/>
  <c r="AA23" i="13"/>
  <c r="AA25" i="13" s="1"/>
  <c r="Z25" i="13"/>
  <c r="AM16" i="15"/>
  <c r="AM21" i="14"/>
  <c r="AM26" i="15"/>
  <c r="AM14" i="15"/>
  <c r="AM20" i="14"/>
  <c r="AM17" i="14"/>
  <c r="AM13" i="14"/>
  <c r="AM27" i="15"/>
  <c r="AM15" i="15"/>
  <c r="AM14" i="14"/>
  <c r="AM21" i="15"/>
  <c r="AM15" i="14"/>
  <c r="AM19" i="15"/>
  <c r="AM18" i="15"/>
  <c r="AM25" i="15"/>
  <c r="AM13" i="15"/>
  <c r="AM19" i="14"/>
  <c r="AM18" i="14"/>
  <c r="AM24" i="15"/>
  <c r="AM23" i="15"/>
  <c r="AM22" i="15"/>
  <c r="AM16" i="14"/>
  <c r="AM17" i="15"/>
  <c r="AM27" i="11"/>
  <c r="AM14" i="11"/>
  <c r="AM16" i="13"/>
  <c r="AM14" i="13"/>
  <c r="AL13" i="11"/>
  <c r="AM26" i="11"/>
  <c r="AM15" i="13"/>
  <c r="AM25" i="11"/>
  <c r="AM24" i="11"/>
  <c r="AM13" i="13"/>
  <c r="AL23" i="13"/>
  <c r="AM23" i="11"/>
  <c r="AM22" i="11"/>
  <c r="AM21" i="11"/>
  <c r="AM22" i="13"/>
  <c r="AL17" i="11"/>
  <c r="AM32" i="11"/>
  <c r="AM20" i="11"/>
  <c r="AM21" i="13"/>
  <c r="AM31" i="11"/>
  <c r="AM19" i="11"/>
  <c r="AM20" i="13"/>
  <c r="AL20" i="15"/>
  <c r="AM30" i="11"/>
  <c r="AM18" i="11"/>
  <c r="AM19" i="13"/>
  <c r="AM29" i="11"/>
  <c r="AM16" i="11"/>
  <c r="AM18" i="13"/>
  <c r="AM28" i="11"/>
  <c r="AM15" i="11"/>
  <c r="AM17" i="13"/>
  <c r="AF32" i="6"/>
  <c r="AG32" i="6" s="1"/>
  <c r="AG6" i="15"/>
  <c r="AF30" i="6"/>
  <c r="AG30" i="6" s="1"/>
  <c r="AG6" i="13"/>
  <c r="AA13" i="11"/>
  <c r="AA34" i="11" s="1"/>
  <c r="Z34" i="11"/>
  <c r="AC34" i="6"/>
  <c r="AD34" i="6" s="1"/>
  <c r="AD27" i="6"/>
  <c r="K28" i="6"/>
  <c r="L28" i="6" s="1"/>
  <c r="L6" i="11"/>
  <c r="O6" i="13"/>
  <c r="N30" i="6"/>
  <c r="O30" i="6" s="1"/>
  <c r="E30" i="6"/>
  <c r="F30" i="6" s="1"/>
  <c r="F6" i="13"/>
  <c r="W34" i="6"/>
  <c r="X34" i="6" s="1"/>
  <c r="AF28" i="6"/>
  <c r="AG28" i="6" s="1"/>
  <c r="AG6" i="11"/>
  <c r="E28" i="6"/>
  <c r="F28" i="6" s="1"/>
  <c r="F6" i="11"/>
  <c r="AC32" i="6"/>
  <c r="AD32" i="6" s="1"/>
  <c r="AD6" i="15"/>
  <c r="K30" i="6"/>
  <c r="L30" i="6" s="1"/>
  <c r="L6" i="13"/>
  <c r="N32" i="6"/>
  <c r="O32" i="6" s="1"/>
  <c r="O6" i="15"/>
  <c r="E32" i="6"/>
  <c r="F32" i="6" s="1"/>
  <c r="F6" i="15"/>
  <c r="L27" i="6"/>
  <c r="F27" i="6"/>
  <c r="AM18" i="18"/>
  <c r="AM18" i="16"/>
  <c r="AM17" i="17"/>
  <c r="AM62" i="8"/>
  <c r="AM32" i="8"/>
  <c r="AM26" i="8"/>
  <c r="AM68" i="8"/>
  <c r="AM56" i="8"/>
  <c r="AM23" i="16"/>
  <c r="AM13" i="17"/>
  <c r="AM13" i="18"/>
  <c r="AM26" i="16"/>
  <c r="AM55" i="8"/>
  <c r="AM33" i="6"/>
  <c r="AM19" i="8"/>
  <c r="AM61" i="8"/>
  <c r="AM37" i="8"/>
  <c r="AM23" i="10"/>
  <c r="AM27" i="16"/>
  <c r="AM43" i="8"/>
  <c r="AM38" i="9"/>
  <c r="AM22" i="16"/>
  <c r="AM20" i="17"/>
  <c r="AM14" i="16"/>
  <c r="AM48" i="8"/>
  <c r="AM22" i="10"/>
  <c r="AM12" i="8"/>
  <c r="AM54" i="8"/>
  <c r="AM21" i="10"/>
  <c r="AM30" i="8"/>
  <c r="AM15" i="8"/>
  <c r="AM15" i="10"/>
  <c r="AM22" i="18"/>
  <c r="AM17" i="18"/>
  <c r="AM29" i="16"/>
  <c r="AM21" i="18"/>
  <c r="AM38" i="8"/>
  <c r="AM18" i="10"/>
  <c r="AM29" i="6"/>
  <c r="AM44" i="8"/>
  <c r="AM42" i="8"/>
  <c r="AM13" i="8"/>
  <c r="AM31" i="16"/>
  <c r="AM15" i="16"/>
  <c r="AM49" i="8"/>
  <c r="AM21" i="16"/>
  <c r="AM17" i="16"/>
  <c r="AM16" i="17"/>
  <c r="AM31" i="8"/>
  <c r="AM19" i="6"/>
  <c r="AM20" i="10"/>
  <c r="AM16" i="18"/>
  <c r="AM19" i="17"/>
  <c r="AM25" i="16"/>
  <c r="AM24" i="8"/>
  <c r="AM17" i="10"/>
  <c r="AM20" i="6"/>
  <c r="AM31" i="6"/>
  <c r="AM14" i="18"/>
  <c r="AM66" i="8"/>
  <c r="AM36" i="8"/>
  <c r="AM20" i="18"/>
  <c r="AM20" i="16"/>
  <c r="AM28" i="16"/>
  <c r="AM13" i="16"/>
  <c r="AM14" i="8"/>
  <c r="AM13" i="10"/>
  <c r="AM25" i="8"/>
  <c r="AM20" i="8"/>
  <c r="AM6" i="6"/>
  <c r="AM19" i="16"/>
  <c r="AM50" i="8"/>
  <c r="AM21" i="6"/>
  <c r="AM16" i="10"/>
  <c r="AM15" i="17"/>
  <c r="AM15" i="18"/>
  <c r="AM16" i="16"/>
  <c r="AM24" i="18"/>
  <c r="AM67" i="8"/>
  <c r="AM24" i="16"/>
  <c r="AM22" i="17"/>
  <c r="AM18" i="17"/>
  <c r="AM24" i="17"/>
  <c r="AM19" i="10"/>
  <c r="AM60" i="8"/>
  <c r="AM63" i="8" s="1"/>
  <c r="AM19" i="18"/>
  <c r="AM14" i="17"/>
  <c r="AM18" i="8"/>
  <c r="AM21" i="17"/>
  <c r="AM14" i="10"/>
  <c r="AP11" i="6"/>
  <c r="V114" i="5"/>
  <c r="I24" i="22"/>
  <c r="I25" i="22" s="1"/>
  <c r="AA27" i="8"/>
  <c r="AA57" i="8"/>
  <c r="AA39" i="8"/>
  <c r="AA45" i="8"/>
  <c r="AA69" i="8"/>
  <c r="AA21" i="8"/>
  <c r="AA33" i="8"/>
  <c r="AA63" i="8"/>
  <c r="AA51" i="8"/>
  <c r="AA26" i="10"/>
  <c r="AQ17" i="18"/>
  <c r="AQ18" i="18"/>
  <c r="AQ19" i="18"/>
  <c r="AQ20" i="18"/>
  <c r="AQ21" i="18"/>
  <c r="AQ22" i="18"/>
  <c r="AQ13" i="18"/>
  <c r="AQ14" i="18"/>
  <c r="AQ16" i="18"/>
  <c r="AQ23" i="15"/>
  <c r="AQ25" i="15"/>
  <c r="AQ19" i="13"/>
  <c r="AQ16" i="15"/>
  <c r="AQ21" i="17"/>
  <c r="AQ18" i="14"/>
  <c r="AQ20" i="14"/>
  <c r="AQ14" i="17"/>
  <c r="AQ16" i="14"/>
  <c r="AQ20" i="16"/>
  <c r="AQ17" i="13"/>
  <c r="AQ13" i="13"/>
  <c r="AQ21" i="16"/>
  <c r="AQ23" i="16"/>
  <c r="AQ14" i="14"/>
  <c r="AQ14" i="16"/>
  <c r="AQ16" i="11"/>
  <c r="AQ19" i="15"/>
  <c r="AQ21" i="15"/>
  <c r="AQ22" i="17"/>
  <c r="AQ24" i="16"/>
  <c r="AQ18" i="17"/>
  <c r="AQ15" i="14"/>
  <c r="AQ15" i="17"/>
  <c r="AQ17" i="17"/>
  <c r="AQ15" i="15"/>
  <c r="AQ26" i="16"/>
  <c r="AQ28" i="11"/>
  <c r="AQ17" i="16"/>
  <c r="AQ19" i="16"/>
  <c r="AQ14" i="11"/>
  <c r="AQ17" i="15"/>
  <c r="AQ31" i="11"/>
  <c r="AQ13" i="15"/>
  <c r="AQ22" i="11"/>
  <c r="AQ27" i="15"/>
  <c r="AQ29" i="16"/>
  <c r="AQ22" i="13"/>
  <c r="AQ18" i="11"/>
  <c r="AQ13" i="17"/>
  <c r="AQ22" i="15"/>
  <c r="AQ29" i="11"/>
  <c r="AQ20" i="11"/>
  <c r="AQ16" i="13"/>
  <c r="AQ24" i="11"/>
  <c r="AQ13" i="16"/>
  <c r="AQ20" i="17"/>
  <c r="AQ17" i="14"/>
  <c r="AQ30" i="11"/>
  <c r="C9" i="20"/>
  <c r="AQ19" i="11"/>
  <c r="AQ15" i="13"/>
  <c r="AQ32" i="11"/>
  <c r="AQ24" i="15"/>
  <c r="AQ18" i="13"/>
  <c r="AQ25" i="16"/>
  <c r="AQ15" i="11"/>
  <c r="AQ18" i="15"/>
  <c r="AQ19" i="14"/>
  <c r="AQ15" i="18"/>
  <c r="AQ26" i="11"/>
  <c r="AQ15" i="16"/>
  <c r="AQ27" i="16"/>
  <c r="AQ14" i="13"/>
  <c r="AQ22" i="16"/>
  <c r="AQ13" i="14"/>
  <c r="AQ19" i="17"/>
  <c r="AQ27" i="11"/>
  <c r="AQ16" i="16"/>
  <c r="AQ26" i="15"/>
  <c r="AQ20" i="13"/>
  <c r="AQ25" i="11"/>
  <c r="AQ21" i="14"/>
  <c r="AQ16" i="17"/>
  <c r="AQ14" i="15"/>
  <c r="AQ21" i="13"/>
  <c r="AQ28" i="16"/>
  <c r="AQ18" i="16"/>
  <c r="AQ24" i="18"/>
  <c r="AQ23" i="11"/>
  <c r="AQ21" i="11"/>
  <c r="AQ24" i="17"/>
  <c r="AQ31" i="16"/>
  <c r="AJ27" i="6"/>
  <c r="AI34" i="6"/>
  <c r="AJ34" i="6" s="1"/>
  <c r="N27" i="6"/>
  <c r="O27" i="6" s="1"/>
  <c r="I27" i="8"/>
  <c r="I21" i="8"/>
  <c r="I51" i="8"/>
  <c r="I14" i="10"/>
  <c r="I26" i="10" s="1"/>
  <c r="H26" i="10"/>
  <c r="AP14" i="10"/>
  <c r="AQ12" i="6"/>
  <c r="I45" i="8"/>
  <c r="I63" i="8"/>
  <c r="I57" i="8"/>
  <c r="I39" i="8"/>
  <c r="I69" i="8"/>
  <c r="AL7" i="6"/>
  <c r="AQ34" i="9"/>
  <c r="AQ20" i="9"/>
  <c r="AQ54" i="8"/>
  <c r="AQ30" i="8"/>
  <c r="AQ12" i="8"/>
  <c r="AQ38" i="9"/>
  <c r="AQ63" i="8"/>
  <c r="AQ39" i="8"/>
  <c r="N7" i="6"/>
  <c r="AQ15" i="9"/>
  <c r="AQ66" i="8"/>
  <c r="AQ42" i="8"/>
  <c r="AQ24" i="8"/>
  <c r="Q7" i="6"/>
  <c r="AQ69" i="8"/>
  <c r="AQ49" i="8"/>
  <c r="AQ19" i="6"/>
  <c r="AQ20" i="6"/>
  <c r="AQ23" i="10"/>
  <c r="AQ22" i="10"/>
  <c r="AQ20" i="10"/>
  <c r="K7" i="6"/>
  <c r="AQ27" i="9"/>
  <c r="AQ26" i="8"/>
  <c r="AQ21" i="8"/>
  <c r="C9" i="6"/>
  <c r="AQ15" i="10"/>
  <c r="AF7" i="6"/>
  <c r="AQ14" i="9"/>
  <c r="AQ13" i="9"/>
  <c r="AQ45" i="8"/>
  <c r="AQ25" i="8"/>
  <c r="AI7" i="6"/>
  <c r="AQ31" i="9"/>
  <c r="AQ61" i="8"/>
  <c r="AQ37" i="8"/>
  <c r="AQ28" i="9"/>
  <c r="AQ17" i="9"/>
  <c r="AQ57" i="8"/>
  <c r="AQ33" i="8"/>
  <c r="AQ18" i="8"/>
  <c r="E7" i="6"/>
  <c r="AQ62" i="8"/>
  <c r="AQ38" i="8"/>
  <c r="AQ33" i="6"/>
  <c r="AQ21" i="6"/>
  <c r="AQ6" i="6"/>
  <c r="AQ17" i="10"/>
  <c r="AQ16" i="10"/>
  <c r="AQ19" i="10"/>
  <c r="AQ36" i="8"/>
  <c r="AQ29" i="6"/>
  <c r="AQ21" i="10"/>
  <c r="H7" i="6"/>
  <c r="AQ30" i="9"/>
  <c r="AQ32" i="8"/>
  <c r="AQ67" i="8"/>
  <c r="Z7" i="6"/>
  <c r="AQ44" i="8"/>
  <c r="AQ33" i="9"/>
  <c r="AQ18" i="10"/>
  <c r="T7" i="6"/>
  <c r="AQ16" i="9"/>
  <c r="AQ68" i="8"/>
  <c r="AQ43" i="8"/>
  <c r="AQ20" i="8"/>
  <c r="W7" i="6"/>
  <c r="AQ35" i="9"/>
  <c r="AQ50" i="8"/>
  <c r="AQ19" i="8"/>
  <c r="AQ32" i="9"/>
  <c r="AQ19" i="9"/>
  <c r="AQ55" i="8"/>
  <c r="AQ31" i="8"/>
  <c r="AQ13" i="8"/>
  <c r="AQ29" i="9"/>
  <c r="AQ60" i="8"/>
  <c r="AQ31" i="6"/>
  <c r="AQ13" i="10"/>
  <c r="AQ18" i="9"/>
  <c r="AQ14" i="8"/>
  <c r="AQ48" i="8"/>
  <c r="AQ21" i="9"/>
  <c r="AC7" i="6"/>
  <c r="AQ51" i="8"/>
  <c r="AQ56" i="8"/>
  <c r="I33" i="8"/>
  <c r="AQ13" i="6"/>
  <c r="H28" i="6" l="1"/>
  <c r="I28" i="6" s="1"/>
  <c r="I6" i="11"/>
  <c r="AF34" i="6"/>
  <c r="AG34" i="6" s="1"/>
  <c r="AM33" i="8"/>
  <c r="AP24" i="10"/>
  <c r="AQ24" i="10" s="1"/>
  <c r="AL26" i="10"/>
  <c r="AM23" i="14"/>
  <c r="AA27" i="6"/>
  <c r="I6" i="13"/>
  <c r="H30" i="6"/>
  <c r="I30" i="6" s="1"/>
  <c r="H32" i="6"/>
  <c r="I32" i="6" s="1"/>
  <c r="I6" i="15"/>
  <c r="Z28" i="6"/>
  <c r="AA28" i="6" s="1"/>
  <c r="AA6" i="11"/>
  <c r="AM17" i="11"/>
  <c r="AP17" i="11"/>
  <c r="AQ17" i="11" s="1"/>
  <c r="AM13" i="11"/>
  <c r="AM34" i="11" s="1"/>
  <c r="AP13" i="11"/>
  <c r="AL34" i="11"/>
  <c r="AM29" i="15"/>
  <c r="E34" i="6"/>
  <c r="F34" i="6" s="1"/>
  <c r="Z32" i="6"/>
  <c r="AA32" i="6" s="1"/>
  <c r="AA6" i="15"/>
  <c r="Z30" i="6"/>
  <c r="AA30" i="6" s="1"/>
  <c r="AA6" i="13"/>
  <c r="AM24" i="10"/>
  <c r="AM26" i="10" s="1"/>
  <c r="K34" i="6"/>
  <c r="L34" i="6" s="1"/>
  <c r="AM20" i="15"/>
  <c r="AP20" i="15"/>
  <c r="AL29" i="15"/>
  <c r="AM23" i="13"/>
  <c r="AM25" i="13" s="1"/>
  <c r="AL25" i="13"/>
  <c r="AP23" i="13"/>
  <c r="AM27" i="8"/>
  <c r="AM21" i="8"/>
  <c r="AM45" i="8"/>
  <c r="AM57" i="8"/>
  <c r="AM39" i="8"/>
  <c r="AQ11" i="6"/>
  <c r="K11" i="6" s="1"/>
  <c r="J11" i="21"/>
  <c r="AM69" i="8"/>
  <c r="AM51" i="8"/>
  <c r="AQ23" i="14"/>
  <c r="N34" i="6"/>
  <c r="O34" i="6" s="1"/>
  <c r="AD38" i="6"/>
  <c r="AD39" i="6"/>
  <c r="AQ36" i="9"/>
  <c r="AQ14" i="10"/>
  <c r="X38" i="6"/>
  <c r="X39" i="6"/>
  <c r="F39" i="6"/>
  <c r="AP7" i="6"/>
  <c r="AS7" i="6" s="1"/>
  <c r="F38" i="6"/>
  <c r="AQ23" i="9"/>
  <c r="L38" i="6"/>
  <c r="L39" i="6"/>
  <c r="H27" i="6"/>
  <c r="I6" i="10"/>
  <c r="U38" i="6"/>
  <c r="U39" i="6"/>
  <c r="AJ38" i="6"/>
  <c r="AJ39" i="6"/>
  <c r="R39" i="6"/>
  <c r="R38" i="6"/>
  <c r="AI13" i="6"/>
  <c r="AF13" i="6"/>
  <c r="T13" i="6"/>
  <c r="E13" i="6"/>
  <c r="AC13" i="6"/>
  <c r="Q13" i="6"/>
  <c r="H13" i="6"/>
  <c r="AL13" i="6"/>
  <c r="N13" i="6"/>
  <c r="K13" i="6"/>
  <c r="Z13" i="6"/>
  <c r="W13" i="6"/>
  <c r="AA39" i="6"/>
  <c r="AA38" i="6"/>
  <c r="I39" i="6"/>
  <c r="I38" i="6"/>
  <c r="AG38" i="6"/>
  <c r="AG39" i="6"/>
  <c r="AQ27" i="8"/>
  <c r="O39" i="6"/>
  <c r="O38" i="6"/>
  <c r="AQ15" i="8"/>
  <c r="AI12" i="6"/>
  <c r="AF12" i="6"/>
  <c r="T12" i="6"/>
  <c r="E12" i="6"/>
  <c r="AC12" i="6"/>
  <c r="Q12" i="6"/>
  <c r="H12" i="6"/>
  <c r="AL12" i="6"/>
  <c r="N12" i="6"/>
  <c r="K12" i="6"/>
  <c r="Z12" i="6"/>
  <c r="W12" i="6"/>
  <c r="Z34" i="6" l="1"/>
  <c r="AA34" i="6" s="1"/>
  <c r="AQ26" i="10"/>
  <c r="AM6" i="10"/>
  <c r="AL27" i="6"/>
  <c r="Z11" i="6"/>
  <c r="AP34" i="11"/>
  <c r="AQ13" i="11"/>
  <c r="AQ34" i="11" s="1"/>
  <c r="AL11" i="6"/>
  <c r="AP25" i="13"/>
  <c r="AQ23" i="13"/>
  <c r="AQ25" i="13" s="1"/>
  <c r="AI11" i="6"/>
  <c r="AH11" i="7" s="1"/>
  <c r="AL32" i="6"/>
  <c r="AM6" i="15"/>
  <c r="H11" i="6"/>
  <c r="I11" i="6" s="1"/>
  <c r="AP29" i="15"/>
  <c r="AQ20" i="15"/>
  <c r="AQ29" i="15" s="1"/>
  <c r="AP26" i="10"/>
  <c r="E7" i="10" s="1"/>
  <c r="AL30" i="6"/>
  <c r="AM6" i="13"/>
  <c r="W11" i="6"/>
  <c r="X11" i="6" s="1"/>
  <c r="N11" i="6"/>
  <c r="O11" i="6" s="1"/>
  <c r="AL28" i="6"/>
  <c r="AM6" i="11"/>
  <c r="AL7" i="11"/>
  <c r="Q11" i="6"/>
  <c r="P11" i="7" s="1"/>
  <c r="T11" i="6"/>
  <c r="E11" i="6"/>
  <c r="AQ14" i="6"/>
  <c r="AF11" i="6"/>
  <c r="AG11" i="6" s="1"/>
  <c r="AC11" i="6"/>
  <c r="AD11" i="6" s="1"/>
  <c r="O12" i="6"/>
  <c r="M12" i="7"/>
  <c r="M20" i="7" s="1"/>
  <c r="N20" i="7" s="1"/>
  <c r="AB12" i="7"/>
  <c r="AB20" i="7" s="1"/>
  <c r="AC20" i="7" s="1"/>
  <c r="AD12" i="6"/>
  <c r="G13" i="7"/>
  <c r="I13" i="6"/>
  <c r="S13" i="7"/>
  <c r="U13" i="6"/>
  <c r="V12" i="7"/>
  <c r="V20" i="7" s="1"/>
  <c r="W20" i="7" s="1"/>
  <c r="X12" i="6"/>
  <c r="AK12" i="7"/>
  <c r="AM12" i="6"/>
  <c r="D12" i="7"/>
  <c r="D20" i="7" s="1"/>
  <c r="E20" i="7" s="1"/>
  <c r="F12" i="6"/>
  <c r="L13" i="6"/>
  <c r="J13" i="7"/>
  <c r="P13" i="7"/>
  <c r="R13" i="6"/>
  <c r="AE13" i="7"/>
  <c r="AG13" i="6"/>
  <c r="S11" i="7"/>
  <c r="U11" i="6"/>
  <c r="L11" i="6"/>
  <c r="J11" i="7"/>
  <c r="AB11" i="7"/>
  <c r="Y13" i="7"/>
  <c r="AA13" i="6"/>
  <c r="Y12" i="7"/>
  <c r="Y20" i="7" s="1"/>
  <c r="Z20" i="7" s="1"/>
  <c r="AA12" i="6"/>
  <c r="G12" i="7"/>
  <c r="G20" i="7" s="1"/>
  <c r="H20" i="7" s="1"/>
  <c r="I12" i="6"/>
  <c r="S12" i="7"/>
  <c r="S20" i="7" s="1"/>
  <c r="T20" i="7" s="1"/>
  <c r="U12" i="6"/>
  <c r="M13" i="7"/>
  <c r="O13" i="6"/>
  <c r="AB13" i="7"/>
  <c r="AD13" i="6"/>
  <c r="AH13" i="7"/>
  <c r="AJ13" i="6"/>
  <c r="H34" i="6"/>
  <c r="I27" i="6"/>
  <c r="AP27" i="6"/>
  <c r="AP39" i="6"/>
  <c r="H97" i="21" s="1"/>
  <c r="AM39" i="6"/>
  <c r="V11" i="7"/>
  <c r="Y11" i="7"/>
  <c r="AA11" i="6"/>
  <c r="AH12" i="7"/>
  <c r="AH20" i="7" s="1"/>
  <c r="AI20" i="7" s="1"/>
  <c r="AJ12" i="6"/>
  <c r="J12" i="7"/>
  <c r="J20" i="7" s="1"/>
  <c r="K20" i="7" s="1"/>
  <c r="L12" i="6"/>
  <c r="P12" i="7"/>
  <c r="P20" i="7" s="1"/>
  <c r="Q20" i="7" s="1"/>
  <c r="R12" i="6"/>
  <c r="AG12" i="6"/>
  <c r="AE12" i="7"/>
  <c r="AE20" i="7" s="1"/>
  <c r="AF20" i="7" s="1"/>
  <c r="V13" i="7"/>
  <c r="X13" i="6"/>
  <c r="AK13" i="7"/>
  <c r="AM13" i="6"/>
  <c r="D13" i="7"/>
  <c r="F13" i="6"/>
  <c r="AP38" i="6"/>
  <c r="AM38" i="6"/>
  <c r="D11" i="7"/>
  <c r="F11" i="6"/>
  <c r="AK11" i="7"/>
  <c r="AM11" i="6"/>
  <c r="AI7" i="10" l="1"/>
  <c r="W7" i="10"/>
  <c r="AF7" i="10"/>
  <c r="AP7" i="10"/>
  <c r="AL7" i="10"/>
  <c r="N7" i="10"/>
  <c r="H7" i="10"/>
  <c r="K7" i="10"/>
  <c r="T7" i="10"/>
  <c r="AQ6" i="10"/>
  <c r="AJ11" i="6"/>
  <c r="M11" i="7"/>
  <c r="AC7" i="10"/>
  <c r="AT7" i="10"/>
  <c r="BA7" i="10" s="1"/>
  <c r="Z7" i="10"/>
  <c r="Q7" i="10"/>
  <c r="AP28" i="6"/>
  <c r="AM28" i="6"/>
  <c r="AP32" i="6"/>
  <c r="AM32" i="6"/>
  <c r="AQ6" i="13"/>
  <c r="AP7" i="13"/>
  <c r="AT7" i="13"/>
  <c r="BA7" i="13" s="1"/>
  <c r="B9" i="13"/>
  <c r="Q7" i="13"/>
  <c r="T7" i="13"/>
  <c r="W7" i="13"/>
  <c r="AI7" i="13"/>
  <c r="N7" i="13"/>
  <c r="AC7" i="13"/>
  <c r="AF7" i="13"/>
  <c r="E7" i="13"/>
  <c r="K7" i="13"/>
  <c r="H7" i="13"/>
  <c r="Z7" i="13"/>
  <c r="AL7" i="13"/>
  <c r="AP30" i="6"/>
  <c r="AM30" i="6"/>
  <c r="AT7" i="11"/>
  <c r="BA7" i="11" s="1"/>
  <c r="AQ6" i="11"/>
  <c r="B9" i="11"/>
  <c r="AP7" i="11"/>
  <c r="T7" i="11"/>
  <c r="Q7" i="11"/>
  <c r="W7" i="11"/>
  <c r="AI7" i="11"/>
  <c r="N7" i="11"/>
  <c r="AF7" i="11"/>
  <c r="AC7" i="11"/>
  <c r="K7" i="11"/>
  <c r="E7" i="11"/>
  <c r="H7" i="11"/>
  <c r="Z7" i="11"/>
  <c r="G11" i="7"/>
  <c r="G19" i="7" s="1"/>
  <c r="H19" i="7" s="1"/>
  <c r="AM27" i="6"/>
  <c r="AL34" i="6"/>
  <c r="AM34" i="6" s="1"/>
  <c r="R11" i="6"/>
  <c r="AL7" i="15"/>
  <c r="AQ6" i="15"/>
  <c r="AP7" i="15"/>
  <c r="B9" i="15"/>
  <c r="AT7" i="15"/>
  <c r="BA7" i="15" s="1"/>
  <c r="T7" i="15"/>
  <c r="Q7" i="15"/>
  <c r="AI7" i="15"/>
  <c r="W7" i="15"/>
  <c r="AC7" i="15"/>
  <c r="K7" i="15"/>
  <c r="N7" i="15"/>
  <c r="AF7" i="15"/>
  <c r="E7" i="15"/>
  <c r="H7" i="15"/>
  <c r="Z7" i="15"/>
  <c r="AE11" i="7"/>
  <c r="AE14" i="7" s="1"/>
  <c r="AQ39" i="6"/>
  <c r="AQ38" i="6"/>
  <c r="J34" i="21"/>
  <c r="AQ27" i="6"/>
  <c r="I14" i="6"/>
  <c r="R14" i="6"/>
  <c r="AA14" i="6"/>
  <c r="AD14" i="6"/>
  <c r="AH14" i="7"/>
  <c r="AH19" i="7"/>
  <c r="AI19" i="7" s="1"/>
  <c r="AH18" i="7"/>
  <c r="AI18" i="7" s="1"/>
  <c r="Y19" i="7"/>
  <c r="Z19" i="7" s="1"/>
  <c r="Y14" i="7"/>
  <c r="Y18" i="7"/>
  <c r="Z18" i="7" s="1"/>
  <c r="J18" i="7"/>
  <c r="K18" i="7" s="1"/>
  <c r="J14" i="7"/>
  <c r="J19" i="7"/>
  <c r="K19" i="7" s="1"/>
  <c r="P19" i="7"/>
  <c r="Q19" i="7" s="1"/>
  <c r="P14" i="7"/>
  <c r="P18" i="7"/>
  <c r="Q18" i="7" s="1"/>
  <c r="L14" i="6"/>
  <c r="AM14" i="6"/>
  <c r="F14" i="6"/>
  <c r="AO13" i="7"/>
  <c r="AP13" i="7" s="1"/>
  <c r="X14" i="6"/>
  <c r="O14" i="6"/>
  <c r="U14" i="6"/>
  <c r="AJ14" i="6"/>
  <c r="V19" i="7"/>
  <c r="W19" i="7" s="1"/>
  <c r="V18" i="7"/>
  <c r="W18" i="7" s="1"/>
  <c r="V14" i="7"/>
  <c r="AB18" i="7"/>
  <c r="AC18" i="7" s="1"/>
  <c r="AB14" i="7"/>
  <c r="AB19" i="7"/>
  <c r="AC19" i="7" s="1"/>
  <c r="AK18" i="7"/>
  <c r="AK19" i="7"/>
  <c r="AL19" i="7" s="1"/>
  <c r="AK14" i="7"/>
  <c r="D18" i="7"/>
  <c r="E18" i="7" s="1"/>
  <c r="D14" i="7"/>
  <c r="D19" i="7"/>
  <c r="E19" i="7" s="1"/>
  <c r="G18" i="7"/>
  <c r="H18" i="7" s="1"/>
  <c r="G14" i="7"/>
  <c r="I34" i="6"/>
  <c r="M19" i="7"/>
  <c r="N19" i="7" s="1"/>
  <c r="M18" i="7"/>
  <c r="N18" i="7" s="1"/>
  <c r="M14" i="7"/>
  <c r="S18" i="7"/>
  <c r="T18" i="7" s="1"/>
  <c r="S14" i="7"/>
  <c r="S19" i="7"/>
  <c r="T19" i="7" s="1"/>
  <c r="AK20" i="7"/>
  <c r="AL20" i="7" s="1"/>
  <c r="AO12" i="7"/>
  <c r="AG14" i="6"/>
  <c r="AP34" i="6" l="1"/>
  <c r="AQ34" i="6" s="1"/>
  <c r="AQ30" i="6"/>
  <c r="AE19" i="7"/>
  <c r="AF19" i="7" s="1"/>
  <c r="AO11" i="7"/>
  <c r="AO14" i="7" s="1"/>
  <c r="M7" i="7" s="1"/>
  <c r="AQ32" i="6"/>
  <c r="AE18" i="7"/>
  <c r="AF18" i="7" s="1"/>
  <c r="J28" i="21"/>
  <c r="AQ28" i="6"/>
  <c r="N16" i="6"/>
  <c r="M16" i="7"/>
  <c r="N14" i="7"/>
  <c r="N16" i="7" s="1"/>
  <c r="M22" i="7"/>
  <c r="N22" i="7" s="1"/>
  <c r="N6" i="7"/>
  <c r="AL16" i="6"/>
  <c r="J16" i="19" s="1"/>
  <c r="AK22" i="7"/>
  <c r="AL22" i="7" s="1"/>
  <c r="AL6" i="7"/>
  <c r="AK16" i="7"/>
  <c r="AL14" i="7"/>
  <c r="AL16" i="7" s="1"/>
  <c r="AC16" i="6"/>
  <c r="AB16" i="7"/>
  <c r="AC14" i="7"/>
  <c r="AC16" i="7" s="1"/>
  <c r="AB22" i="7"/>
  <c r="AC22" i="7" s="1"/>
  <c r="AC6" i="7"/>
  <c r="K16" i="6"/>
  <c r="K6" i="7"/>
  <c r="K14" i="7"/>
  <c r="K16" i="7" s="1"/>
  <c r="J22" i="7"/>
  <c r="K22" i="7" s="1"/>
  <c r="J16" i="7"/>
  <c r="D16" i="7"/>
  <c r="E14" i="7"/>
  <c r="E16" i="7" s="1"/>
  <c r="E16" i="6"/>
  <c r="E6" i="7"/>
  <c r="D22" i="7"/>
  <c r="E22" i="7" s="1"/>
  <c r="P16" i="7"/>
  <c r="Q16" i="6"/>
  <c r="P22" i="7"/>
  <c r="Q22" i="7" s="1"/>
  <c r="Q6" i="7"/>
  <c r="Q14" i="7"/>
  <c r="Q16" i="7" s="1"/>
  <c r="AL18" i="7"/>
  <c r="V16" i="7"/>
  <c r="V22" i="7"/>
  <c r="W22" i="7" s="1"/>
  <c r="W6" i="7"/>
  <c r="W16" i="6"/>
  <c r="W14" i="7"/>
  <c r="W16" i="7" s="1"/>
  <c r="T6" i="7"/>
  <c r="S22" i="7"/>
  <c r="T22" i="7" s="1"/>
  <c r="S16" i="7"/>
  <c r="T16" i="6"/>
  <c r="T14" i="7"/>
  <c r="T16" i="7" s="1"/>
  <c r="G16" i="7"/>
  <c r="H14" i="7"/>
  <c r="H16" i="7" s="1"/>
  <c r="H6" i="7"/>
  <c r="H16" i="6"/>
  <c r="G22" i="7"/>
  <c r="H22" i="7" s="1"/>
  <c r="AO20" i="7"/>
  <c r="AP20" i="7" s="1"/>
  <c r="AP12" i="7"/>
  <c r="AO19" i="7"/>
  <c r="AP19" i="7" s="1"/>
  <c r="AP11" i="7"/>
  <c r="AF6" i="7"/>
  <c r="AF14" i="7"/>
  <c r="AF16" i="7" s="1"/>
  <c r="AE16" i="7"/>
  <c r="AE22" i="7"/>
  <c r="AF22" i="7" s="1"/>
  <c r="AF16" i="6"/>
  <c r="Z16" i="6"/>
  <c r="Y22" i="7"/>
  <c r="Z22" i="7" s="1"/>
  <c r="Z6" i="7"/>
  <c r="Z14" i="7"/>
  <c r="Z16" i="7" s="1"/>
  <c r="Y16" i="7"/>
  <c r="AI16" i="6"/>
  <c r="AH22" i="7"/>
  <c r="AI22" i="7" s="1"/>
  <c r="AH16" i="7"/>
  <c r="AI6" i="7"/>
  <c r="AI14" i="7"/>
  <c r="AI16" i="7" s="1"/>
  <c r="AO18" i="7" l="1"/>
  <c r="AP18" i="7" s="1"/>
  <c r="H51" i="21"/>
  <c r="J19" i="19"/>
  <c r="AE7" i="7"/>
  <c r="Y7" i="7"/>
  <c r="AH7" i="7"/>
  <c r="S7" i="7"/>
  <c r="P7" i="7"/>
  <c r="J7" i="7"/>
  <c r="AB7" i="7"/>
  <c r="H23" i="6"/>
  <c r="I16" i="6"/>
  <c r="X16" i="6"/>
  <c r="W23" i="6"/>
  <c r="AP16" i="6"/>
  <c r="AL23" i="6"/>
  <c r="AM16" i="6"/>
  <c r="AF23" i="6"/>
  <c r="AG16" i="6"/>
  <c r="AC23" i="6"/>
  <c r="AD16" i="6"/>
  <c r="AI23" i="6"/>
  <c r="AJ16" i="6"/>
  <c r="D7" i="7"/>
  <c r="AP6" i="7"/>
  <c r="B9" i="7"/>
  <c r="G7" i="7"/>
  <c r="AO22" i="7"/>
  <c r="AP14" i="7"/>
  <c r="AK7" i="7"/>
  <c r="AO7" i="7"/>
  <c r="T23" i="6"/>
  <c r="U16" i="6"/>
  <c r="V7" i="7"/>
  <c r="Q23" i="6"/>
  <c r="R16" i="6"/>
  <c r="E23" i="6"/>
  <c r="F16" i="6"/>
  <c r="K23" i="6"/>
  <c r="L16" i="6"/>
  <c r="AO16" i="7"/>
  <c r="AP16" i="7" s="1"/>
  <c r="AA16" i="6"/>
  <c r="Z23" i="6"/>
  <c r="O16" i="6"/>
  <c r="N23" i="6"/>
  <c r="K6" i="19" l="1"/>
  <c r="J30" i="19"/>
  <c r="K19" i="19" s="1"/>
  <c r="H53" i="21"/>
  <c r="I22" i="22"/>
  <c r="I23" i="22" s="1"/>
  <c r="AQ16" i="6"/>
  <c r="J17" i="21"/>
  <c r="AJ23" i="6"/>
  <c r="AI25" i="6"/>
  <c r="AF25" i="6"/>
  <c r="AG23" i="6"/>
  <c r="W25" i="6"/>
  <c r="X23" i="6"/>
  <c r="O23" i="6"/>
  <c r="N25" i="6"/>
  <c r="AP22" i="7"/>
  <c r="AT7" i="7"/>
  <c r="BA7" i="7" s="1"/>
  <c r="AC25" i="6"/>
  <c r="AD23" i="6"/>
  <c r="AP23" i="6"/>
  <c r="AQ23" i="6" s="1"/>
  <c r="AM23" i="6"/>
  <c r="AL25" i="6"/>
  <c r="E25" i="6"/>
  <c r="F23" i="6"/>
  <c r="T25" i="6"/>
  <c r="U23" i="6"/>
  <c r="AA23" i="6"/>
  <c r="Z25" i="6"/>
  <c r="K25" i="6"/>
  <c r="L23" i="6"/>
  <c r="Q25" i="6"/>
  <c r="R23" i="6"/>
  <c r="I23" i="6"/>
  <c r="H25" i="6"/>
  <c r="K58" i="19" l="1"/>
  <c r="K39" i="19"/>
  <c r="K23" i="19"/>
  <c r="K49" i="19"/>
  <c r="K47" i="19"/>
  <c r="K61" i="19"/>
  <c r="K37" i="19"/>
  <c r="K59" i="19"/>
  <c r="K30" i="19"/>
  <c r="K14" i="19"/>
  <c r="K26" i="19"/>
  <c r="K52" i="19"/>
  <c r="K24" i="19"/>
  <c r="K48" i="19"/>
  <c r="K17" i="19"/>
  <c r="K28" i="19"/>
  <c r="K25" i="19"/>
  <c r="K15" i="19"/>
  <c r="K41" i="19"/>
  <c r="K40" i="19"/>
  <c r="K50" i="19"/>
  <c r="K36" i="19"/>
  <c r="H9" i="19"/>
  <c r="K62" i="19"/>
  <c r="I21" i="22"/>
  <c r="K16" i="19"/>
  <c r="Q36" i="6"/>
  <c r="R25" i="6"/>
  <c r="F25" i="6"/>
  <c r="E36" i="6"/>
  <c r="O25" i="6"/>
  <c r="N36" i="6"/>
  <c r="I25" i="6"/>
  <c r="H36" i="6"/>
  <c r="AM25" i="6"/>
  <c r="AL36" i="6"/>
  <c r="AP25" i="6"/>
  <c r="I18" i="22" s="1"/>
  <c r="AD25" i="6"/>
  <c r="AC36" i="6"/>
  <c r="AG25" i="6"/>
  <c r="AF36" i="6"/>
  <c r="L25" i="6"/>
  <c r="K36" i="6"/>
  <c r="U25" i="6"/>
  <c r="T36" i="6"/>
  <c r="AI36" i="6"/>
  <c r="AJ25" i="6"/>
  <c r="AA25" i="6"/>
  <c r="Z36" i="6"/>
  <c r="X25" i="6"/>
  <c r="W36" i="6"/>
  <c r="AQ25" i="6" l="1"/>
  <c r="H41" i="6"/>
  <c r="I36" i="6"/>
  <c r="E41" i="6"/>
  <c r="F36" i="6"/>
  <c r="AA36" i="6"/>
  <c r="Z41" i="6"/>
  <c r="U36" i="6"/>
  <c r="T41" i="6"/>
  <c r="AG36" i="6"/>
  <c r="AF41" i="6"/>
  <c r="AL41" i="6"/>
  <c r="AP36" i="6"/>
  <c r="AM36" i="6"/>
  <c r="N41" i="6"/>
  <c r="O36" i="6"/>
  <c r="AJ36" i="6"/>
  <c r="AI41" i="6"/>
  <c r="W41" i="6"/>
  <c r="X36" i="6"/>
  <c r="K41" i="6"/>
  <c r="L36" i="6"/>
  <c r="AC41" i="6"/>
  <c r="AD36" i="6"/>
  <c r="R36" i="6"/>
  <c r="Q41" i="6"/>
  <c r="AQ36" i="6" l="1"/>
  <c r="K43" i="6"/>
  <c r="L43" i="6" s="1"/>
  <c r="L41" i="6"/>
  <c r="U41" i="6"/>
  <c r="T43" i="6"/>
  <c r="AL43" i="6"/>
  <c r="AP41" i="6"/>
  <c r="AM41" i="6"/>
  <c r="E43" i="6"/>
  <c r="F41" i="6"/>
  <c r="AD41" i="6"/>
  <c r="AC43" i="6"/>
  <c r="AD43" i="6" s="1"/>
  <c r="X41" i="6"/>
  <c r="W43" i="6"/>
  <c r="X43" i="6" s="1"/>
  <c r="O41" i="6"/>
  <c r="N43" i="6"/>
  <c r="O43" i="6" s="1"/>
  <c r="AG41" i="6"/>
  <c r="AF43" i="6"/>
  <c r="AG43" i="6" s="1"/>
  <c r="Z43" i="6"/>
  <c r="AA41" i="6"/>
  <c r="R41" i="6"/>
  <c r="Q43" i="6"/>
  <c r="AJ41" i="6"/>
  <c r="AI43" i="6"/>
  <c r="H43" i="6"/>
  <c r="I41" i="6"/>
  <c r="I17" i="22" l="1"/>
  <c r="I15" i="22"/>
  <c r="AQ41" i="6"/>
  <c r="K45" i="6"/>
  <c r="BM26" i="5" s="1"/>
  <c r="BT26" i="5" s="1"/>
  <c r="AF45" i="6"/>
  <c r="BM82" i="5" s="1"/>
  <c r="BT82" i="5" s="1"/>
  <c r="N45" i="6"/>
  <c r="AJ43" i="6"/>
  <c r="AI45" i="6"/>
  <c r="AL45" i="6"/>
  <c r="AP43" i="6"/>
  <c r="J38" i="19" s="1"/>
  <c r="AM43" i="6"/>
  <c r="F43" i="6"/>
  <c r="E45" i="6"/>
  <c r="R43" i="6"/>
  <c r="Q45" i="6"/>
  <c r="AA43" i="6"/>
  <c r="Z45" i="6"/>
  <c r="U43" i="6"/>
  <c r="T45" i="6"/>
  <c r="AC45" i="6"/>
  <c r="I43" i="6"/>
  <c r="H45" i="6"/>
  <c r="W45" i="6"/>
  <c r="AQ43" i="6" l="1"/>
  <c r="J42" i="21"/>
  <c r="J46" i="21" s="1"/>
  <c r="BA26" i="5"/>
  <c r="BH26" i="5" s="1"/>
  <c r="L45" i="6"/>
  <c r="AG45" i="6"/>
  <c r="BA82" i="5"/>
  <c r="BH82" i="5" s="1"/>
  <c r="O45" i="6"/>
  <c r="BM34" i="5"/>
  <c r="BT34" i="5" s="1"/>
  <c r="BA34" i="5"/>
  <c r="BH34" i="5" s="1"/>
  <c r="I45" i="6"/>
  <c r="BM18" i="5"/>
  <c r="BT18" i="5" s="1"/>
  <c r="BA18" i="5"/>
  <c r="BH18" i="5" s="1"/>
  <c r="BA50" i="5"/>
  <c r="BH50" i="5" s="1"/>
  <c r="U45" i="6"/>
  <c r="BM50" i="5"/>
  <c r="BT50" i="5" s="1"/>
  <c r="BM42" i="5"/>
  <c r="BT42" i="5" s="1"/>
  <c r="R45" i="6"/>
  <c r="BA42" i="5"/>
  <c r="BH42" i="5" s="1"/>
  <c r="AD45" i="6"/>
  <c r="BA74" i="5"/>
  <c r="BH74" i="5" s="1"/>
  <c r="BM74" i="5"/>
  <c r="BT74" i="5" s="1"/>
  <c r="AJ45" i="6"/>
  <c r="BM90" i="5"/>
  <c r="BT90" i="5" s="1"/>
  <c r="BA90" i="5"/>
  <c r="BH90" i="5" s="1"/>
  <c r="BA58" i="5"/>
  <c r="BH58" i="5" s="1"/>
  <c r="BM58" i="5"/>
  <c r="BT58" i="5" s="1"/>
  <c r="X45" i="6"/>
  <c r="BA66" i="5"/>
  <c r="BH66" i="5" s="1"/>
  <c r="BM66" i="5"/>
  <c r="BT66" i="5" s="1"/>
  <c r="AA45" i="6"/>
  <c r="BA10" i="5"/>
  <c r="BH10" i="5" s="1"/>
  <c r="BM10" i="5"/>
  <c r="BT10" i="5" s="1"/>
  <c r="F45" i="6"/>
  <c r="BM98" i="5"/>
  <c r="BT98" i="5" s="1"/>
  <c r="BA98" i="5"/>
  <c r="BH98" i="5" s="1"/>
  <c r="AM45" i="6"/>
  <c r="AP45" i="6"/>
  <c r="H59" i="21" l="1"/>
  <c r="J43" i="19"/>
  <c r="K38" i="19"/>
  <c r="I26" i="22"/>
  <c r="I27" i="22" s="1"/>
  <c r="H84" i="21"/>
  <c r="I84" i="21" s="1"/>
  <c r="J64" i="19"/>
  <c r="K60" i="19"/>
  <c r="AQ45" i="6"/>
  <c r="BM106" i="5"/>
  <c r="BA106" i="5"/>
  <c r="BC7" i="6"/>
  <c r="BJ7" i="6" s="1"/>
  <c r="H63" i="21" l="1"/>
  <c r="J66" i="21" s="1"/>
  <c r="J68" i="21" s="1"/>
  <c r="J105" i="21" s="1"/>
  <c r="J109" i="21" s="1"/>
  <c r="J113" i="21" s="1"/>
  <c r="J54" i="19"/>
  <c r="I30" i="22" s="1"/>
  <c r="I34" i="22"/>
  <c r="I33" i="22"/>
  <c r="K43" i="19"/>
  <c r="I29" i="22"/>
  <c r="I31" i="22"/>
  <c r="K64" i="19"/>
  <c r="I13" i="22"/>
  <c r="I14" i="22"/>
  <c r="BT106" i="5"/>
  <c r="BM114" i="5"/>
  <c r="BR114" i="5" s="1"/>
  <c r="BA114" i="5"/>
  <c r="BF114" i="5" s="1"/>
  <c r="BH106" i="5"/>
  <c r="J66" i="19" l="1"/>
  <c r="I32" i="22"/>
  <c r="K54" i="19"/>
  <c r="K66" i="19" l="1"/>
  <c r="N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E4" authorId="0" shapeId="0" xr:uid="{4D43A8A7-7BFA-8144-8057-B3103DF106E0}">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 authorId="0" shapeId="0" xr:uid="{A6CF9901-FB65-E640-87D8-4E165ED3A216}">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90" authorId="0" shapeId="0" xr:uid="{FE33920B-9CF9-8A4C-8BE3-96E9878CCFCC}">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33" authorId="0" shapeId="0" xr:uid="{20BEC0C7-97B7-5E4B-B1A0-521FF9EAAB7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76" authorId="0" shapeId="0" xr:uid="{0F02A95B-9889-BE43-B8B6-367D06666779}">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19" authorId="0" shapeId="0" xr:uid="{1A0CD6A7-FECB-654B-873F-1BD609311CF5}">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62" authorId="0" shapeId="0" xr:uid="{E340A087-FF81-5441-A05A-3ECCBF2DF101}">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05" authorId="0" shapeId="0" xr:uid="{A5A938C9-7307-8D40-8EE8-19C4F809B492}">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48" authorId="0" shapeId="0" xr:uid="{B15F4392-7EE8-C54A-B517-0DBCE06A8F5C}">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91" authorId="0" shapeId="0" xr:uid="{FB8C4121-445E-4242-B4D0-FA61C497912E}">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34" authorId="0" shapeId="0" xr:uid="{2B2B669F-4CBC-D44C-A67A-B4C43C2C572E}">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7" authorId="0" shapeId="0" xr:uid="{701C7847-C707-214F-90FD-9EEBCE027298}">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520" authorId="0" shapeId="0" xr:uid="{B8D68653-61B4-0A41-B761-962DBED5CB8D}">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rgb="FF000000"/>
            <rFont val="Arial"/>
            <family val="2"/>
          </rPr>
          <t xml:space="preserve">Christian Latour :
</t>
        </r>
        <r>
          <rPr>
            <b/>
            <sz val="9"/>
            <color rgb="FF000000"/>
            <rFont val="Arial"/>
            <family val="2"/>
          </rPr>
          <t xml:space="preserve">7404 — Buanderie et nettoyage à sec
</t>
        </r>
        <r>
          <rPr>
            <b/>
            <sz val="9"/>
            <color rgb="FF000000"/>
            <rFont val="Arial"/>
            <family val="2"/>
          </rPr>
          <t>Montant dépensé pour le nettoyage des tissus : uniformes, linges, nappes, serviettes de table, rideaux et tout autre article en tissu.</t>
        </r>
      </text>
    </comment>
    <comment ref="C15" authorId="0" shapeId="0" xr:uid="{002AFE5B-E3CB-AF4F-83BF-9B152E9B1645}">
      <text>
        <r>
          <rPr>
            <b/>
            <sz val="9"/>
            <color rgb="FF000000"/>
            <rFont val="Arial"/>
            <family val="2"/>
          </rPr>
          <t xml:space="preserve">Christian Latour :
</t>
        </r>
        <r>
          <rPr>
            <b/>
            <sz val="9"/>
            <color rgb="FF000000"/>
            <rFont val="Arial"/>
            <family val="2"/>
          </rPr>
          <t xml:space="preserve">7406 — Location - Lingerie/tissus
</t>
        </r>
        <r>
          <rPr>
            <b/>
            <sz val="9"/>
            <color rgb="FF000000"/>
            <rFont val="Arial"/>
            <family val="2"/>
          </rPr>
          <t>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rgb="FF000000"/>
            <rFont val="Arial"/>
            <family val="2"/>
          </rPr>
          <t xml:space="preserve">Christian Latour :
</t>
        </r>
        <r>
          <rPr>
            <b/>
            <sz val="9"/>
            <color rgb="FF000000"/>
            <rFont val="Arial"/>
            <family val="2"/>
          </rPr>
          <t xml:space="preserve">7408 — Achats - Lingerie/tissus
</t>
        </r>
        <r>
          <rPr>
            <b/>
            <sz val="9"/>
            <color rgb="FF000000"/>
            <rFont val="Arial"/>
            <family val="2"/>
          </rPr>
          <t>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rgb="FF000000"/>
            <rFont val="Arial"/>
            <family val="2"/>
          </rPr>
          <t xml:space="preserve">Christian Latour :
</t>
        </r>
        <r>
          <rPr>
            <b/>
            <sz val="9"/>
            <color rgb="FF000000"/>
            <rFont val="Arial"/>
            <family val="2"/>
          </rPr>
          <t xml:space="preserve">7410 — Accessoires de table 
</t>
        </r>
        <r>
          <rPr>
            <b/>
            <sz val="9"/>
            <color rgb="FF000000"/>
            <rFont val="Arial"/>
            <family val="2"/>
          </rPr>
          <t>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rgb="FF000000"/>
            <rFont val="Arial"/>
            <family val="2"/>
          </rPr>
          <t xml:space="preserve">Christian Latour :
</t>
        </r>
        <r>
          <rPr>
            <b/>
            <sz val="9"/>
            <color rgb="FF000000"/>
            <rFont val="Arial"/>
            <family val="2"/>
          </rPr>
          <t xml:space="preserve">7412 — Accessoires de service
</t>
        </r>
        <r>
          <rPr>
            <b/>
            <sz val="9"/>
            <color rgb="FF000000"/>
            <rFont val="Arial"/>
            <family val="2"/>
          </rPr>
          <t>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467BC8AE-4FBE-7B48-8D2E-5CB8CA09A332}">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rgb="FF000000"/>
            <rFont val="Arial"/>
            <family val="2"/>
          </rPr>
          <t xml:space="preserve">Christian Latour :
</t>
        </r>
        <r>
          <rPr>
            <b/>
            <sz val="9"/>
            <color rgb="FF000000"/>
            <rFont val="Arial"/>
            <family val="2"/>
          </rPr>
          <t xml:space="preserve">7420 — Fournitures de papiers
</t>
        </r>
        <r>
          <rPr>
            <b/>
            <sz val="9"/>
            <color rgb="FF000000"/>
            <rFont val="Arial"/>
            <family val="2"/>
          </rPr>
          <t>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rgb="FF000000"/>
            <rFont val="Arial"/>
            <family val="2"/>
          </rPr>
          <t xml:space="preserve">Christian Latour :
</t>
        </r>
        <r>
          <rPr>
            <b/>
            <sz val="9"/>
            <color rgb="FF000000"/>
            <rFont val="Arial"/>
            <family val="2"/>
          </rPr>
          <t xml:space="preserve">7422 — Fournitures pour les invités/clients
</t>
        </r>
        <r>
          <rPr>
            <b/>
            <sz val="9"/>
            <color rgb="FF000000"/>
            <rFont val="Arial"/>
            <family val="2"/>
          </rPr>
          <t>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rgb="FF000000"/>
            <rFont val="Arial"/>
            <family val="2"/>
          </rPr>
          <t xml:space="preserve">Christian Latour :
</t>
        </r>
        <r>
          <rPr>
            <b/>
            <sz val="9"/>
            <color rgb="FF000000"/>
            <rFont val="Arial"/>
            <family val="2"/>
          </rPr>
          <t xml:space="preserve">7424 — Fournitures de bar
</t>
        </r>
        <r>
          <rPr>
            <b/>
            <sz val="9"/>
            <color rgb="FF000000"/>
            <rFont val="Arial"/>
            <family val="2"/>
          </rPr>
          <t>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rgb="FF000000"/>
            <rFont val="Arial"/>
            <family val="2"/>
          </rPr>
          <t xml:space="preserve">Christian Latour :
</t>
        </r>
        <r>
          <rPr>
            <b/>
            <sz val="9"/>
            <color rgb="FF000000"/>
            <rFont val="Arial"/>
            <family val="2"/>
          </rPr>
          <t xml:space="preserve">7426 — Menus et cartes
</t>
        </r>
        <r>
          <rPr>
            <b/>
            <sz val="9"/>
            <color rgb="FF000000"/>
            <rFont val="Arial"/>
            <family val="2"/>
          </rPr>
          <t>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rgb="FF000000"/>
            <rFont val="Arial"/>
            <family val="2"/>
          </rPr>
          <t xml:space="preserve">Christian Latour :
</t>
        </r>
        <r>
          <rPr>
            <b/>
            <sz val="9"/>
            <color rgb="FF000000"/>
            <rFont val="Arial"/>
            <family val="2"/>
          </rPr>
          <t xml:space="preserve">7428 — Contrat d’entretien ménager
</t>
        </r>
        <r>
          <rPr>
            <b/>
            <sz val="9"/>
            <color rgb="FF000000"/>
            <rFont val="Arial"/>
            <family val="2"/>
          </rPr>
          <t>Montant dépensé pour l’entretien ménager (lavage de vitres) et, etc.</t>
        </r>
      </text>
    </comment>
    <comment ref="C27" authorId="0" shapeId="0" xr:uid="{47D64C38-B61E-FC41-9667-9CC1902F6002}">
      <text>
        <r>
          <rPr>
            <b/>
            <sz val="9"/>
            <color rgb="FF000000"/>
            <rFont val="Arial"/>
            <family val="2"/>
          </rPr>
          <t xml:space="preserve">Christian Latour :
</t>
        </r>
        <r>
          <rPr>
            <b/>
            <sz val="9"/>
            <color rgb="FF000000"/>
            <rFont val="Arial"/>
            <family val="2"/>
          </rPr>
          <t xml:space="preserve">7430 — Services hygiène et salubrité
</t>
        </r>
        <r>
          <rPr>
            <b/>
            <sz val="9"/>
            <color rgb="FF000000"/>
            <rFont val="Arial"/>
            <family val="2"/>
          </rPr>
          <t>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rgb="FF000000"/>
            <rFont val="Arial"/>
            <family val="2"/>
          </rPr>
          <t xml:space="preserve">Christian Latour :
</t>
        </r>
        <r>
          <rPr>
            <b/>
            <sz val="9"/>
            <color rgb="FF000000"/>
            <rFont val="Arial"/>
            <family val="2"/>
          </rPr>
          <t xml:space="preserve">7438 — Droits/permis d’exploitation
</t>
        </r>
        <r>
          <rPr>
            <b/>
            <sz val="9"/>
            <color rgb="FF000000"/>
            <rFont val="Arial"/>
            <family val="2"/>
          </rPr>
          <t>Montant dépensé pour les permis (MAPAQ, RACJQ), les permis spéciaux d’exploitations, les frais d’inspection, les licences, et, etc.</t>
        </r>
      </text>
    </comment>
    <comment ref="C31" authorId="0" shapeId="0" xr:uid="{F2B972FB-9153-BB49-A6C2-2EB9FE0C5CE2}">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7B07AE1C-0887-B14F-8AEF-9E000BF49F78}">
      <text>
        <r>
          <rPr>
            <b/>
            <sz val="9"/>
            <color rgb="FF000000"/>
            <rFont val="Arial"/>
            <family val="2"/>
          </rPr>
          <t xml:space="preserve">Christian Latour :
</t>
        </r>
        <r>
          <rPr>
            <b/>
            <sz val="9"/>
            <color rgb="FF000000"/>
            <rFont val="Arial"/>
            <family val="2"/>
          </rPr>
          <t xml:space="preserve">7499 — Autres dépenses d’exploitation
</t>
        </r>
        <r>
          <rPr>
            <b/>
            <sz val="9"/>
            <color rgb="FF000000"/>
            <rFont val="Arial"/>
            <family val="2"/>
          </rPr>
          <t>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4574BE53-FD12-DF4D-A73D-C0915A0898BF}">
      <text>
        <r>
          <rPr>
            <b/>
            <sz val="9"/>
            <color indexed="81"/>
            <rFont val="Arial"/>
            <family val="2"/>
          </rPr>
          <t>Christian Latour:
7505 — Musiciens et animateur
Montant payé pour les services de musiciens, DJ ou autres animateurs).</t>
        </r>
      </text>
    </comment>
    <comment ref="C14" authorId="0" shapeId="0" xr:uid="{2E628E87-2AFF-1E45-8502-795079479EBB}">
      <text>
        <r>
          <rPr>
            <b/>
            <sz val="9"/>
            <color indexed="81"/>
            <rFont val="Arial"/>
            <family val="2"/>
          </rPr>
          <t>Christian Latour:
7510 — « Divertisseurs » professionnel
Montant payé pour les services des acrobates, animateurs, clowns, danseurs, prestidigitateurs et autres amuseurs.</t>
        </r>
      </text>
    </comment>
    <comment ref="C15" authorId="0" shapeId="0" xr:uid="{65E133B1-109C-9944-ADB2-D9127202B48E}">
      <text>
        <r>
          <rPr>
            <b/>
            <sz val="9"/>
            <color rgb="FF000000"/>
            <rFont val="Arial"/>
            <family val="2"/>
          </rPr>
          <t xml:space="preserve">Christian Latour:
</t>
        </r>
        <r>
          <rPr>
            <b/>
            <sz val="9"/>
            <color rgb="FF000000"/>
            <rFont val="Arial"/>
            <family val="2"/>
          </rPr>
          <t xml:space="preserve">7520 — Musique d’ambiance 
</t>
        </r>
        <r>
          <rPr>
            <b/>
            <sz val="9"/>
            <color rgb="FF000000"/>
            <rFont val="Arial"/>
            <family val="2"/>
          </rPr>
          <t>Montant payé pour les CD, les DVD, les MP3, la programmation, et, etc.</t>
        </r>
      </text>
    </comment>
    <comment ref="C16" authorId="0" shapeId="0" xr:uid="{A4AFCF87-91A4-4744-B5AB-A0A5F46764B1}">
      <text>
        <r>
          <rPr>
            <b/>
            <sz val="9"/>
            <color rgb="FF000000"/>
            <rFont val="Arial"/>
            <family val="2"/>
          </rPr>
          <t xml:space="preserve">Christian Latour:
</t>
        </r>
        <r>
          <rPr>
            <b/>
            <sz val="9"/>
            <color rgb="FF000000"/>
            <rFont val="Arial"/>
            <family val="2"/>
          </rPr>
          <t xml:space="preserve">7525 — Service de musique câblée
</t>
        </r>
        <r>
          <rPr>
            <b/>
            <sz val="9"/>
            <color rgb="FF000000"/>
            <rFont val="Arial"/>
            <family val="2"/>
          </rPr>
          <t>Montant payé pour le service de câble, les services offerts par les fournisseurs de musique d’ambiance, et, etc.</t>
        </r>
        <r>
          <rPr>
            <sz val="9"/>
            <color rgb="FF000000"/>
            <rFont val="Arial"/>
            <family val="2"/>
          </rPr>
          <t xml:space="preserve">
</t>
        </r>
        <r>
          <rPr>
            <sz val="9"/>
            <color rgb="FF000000"/>
            <rFont val="Arial"/>
            <family val="2"/>
          </rPr>
          <t xml:space="preserve">
</t>
        </r>
      </text>
    </comment>
    <comment ref="C17" authorId="0" shapeId="0" xr:uid="{ACECCE5C-C443-A64E-A03E-49761A987017}">
      <text>
        <r>
          <rPr>
            <b/>
            <sz val="9"/>
            <color rgb="FF000000"/>
            <rFont val="Arial"/>
            <family val="2"/>
          </rPr>
          <t xml:space="preserve">Christian Latour:
</t>
        </r>
        <r>
          <rPr>
            <b/>
            <sz val="9"/>
            <color rgb="FF000000"/>
            <rFont val="Arial"/>
            <family val="2"/>
          </rPr>
          <t xml:space="preserve">7530 — Location de piano et autres instruments et réglage (tuning)
</t>
        </r>
        <r>
          <rPr>
            <b/>
            <sz val="9"/>
            <color rgb="FF000000"/>
            <rFont val="Arial"/>
            <family val="2"/>
          </rPr>
          <t>Montant payé pour la location d’un piano ou d’un autre instrument de musique incluant l’entretien et les ajustements périodiques.</t>
        </r>
      </text>
    </comment>
    <comment ref="C18" authorId="0" shapeId="0" xr:uid="{B0456CB0-D79E-0140-999A-A39D90F00A1C}">
      <text>
        <r>
          <rPr>
            <b/>
            <sz val="9"/>
            <color indexed="81"/>
            <rFont val="Arial"/>
            <family val="2"/>
          </rPr>
          <t>Christian Latour:
7535 — Soutien matériel aux musiciens
Montant payé pour les films, enregistrements, cassettes, feuilles de musique et autre matériel nécessaire aux musiciens et/ou aux animateurs.</t>
        </r>
      </text>
    </comment>
    <comment ref="C19" authorId="0" shapeId="0" xr:uid="{4C705C2B-07CE-C447-BEE0-023FC82A7236}">
      <text>
        <r>
          <rPr>
            <b/>
            <sz val="9"/>
            <color indexed="81"/>
            <rFont val="Arial"/>
            <family val="2"/>
          </rPr>
          <t>Christian Latour:</t>
        </r>
        <r>
          <rPr>
            <sz val="9"/>
            <color indexed="81"/>
            <rFont val="Arial"/>
            <family val="2"/>
          </rPr>
          <t xml:space="preserve">
</t>
        </r>
        <r>
          <rPr>
            <b/>
            <sz val="9"/>
            <color indexed="81"/>
            <rFont val="Arial"/>
            <family val="2"/>
          </rPr>
          <t>7550 — Redevances à la SOCAN
Montant payé pour les droits de diffusion de la musique dans un endroit public.</t>
        </r>
      </text>
    </comment>
    <comment ref="C20" authorId="0" shapeId="0" xr:uid="{C7409FB5-7BBF-7D4D-9616-0BBFCB5ECD6C}">
      <text>
        <r>
          <rPr>
            <b/>
            <sz val="9"/>
            <color indexed="81"/>
            <rFont val="Arial"/>
            <family val="2"/>
          </rPr>
          <t>Christian Latour:
7555 — Frais d’agent d’artiste
Montant payé aux agents d’artistes pour les prestations des artistes..</t>
        </r>
      </text>
    </comment>
    <comment ref="C21" authorId="0" shapeId="0" xr:uid="{4EF9407F-F122-2B43-942A-1F37FC67D12F}">
      <text>
        <r>
          <rPr>
            <b/>
            <sz val="9"/>
            <color rgb="FF000000"/>
            <rFont val="Arial"/>
            <family val="2"/>
          </rPr>
          <t xml:space="preserve">Christian Latour:
</t>
        </r>
        <r>
          <rPr>
            <b/>
            <sz val="9"/>
            <color rgb="FF000000"/>
            <rFont val="Arial"/>
            <family val="2"/>
          </rPr>
          <t xml:space="preserve">7560 — Repas des musiciens et autres animateurs
</t>
        </r>
        <r>
          <rPr>
            <b/>
            <sz val="9"/>
            <color rgb="FF000000"/>
            <rFont val="Arial"/>
            <family val="2"/>
          </rPr>
          <t>Montant payé pour les repas des musiciens et autres animateurs et leurs accompagnateurs.</t>
        </r>
      </text>
    </comment>
    <comment ref="C22" authorId="0" shapeId="0" xr:uid="{342968A4-ED78-694E-997F-A498D3704068}">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6AFCF27C-51F9-284C-A6E3-3F2425FB3EEE}">
      <text>
        <r>
          <rPr>
            <b/>
            <sz val="10"/>
            <color indexed="81"/>
            <rFont val="Arial"/>
            <family val="2"/>
          </rPr>
          <t xml:space="preserve">
Christian Latour
7500 — Musique &amp; Divertissement
Il s’agit du compte de contrôle dans lequel on additionne le total des coûts d’occupation.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52D110F-8091-DD47-8ABD-9E225246EF42}">
      <text>
        <r>
          <rPr>
            <b/>
            <sz val="9"/>
            <color indexed="81"/>
            <rFont val="Arial"/>
            <family val="2"/>
          </rPr>
          <t>Christian Latour :
7610 — Recherche marketing
Ensemble des coûts nécessaires pour mener à bien les différentes activités de recherches marketing de l’entreprise.</t>
        </r>
      </text>
    </comment>
    <comment ref="C14" authorId="0" shapeId="0" xr:uid="{66B401EB-A7B6-6740-A402-DA8B484A8E90}">
      <text>
        <r>
          <rPr>
            <b/>
            <sz val="9"/>
            <color indexed="81"/>
            <rFont val="Arial"/>
            <family val="2"/>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shapeId="0" xr:uid="{55E5367A-89B3-F440-BC40-479034563B3C}">
      <text>
        <r>
          <rPr>
            <b/>
            <sz val="9"/>
            <color indexed="81"/>
            <rFont val="Arial"/>
            <family val="2"/>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shapeId="0" xr:uid="{725F5907-A2B5-964F-9A9E-21196E27529A}">
      <text>
        <r>
          <rPr>
            <b/>
            <sz val="9"/>
            <color indexed="81"/>
            <rFont val="Arial"/>
            <family val="2"/>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F2902655-48D8-AC48-80FF-D9E3CC704274}">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4DB5FC5B-AD68-2E4E-BA0D-42465BF3037C}">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35796CEB-2BF0-924A-ABF4-F69D8F6889AD}">
      <text>
        <r>
          <rPr>
            <b/>
            <sz val="9"/>
            <color rgb="FF000000"/>
            <rFont val="Arial"/>
            <family val="2"/>
          </rPr>
          <t xml:space="preserve">Christian Latour :
</t>
        </r>
        <r>
          <rPr>
            <b/>
            <sz val="9"/>
            <color rgb="FF000000"/>
            <rFont val="Arial"/>
            <family val="2"/>
          </rPr>
          <t xml:space="preserve">7660 — Marketing direct
</t>
        </r>
        <r>
          <rPr>
            <b/>
            <sz val="9"/>
            <color rgb="FF000000"/>
            <rFont val="Arial"/>
            <family val="2"/>
          </rPr>
          <t xml:space="preserve">Ensemble des coûts nécessaires pour assurer une communication directe et personnalisée avec des consommateurs ciblés individuellement.
</t>
        </r>
        <r>
          <rPr>
            <b/>
            <sz val="9"/>
            <color rgb="FF000000"/>
            <rFont val="Arial"/>
            <family val="2"/>
          </rPr>
          <t xml:space="preserve">
</t>
        </r>
        <r>
          <rPr>
            <b/>
            <sz val="9"/>
            <color rgb="FF000000"/>
            <rFont val="Arial"/>
            <family val="2"/>
          </rPr>
          <t>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EDF54505-B3B1-C840-80F9-2DB06503B6C3}">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10F7996C-5B39-7444-A2A4-0AAAB6971AE7}">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BAB6893B-0202-0644-82C5-F3AF5304A63A}">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4205B179-FD8D-3341-A0AE-E6766F88B854}">
      <text>
        <r>
          <rPr>
            <b/>
            <sz val="9"/>
            <color rgb="FF000000"/>
            <rFont val="Arial"/>
            <family val="2"/>
          </rPr>
          <t xml:space="preserve">Christian Latour :
</t>
        </r>
        <r>
          <rPr>
            <b/>
            <sz val="9"/>
            <color rgb="FF000000"/>
            <rFont val="Arial"/>
            <family val="2"/>
          </rPr>
          <t xml:space="preserve">7699 — Autres coûts 
</t>
        </r>
        <r>
          <rPr>
            <b/>
            <sz val="9"/>
            <color rgb="FF000000"/>
            <rFont val="Arial"/>
            <family val="2"/>
          </rPr>
          <t>Ensemble des coûts encourus afin d’assurer le marketing et les communications marketing d’une entreprise de restauration alimentaire et qui ne peut pas être directement comptabilisé dans les comptes précédents.</t>
        </r>
      </text>
    </comment>
    <comment ref="C25" authorId="0" shapeId="0" xr:uid="{2E92BF89-85CE-3247-89BC-A1752AC06DA5}">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D80EBE94-2EA9-3644-BCAB-CF149BC9C6FD}">
      <text>
        <r>
          <rPr>
            <b/>
            <sz val="9"/>
            <color rgb="FF000000"/>
            <rFont val="Arial"/>
            <family val="2"/>
          </rPr>
          <t xml:space="preserve">Christian Latour:
</t>
        </r>
        <r>
          <rPr>
            <b/>
            <sz val="9"/>
            <color rgb="FF000000"/>
            <rFont val="Arial"/>
            <family val="2"/>
          </rPr>
          <t xml:space="preserve">7705 — Électricité
</t>
        </r>
        <r>
          <rPr>
            <b/>
            <sz val="9"/>
            <color rgb="FF000000"/>
            <rFont val="Arial"/>
            <family val="2"/>
          </rPr>
          <t>Montant payé pour l’utilisation de l’électricité.</t>
        </r>
      </text>
    </comment>
    <comment ref="C14" authorId="0" shapeId="0" xr:uid="{901295E1-532B-8842-92C9-C4EBA48D64F2}">
      <text>
        <r>
          <rPr>
            <b/>
            <sz val="9"/>
            <color rgb="FF000000"/>
            <rFont val="Arial"/>
            <family val="2"/>
          </rPr>
          <t xml:space="preserve">Christian Latour:
</t>
        </r>
        <r>
          <rPr>
            <b/>
            <sz val="9"/>
            <color rgb="FF000000"/>
            <rFont val="Arial"/>
            <family val="2"/>
          </rPr>
          <t xml:space="preserve">7710 — Accessoires électriques
</t>
        </r>
        <r>
          <rPr>
            <b/>
            <sz val="9"/>
            <color rgb="FF000000"/>
            <rFont val="Arial"/>
            <family val="2"/>
          </rPr>
          <t>Montant payé pour le remplacement des ampoules, des néons ainsi que des autres petits accessoires électriques.</t>
        </r>
      </text>
    </comment>
    <comment ref="C15" authorId="0" shapeId="0" xr:uid="{B6595C54-A44F-584D-A181-9A45D85C9ACF}">
      <text>
        <r>
          <rPr>
            <b/>
            <sz val="9"/>
            <color rgb="FF000000"/>
            <rFont val="Arial"/>
            <family val="2"/>
          </rPr>
          <t xml:space="preserve">Christian Latour:
</t>
        </r>
        <r>
          <rPr>
            <b/>
            <sz val="9"/>
            <color rgb="FF000000"/>
            <rFont val="Arial"/>
            <family val="2"/>
          </rPr>
          <t xml:space="preserve">715 — Eau et glace
</t>
        </r>
        <r>
          <rPr>
            <b/>
            <sz val="9"/>
            <color rgb="FF000000"/>
            <rFont val="Arial"/>
            <family val="2"/>
          </rPr>
          <t>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shapeId="0" xr:uid="{3A33816A-9868-2D46-A0D2-869131316F03}">
      <text>
        <r>
          <rPr>
            <b/>
            <sz val="9"/>
            <color indexed="81"/>
            <rFont val="Arial"/>
            <family val="2"/>
          </rPr>
          <t>Christian Latour:
7720 — Enlèvement des ordures
Montant payé pour la gestion et l’enlèvement des ordures incluant le coût de location d’un contenant à ordure, le coût de location d’un incinérateur, etc.</t>
        </r>
        <r>
          <rPr>
            <sz val="9"/>
            <color indexed="81"/>
            <rFont val="Arial"/>
            <family val="2"/>
          </rPr>
          <t xml:space="preserve">
</t>
        </r>
      </text>
    </comment>
    <comment ref="C17" authorId="0" shapeId="0" xr:uid="{B31B58D2-079D-554D-9CF0-D9628D1A0CBB}">
      <text>
        <r>
          <rPr>
            <b/>
            <sz val="9"/>
            <color indexed="81"/>
            <rFont val="Arial"/>
            <family val="2"/>
          </rPr>
          <t>Christian Latour:
7725 — Autres énergies
Montant payé pour l’utilisation des autres énergies incluant les coûts reliés à l’utilisation du gaz ou de l’huile.</t>
        </r>
      </text>
    </comment>
    <comment ref="C18" authorId="0" shapeId="0" xr:uid="{8E849AD7-3F51-D543-981C-85C9B3A7684A}">
      <text>
        <r>
          <rPr>
            <b/>
            <sz val="9"/>
            <color indexed="81"/>
            <rFont val="Arial"/>
            <family val="2"/>
          </rPr>
          <t>Christian Latour:
7730 — Fournitures de mécanique et d’électricité
Montant payé pour l’utilisation des huiles, fusibles, graisses, solvants et petits outils utilisés pour les opérations de maintenance, et, etc.</t>
        </r>
      </text>
    </comment>
    <comment ref="C19" authorId="0" shapeId="0" xr:uid="{895D00CD-F6E8-1447-9574-3C9FE226F8A1}">
      <text>
        <r>
          <rPr>
            <b/>
            <sz val="9"/>
            <color indexed="81"/>
            <rFont val="Arial"/>
            <family val="2"/>
          </rPr>
          <t>Christian Latour:</t>
        </r>
        <r>
          <rPr>
            <sz val="9"/>
            <color indexed="81"/>
            <rFont val="Arial"/>
            <family val="2"/>
          </rPr>
          <t xml:space="preserve">
</t>
        </r>
        <r>
          <rPr>
            <b/>
            <sz val="9"/>
            <color indexed="81"/>
            <rFont val="Arial"/>
            <family val="2"/>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shapeId="0" xr:uid="{3E51584A-F024-C94D-BF1F-6B4F3AC9251F}">
      <text>
        <r>
          <rPr>
            <b/>
            <sz val="9"/>
            <color indexed="81"/>
            <rFont val="Arial"/>
            <family val="2"/>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shapeId="0" xr:uid="{C0201617-42C5-1C41-90E8-1888E3D00388}">
      <text>
        <r>
          <rPr>
            <b/>
            <sz val="9"/>
            <color indexed="81"/>
            <rFont val="Arial"/>
            <family val="2"/>
          </rPr>
          <t>Christian Latour:</t>
        </r>
        <r>
          <rPr>
            <sz val="9"/>
            <color indexed="81"/>
            <rFont val="Arial"/>
            <family val="2"/>
          </rPr>
          <t xml:space="preserve">
</t>
        </r>
        <r>
          <rPr>
            <b/>
            <sz val="9"/>
            <color indexed="81"/>
            <rFont val="Arial"/>
            <family val="2"/>
          </rPr>
          <t>7799 — Autres coûts associés aux services publics
Autres montants payés pour les services publics qui n’est pas comptabilisé dans l’un des comptes précédents.</t>
        </r>
      </text>
    </comment>
    <comment ref="C23" authorId="0" shapeId="0" xr:uid="{69C9F9B2-51A9-3D43-83B6-CF57A5877F37}">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7700 — Services publics
</t>
        </r>
        <r>
          <rPr>
            <b/>
            <sz val="10"/>
            <color rgb="FF000000"/>
            <rFont val="Arial"/>
            <family val="2"/>
          </rPr>
          <t>Il s’agit du compte de contrôle dans lequel on additionne le total des coûts de la catégorie services publics.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FC698E9C-9DF8-774B-B25E-6EA2F0FF23AF}">
      <text>
        <r>
          <rPr>
            <b/>
            <sz val="9"/>
            <color indexed="81"/>
            <rFont val="Arial"/>
            <family val="2"/>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shapeId="0" xr:uid="{D3D5FF01-25DE-2640-A2D0-B4870F49B623}">
      <text>
        <r>
          <rPr>
            <b/>
            <sz val="9"/>
            <color indexed="81"/>
            <rFont val="Arial"/>
            <family val="2"/>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shapeId="0" xr:uid="{DA3339C5-17E3-4C4A-BA58-0065800625CE}">
      <text>
        <r>
          <rPr>
            <b/>
            <sz val="9"/>
            <color rgb="FF000000"/>
            <rFont val="Arial"/>
            <family val="2"/>
          </rPr>
          <t xml:space="preserve">Christian Latour :
</t>
        </r>
        <r>
          <rPr>
            <b/>
            <sz val="9"/>
            <color rgb="FF000000"/>
            <rFont val="Arial"/>
            <family val="2"/>
          </rPr>
          <t xml:space="preserve">7815 - Poste et messagerie
</t>
        </r>
        <r>
          <rPr>
            <b/>
            <sz val="9"/>
            <color rgb="FF000000"/>
            <rFont val="Arial"/>
            <family val="2"/>
          </rPr>
          <t>Montant payé pour les frais de timbres, de poste et de messagerie qui ne sont pas reliés aux activités de marketing.</t>
        </r>
      </text>
    </comment>
    <comment ref="C16" authorId="0" shapeId="0" xr:uid="{7925C742-52BA-DD4A-83F9-AF370DF3829B}">
      <text>
        <r>
          <rPr>
            <b/>
            <sz val="9"/>
            <color rgb="FF000000"/>
            <rFont val="Arial"/>
            <family val="2"/>
          </rPr>
          <t xml:space="preserve">Christian Latour :
</t>
        </r>
        <r>
          <rPr>
            <b/>
            <sz val="9"/>
            <color rgb="FF000000"/>
            <rFont val="Arial"/>
            <family val="2"/>
          </rPr>
          <t xml:space="preserve">7820 - Télécommunications
</t>
        </r>
        <r>
          <rPr>
            <b/>
            <sz val="9"/>
            <color rgb="FF000000"/>
            <rFont val="Arial"/>
            <family val="2"/>
          </rPr>
          <t>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shapeId="0" xr:uid="{A1649918-C98F-9A40-B8CB-2CFF34D5D70A}">
      <text>
        <r>
          <rPr>
            <b/>
            <sz val="9"/>
            <color rgb="FF000000"/>
            <rFont val="Arial"/>
            <family val="2"/>
          </rPr>
          <t xml:space="preserve">Christian Latour :
</t>
        </r>
        <r>
          <rPr>
            <b/>
            <sz val="9"/>
            <color rgb="FF000000"/>
            <rFont val="Arial"/>
            <family val="2"/>
          </rPr>
          <t xml:space="preserve">7825 - Associations, droits et cotisations
</t>
        </r>
        <r>
          <rPr>
            <b/>
            <sz val="9"/>
            <color rgb="FF000000"/>
            <rFont val="Arial"/>
            <family val="2"/>
          </rPr>
          <t>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shapeId="0" xr:uid="{805304EB-F9D5-6940-84DD-3102AE20ACBE}">
      <text>
        <r>
          <rPr>
            <b/>
            <sz val="9"/>
            <color rgb="FF000000"/>
            <rFont val="Arial"/>
            <family val="2"/>
          </rPr>
          <t xml:space="preserve">Christian Latour :
</t>
        </r>
        <r>
          <rPr>
            <b/>
            <sz val="9"/>
            <color rgb="FF000000"/>
            <rFont val="Arial"/>
            <family val="2"/>
          </rPr>
          <t xml:space="preserve">7830 - Déplacement
</t>
        </r>
        <r>
          <rPr>
            <b/>
            <sz val="9"/>
            <color rgb="FF000000"/>
            <rFont val="Arial"/>
            <family val="2"/>
          </rPr>
          <t>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shapeId="0" xr:uid="{BCC2447A-5E18-494A-8D42-9D2CE694044A}">
      <text>
        <r>
          <rPr>
            <b/>
            <sz val="9"/>
            <color rgb="FF000000"/>
            <rFont val="Arial"/>
            <family val="2"/>
          </rPr>
          <t xml:space="preserve">Christian Latour :
</t>
        </r>
        <r>
          <rPr>
            <b/>
            <sz val="9"/>
            <color rgb="FF000000"/>
            <rFont val="Arial"/>
            <family val="2"/>
          </rPr>
          <t xml:space="preserve">7835 - Assurances générales
</t>
        </r>
        <r>
          <rPr>
            <b/>
            <sz val="9"/>
            <color rgb="FF000000"/>
            <rFont val="Arial"/>
            <family val="2"/>
          </rPr>
          <t>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shapeId="0" xr:uid="{400B979A-4AF6-EE4D-A945-C13DE6C5F087}">
      <text>
        <r>
          <rPr>
            <b/>
            <sz val="9"/>
            <color rgb="FF000000"/>
            <rFont val="Arial"/>
            <family val="2"/>
          </rPr>
          <t xml:space="preserve">Christian Latour :
</t>
        </r>
        <r>
          <rPr>
            <b/>
            <sz val="9"/>
            <color rgb="FF000000"/>
            <rFont val="Arial"/>
            <family val="2"/>
          </rPr>
          <t xml:space="preserve">7840 - Frais d’escompte sur les cartes de crédit
</t>
        </r>
        <r>
          <rPr>
            <b/>
            <sz val="9"/>
            <color rgb="FF000000"/>
            <rFont val="Arial"/>
            <family val="2"/>
          </rPr>
          <t>Montant payé aux compagnies émettrices de cartes de crédit pour la gestion et le remboursement des transactions effectuées par carte de crédit.</t>
        </r>
      </text>
    </comment>
    <comment ref="C21" authorId="0" shapeId="0" xr:uid="{E778BBBB-96BA-FD4D-9752-AF661C9E345F}">
      <text>
        <r>
          <rPr>
            <b/>
            <sz val="9"/>
            <color rgb="FF000000"/>
            <rFont val="Arial"/>
            <family val="2"/>
          </rPr>
          <t xml:space="preserve">Christian Latour :
</t>
        </r>
        <r>
          <rPr>
            <b/>
            <sz val="9"/>
            <color rgb="FF000000"/>
            <rFont val="Arial"/>
            <family val="2"/>
          </rPr>
          <t xml:space="preserve">7845 - Provision pour mauvaises créances
</t>
        </r>
        <r>
          <rPr>
            <b/>
            <sz val="9"/>
            <color rgb="FF000000"/>
            <rFont val="Arial"/>
            <family val="2"/>
          </rPr>
          <t xml:space="preserve">Montant payé pour le recouvrement de mauvaises créances.
</t>
        </r>
        <r>
          <rPr>
            <b/>
            <sz val="9"/>
            <color rgb="FF000000"/>
            <rFont val="Arial"/>
            <family val="2"/>
          </rPr>
          <t xml:space="preserve">
</t>
        </r>
      </text>
    </comment>
    <comment ref="C22" authorId="0" shapeId="0" xr:uid="{DF5FCDC4-01C3-9449-B401-7C94CD869F5C}">
      <text>
        <r>
          <rPr>
            <b/>
            <sz val="9"/>
            <color rgb="FF000000"/>
            <rFont val="Arial"/>
            <family val="2"/>
          </rPr>
          <t xml:space="preserve">Christian Latour :
</t>
        </r>
        <r>
          <rPr>
            <b/>
            <sz val="9"/>
            <color rgb="FF000000"/>
            <rFont val="Arial"/>
            <family val="2"/>
          </rPr>
          <t xml:space="preserve">7850 - Déficit et surplus de caisse
</t>
        </r>
        <r>
          <rPr>
            <b/>
            <sz val="9"/>
            <color rgb="FF000000"/>
            <rFont val="Arial"/>
            <family val="2"/>
          </rPr>
          <t xml:space="preserve">Montant reçu en trop ou en moins compte tenu des transactions réellement réalisées par l’entreprise.
</t>
        </r>
        <r>
          <rPr>
            <b/>
            <sz val="9"/>
            <color rgb="FF000000"/>
            <rFont val="Arial"/>
            <family val="2"/>
          </rPr>
          <t xml:space="preserve">
</t>
        </r>
      </text>
    </comment>
    <comment ref="C23" authorId="0" shapeId="0" xr:uid="{93B9F501-C3BE-F344-96EB-17F6BA91CC69}">
      <text>
        <r>
          <rPr>
            <b/>
            <sz val="9"/>
            <color rgb="FF000000"/>
            <rFont val="Arial"/>
            <family val="2"/>
          </rPr>
          <t xml:space="preserve">Christian Latour :
</t>
        </r>
        <r>
          <rPr>
            <b/>
            <sz val="9"/>
            <color rgb="FF000000"/>
            <rFont val="Arial"/>
            <family val="2"/>
          </rPr>
          <t xml:space="preserve">7855 - Honoraires professionnels
</t>
        </r>
        <r>
          <rPr>
            <b/>
            <sz val="9"/>
            <color rgb="FF000000"/>
            <rFont val="Arial"/>
            <family val="2"/>
          </rPr>
          <t>Montant payé pour les services professionnels des comptables, avocats, notaires, ingénieurs, consultants, et, etc. Les honoraires encourus pour le recouvrement des mauvaises créances doivent être toutefois comptabilisés dans le compte 7845.</t>
        </r>
      </text>
    </comment>
    <comment ref="C24" authorId="0" shapeId="0" xr:uid="{C8929493-CB73-BB43-BCBF-FF29884F13FC}">
      <text>
        <r>
          <rPr>
            <b/>
            <sz val="9"/>
            <color rgb="FF000000"/>
            <rFont val="Arial"/>
            <family val="2"/>
          </rPr>
          <t xml:space="preserve">Christian Latour :
</t>
        </r>
        <r>
          <rPr>
            <b/>
            <sz val="9"/>
            <color rgb="FF000000"/>
            <rFont val="Arial"/>
            <family val="2"/>
          </rPr>
          <t xml:space="preserve">7860 - Services de protection/sécurité
</t>
        </r>
        <r>
          <rPr>
            <b/>
            <sz val="9"/>
            <color rgb="FF000000"/>
            <rFont val="Arial"/>
            <family val="2"/>
          </rPr>
          <t>Montant payé pour assurer la protection de l’établissement (garde de sécurité, système d’alarme contre le feu et le vol, collecte des dépôts par camion blindé, et, etc.).</t>
        </r>
      </text>
    </comment>
    <comment ref="C25" authorId="0" shapeId="0" xr:uid="{A21CB3EB-E417-FC4D-92D5-6320799386E5}">
      <text>
        <r>
          <rPr>
            <b/>
            <sz val="9"/>
            <color rgb="FF000000"/>
            <rFont val="Arial"/>
            <family val="2"/>
          </rPr>
          <t xml:space="preserve">Christian Latour :
</t>
        </r>
        <r>
          <rPr>
            <b/>
            <sz val="9"/>
            <color rgb="FF000000"/>
            <rFont val="Arial"/>
            <family val="2"/>
          </rPr>
          <t xml:space="preserve">7865 - Intérêts et frais bancaires
</t>
        </r>
        <r>
          <rPr>
            <b/>
            <sz val="9"/>
            <color rgb="FF000000"/>
            <rFont val="Arial"/>
            <family val="2"/>
          </rPr>
          <t>Montant payé pour les intérêts et autres services bancaires tels que la location d’un coffre à la banque, et, etc.</t>
        </r>
      </text>
    </comment>
    <comment ref="C26" authorId="0" shapeId="0" xr:uid="{B139906D-FC25-A149-8C4B-B15CDA184EE3}">
      <text>
        <r>
          <rPr>
            <b/>
            <sz val="9"/>
            <color indexed="81"/>
            <rFont val="Arial"/>
            <family val="2"/>
          </rPr>
          <t>Christian Latour :
7880 - Redevances/droits de franchise
Montant payé à un franchiseur en contrepartie des différents services offerts par celui-ci.</t>
        </r>
      </text>
    </comment>
    <comment ref="C27" authorId="0" shapeId="0" xr:uid="{EBDAA972-9240-4E40-8DAE-6FDF6F2B9510}">
      <text>
        <r>
          <rPr>
            <b/>
            <sz val="9"/>
            <color indexed="81"/>
            <rFont val="Arial"/>
            <family val="2"/>
          </rPr>
          <t>Christian Latour :
7899 - Autres
Autre montant payé afin d’assurer l’administration d’une entreprise de restauration alimentaire et qui ne peut pas être directement comptabilisé dans les comptes précédents.</t>
        </r>
      </text>
    </comment>
    <comment ref="C29" authorId="0" shapeId="0" xr:uid="{27F6E983-AE9F-E748-97A5-B298E327AA8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7800 - Administration &amp; autres frais généraux
</t>
        </r>
        <r>
          <rPr>
            <b/>
            <sz val="10"/>
            <color rgb="FF000000"/>
            <rFont val="Arial"/>
            <family val="2"/>
          </rPr>
          <t>Il s’agit du compte de contrôle dans lequel on additionne le total des coûts d’administration &amp; autres frais généraux.</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52BD4F72-8E06-DB42-97D6-0D614D1ACF91}">
      <text>
        <r>
          <rPr>
            <b/>
            <sz val="9"/>
            <color rgb="FF000000"/>
            <rFont val="Arial"/>
            <family val="2"/>
          </rPr>
          <t xml:space="preserve">Christian Latour :
</t>
        </r>
        <r>
          <rPr>
            <b/>
            <sz val="9"/>
            <color rgb="FF000000"/>
            <rFont val="Arial"/>
            <family val="2"/>
          </rPr>
          <t xml:space="preserve">7902 — Ameublements et agencements
</t>
        </r>
        <r>
          <rPr>
            <b/>
            <sz val="9"/>
            <color rgb="FF000000"/>
            <rFont val="Arial"/>
            <family val="2"/>
          </rPr>
          <t>Montant payé pour assurer l’entretien et les réparations de l’ameublement.</t>
        </r>
      </text>
    </comment>
    <comment ref="C14" authorId="0" shapeId="0" xr:uid="{E8533336-3C9D-F648-B38B-8B122AAE9B61}">
      <text>
        <r>
          <rPr>
            <b/>
            <sz val="9"/>
            <color rgb="FF000000"/>
            <rFont val="Arial"/>
            <family val="2"/>
          </rPr>
          <t xml:space="preserve">Christian Latour :
</t>
        </r>
        <r>
          <rPr>
            <b/>
            <sz val="9"/>
            <color rgb="FF000000"/>
            <rFont val="Arial"/>
            <family val="2"/>
          </rPr>
          <t xml:space="preserve">7904 — Équipement de cuisine
</t>
        </r>
        <r>
          <rPr>
            <b/>
            <sz val="9"/>
            <color rgb="FF000000"/>
            <rFont val="Arial"/>
            <family val="2"/>
          </rPr>
          <t>Montant payé pour assurer l’entretien et les réparations des équipements de cuisine.</t>
        </r>
      </text>
    </comment>
    <comment ref="C15" authorId="0" shapeId="0" xr:uid="{FC14E292-6F7D-C345-80A5-85B32C575D35}">
      <text>
        <r>
          <rPr>
            <b/>
            <sz val="9"/>
            <color rgb="FF000000"/>
            <rFont val="Arial"/>
            <family val="2"/>
          </rPr>
          <t xml:space="preserve">Christian Latour :
</t>
        </r>
        <r>
          <rPr>
            <b/>
            <sz val="9"/>
            <color rgb="FF000000"/>
            <rFont val="Arial"/>
            <family val="2"/>
          </rPr>
          <t xml:space="preserve">7906 — Équipement de bureau
</t>
        </r>
        <r>
          <rPr>
            <b/>
            <sz val="9"/>
            <color rgb="FF000000"/>
            <rFont val="Arial"/>
            <family val="2"/>
          </rPr>
          <t>Montant payé pour assurer l’entretien et les réparations des équipements de bureau.</t>
        </r>
      </text>
    </comment>
    <comment ref="C16" authorId="0" shapeId="0" xr:uid="{B8157270-3D08-8845-840A-0DE3C93AD1F1}">
      <text>
        <r>
          <rPr>
            <b/>
            <sz val="9"/>
            <color rgb="FF000000"/>
            <rFont val="Arial"/>
            <family val="2"/>
          </rPr>
          <t xml:space="preserve">Christian Latour :
</t>
        </r>
        <r>
          <rPr>
            <b/>
            <sz val="9"/>
            <color rgb="FF000000"/>
            <rFont val="Arial"/>
            <family val="2"/>
          </rPr>
          <t xml:space="preserve">7908 — Réfrigération
</t>
        </r>
        <r>
          <rPr>
            <b/>
            <sz val="9"/>
            <color rgb="FF000000"/>
            <rFont val="Arial"/>
            <family val="2"/>
          </rPr>
          <t>Montant payé pour assurer l’entretien et les réparations des équipements de réfrigération.</t>
        </r>
      </text>
    </comment>
    <comment ref="C17" authorId="0" shapeId="0" xr:uid="{5CD839C1-3E17-3844-BBD9-AD951FCC368B}">
      <text>
        <r>
          <rPr>
            <b/>
            <sz val="9"/>
            <color rgb="FF000000"/>
            <rFont val="Arial"/>
            <family val="2"/>
          </rPr>
          <t xml:space="preserve">Christian Latour :
</t>
        </r>
        <r>
          <rPr>
            <b/>
            <sz val="9"/>
            <color rgb="FF000000"/>
            <rFont val="Arial"/>
            <family val="2"/>
          </rPr>
          <t xml:space="preserve">7910 — Air climatisé
</t>
        </r>
        <r>
          <rPr>
            <b/>
            <sz val="9"/>
            <color rgb="FF000000"/>
            <rFont val="Arial"/>
            <family val="2"/>
          </rPr>
          <t>Montant payé pour assurer l’entretien et les réparations des équipements de climatisation.</t>
        </r>
      </text>
    </comment>
    <comment ref="C18" authorId="0" shapeId="0" xr:uid="{6D482C17-9DB9-5847-B120-51B5ABD26629}">
      <text>
        <r>
          <rPr>
            <b/>
            <sz val="9"/>
            <color rgb="FF000000"/>
            <rFont val="Arial"/>
            <family val="2"/>
          </rPr>
          <t xml:space="preserve">Christian Latour :
</t>
        </r>
        <r>
          <rPr>
            <b/>
            <sz val="9"/>
            <color rgb="FF000000"/>
            <rFont val="Arial"/>
            <family val="2"/>
          </rPr>
          <t xml:space="preserve">7912 — Plomberie et chauffage
</t>
        </r>
        <r>
          <rPr>
            <b/>
            <sz val="9"/>
            <color rgb="FF000000"/>
            <rFont val="Arial"/>
            <family val="2"/>
          </rPr>
          <t>Montant payé pour assurer l’entretien et les réparations des installations de plomberie et de chauffage.</t>
        </r>
      </text>
    </comment>
    <comment ref="C19" authorId="0" shapeId="0" xr:uid="{5FAFBE42-4780-8548-ADC8-DF0C79646D96}">
      <text>
        <r>
          <rPr>
            <b/>
            <sz val="9"/>
            <color indexed="81"/>
            <rFont val="Arial"/>
            <family val="2"/>
          </rPr>
          <t>Christian Latour :
7914 — Électricité et mécanique
Montant payé pour assurer l’entretien et les réparations des systèmes électriques et mécaniques tels que les ascenseurs et les monte-charges, et, etc.</t>
        </r>
      </text>
    </comment>
    <comment ref="C20" authorId="0" shapeId="0" xr:uid="{0B293E38-0108-FC4E-BD3B-B61B700669AF}">
      <text>
        <r>
          <rPr>
            <b/>
            <sz val="9"/>
            <color rgb="FF000000"/>
            <rFont val="Arial"/>
            <family val="2"/>
          </rPr>
          <t xml:space="preserve">Christian Latour :
</t>
        </r>
        <r>
          <rPr>
            <b/>
            <sz val="9"/>
            <color rgb="FF000000"/>
            <rFont val="Arial"/>
            <family val="2"/>
          </rPr>
          <t xml:space="preserve">7916 — Plancher et tapis
</t>
        </r>
        <r>
          <rPr>
            <b/>
            <sz val="9"/>
            <color rgb="FF000000"/>
            <rFont val="Arial"/>
            <family val="2"/>
          </rPr>
          <t>Montant payé pour assurer l’entretien et les réparations des planchers et couvre-planchers.</t>
        </r>
      </text>
    </comment>
    <comment ref="C21" authorId="0" shapeId="0" xr:uid="{DB790416-533C-794C-94CF-2C3472EC18CB}">
      <text>
        <r>
          <rPr>
            <b/>
            <sz val="9"/>
            <color indexed="81"/>
            <rFont val="Arial"/>
            <family val="2"/>
          </rPr>
          <t xml:space="preserve">Christian Latour :
7918 — Immeuble/bâtiment
Montant payé pour assurer l’entretien et les réparations de l’immeuble.
</t>
        </r>
      </text>
    </comment>
    <comment ref="C22" authorId="0" shapeId="0" xr:uid="{2A39FFA4-9D7B-EE46-8D5E-7287E9CDB732}">
      <text>
        <r>
          <rPr>
            <b/>
            <sz val="9"/>
            <color indexed="81"/>
            <rFont val="Arial"/>
            <family val="2"/>
          </rPr>
          <t>Christian Latour :
7920 — Stationnement
Montant payé pour assurer l’entretien et les réparations des stationnements.</t>
        </r>
      </text>
    </comment>
    <comment ref="C23" authorId="0" shapeId="0" xr:uid="{1BE2F646-E015-694C-AB24-CF38F732EEB1}">
      <text>
        <r>
          <rPr>
            <b/>
            <sz val="9"/>
            <color rgb="FF000000"/>
            <rFont val="Arial"/>
            <family val="2"/>
          </rPr>
          <t xml:space="preserve">Christian Latour :
</t>
        </r>
        <r>
          <rPr>
            <b/>
            <sz val="9"/>
            <color rgb="FF000000"/>
            <rFont val="Arial"/>
            <family val="2"/>
          </rPr>
          <t xml:space="preserve">7922 — Terrassement et entretien des terrassements
</t>
        </r>
        <r>
          <rPr>
            <b/>
            <sz val="9"/>
            <color rgb="FF000000"/>
            <rFont val="Arial"/>
            <family val="2"/>
          </rPr>
          <t>Montant payé pour le terrassement et l’entretien des terrassements.</t>
        </r>
      </text>
    </comment>
    <comment ref="C24" authorId="0" shapeId="0" xr:uid="{84FA4E70-C414-324D-AE4A-10EF94BE4996}">
      <text>
        <r>
          <rPr>
            <b/>
            <sz val="9"/>
            <color indexed="81"/>
            <rFont val="Arial"/>
            <family val="2"/>
          </rPr>
          <t>Christian Latour :
7924 — Altération immobilière/bâtiment
Montant payé dans le but d’apporter des modifications au bâtiment par exemple l’ajout d’une rampe pour handicapés.</t>
        </r>
      </text>
    </comment>
    <comment ref="C25" authorId="0" shapeId="0" xr:uid="{463019C6-762C-8441-BEE6-0E661444D674}">
      <text>
        <r>
          <rPr>
            <b/>
            <sz val="9"/>
            <color rgb="FF000000"/>
            <rFont val="Arial"/>
            <family val="2"/>
          </rPr>
          <t xml:space="preserve">Christian Latour :
</t>
        </r>
        <r>
          <rPr>
            <b/>
            <sz val="9"/>
            <color rgb="FF000000"/>
            <rFont val="Arial"/>
            <family val="2"/>
          </rPr>
          <t xml:space="preserve">7928 — Peinture, recouvrement et décoration
</t>
        </r>
        <r>
          <rPr>
            <b/>
            <sz val="9"/>
            <color rgb="FF000000"/>
            <rFont val="Arial"/>
            <family val="2"/>
          </rPr>
          <t xml:space="preserve">Montant payé pour assurer l’entretien des murs et plafonds (peinture, plâtre, stuco, et, etc.).
</t>
        </r>
        <r>
          <rPr>
            <b/>
            <sz val="9"/>
            <color rgb="FF000000"/>
            <rFont val="Arial"/>
            <family val="2"/>
          </rPr>
          <t xml:space="preserve">
</t>
        </r>
      </text>
    </comment>
    <comment ref="C26" authorId="0" shapeId="0" xr:uid="{54DFA4DF-5E71-3640-8395-D4386B3EF808}">
      <text>
        <r>
          <rPr>
            <b/>
            <sz val="9"/>
            <color rgb="FF000000"/>
            <rFont val="Arial"/>
            <family val="2"/>
          </rPr>
          <t xml:space="preserve">Christian Latour :
</t>
        </r>
        <r>
          <rPr>
            <b/>
            <sz val="9"/>
            <color rgb="FF000000"/>
            <rFont val="Arial"/>
            <family val="2"/>
          </rPr>
          <t xml:space="preserve">7990 — Contrat de service d’entretien
</t>
        </r>
        <r>
          <rPr>
            <b/>
            <sz val="9"/>
            <color rgb="FF000000"/>
            <rFont val="Arial"/>
            <family val="2"/>
          </rPr>
          <t xml:space="preserve">Montant payé pour les contrats d’entretien des ascenseurs, enseignes lumineuses, autres équipements, et, etc.
</t>
        </r>
        <r>
          <rPr>
            <b/>
            <sz val="9"/>
            <color rgb="FF000000"/>
            <rFont val="Arial"/>
            <family val="2"/>
          </rPr>
          <t xml:space="preserve">
</t>
        </r>
      </text>
    </comment>
    <comment ref="C27" authorId="0" shapeId="0" xr:uid="{B6BB5509-EF7F-2445-9F42-C055EAFFD80F}">
      <text>
        <r>
          <rPr>
            <b/>
            <sz val="9"/>
            <color rgb="FF000000"/>
            <rFont val="Arial"/>
            <family val="2"/>
          </rPr>
          <t xml:space="preserve">Christian Latour :
</t>
        </r>
        <r>
          <rPr>
            <b/>
            <sz val="9"/>
            <color rgb="FF000000"/>
            <rFont val="Arial"/>
            <family val="2"/>
          </rPr>
          <t xml:space="preserve">7996 - Matériel roulant
</t>
        </r>
        <r>
          <rPr>
            <b/>
            <sz val="9"/>
            <color rgb="FF000000"/>
            <rFont val="Arial"/>
            <family val="2"/>
          </rPr>
          <t>Montant payé pour assurer l’entretien et les réparations des voitures, camions et autres engins roulants utilisés par l’entreprise.</t>
        </r>
      </text>
    </comment>
    <comment ref="C28" authorId="0" shapeId="0" xr:uid="{405C5DDC-783C-5E44-9C6C-000FD9BF9375}">
      <text>
        <r>
          <rPr>
            <b/>
            <sz val="9"/>
            <color rgb="FF000000"/>
            <rFont val="Arial"/>
            <family val="2"/>
          </rPr>
          <t xml:space="preserve">Christian Latour :
</t>
        </r>
        <r>
          <rPr>
            <b/>
            <sz val="9"/>
            <color rgb="FF000000"/>
            <rFont val="Arial"/>
            <family val="2"/>
          </rPr>
          <t xml:space="preserve">7998 — Équipements et fournitures
</t>
        </r>
        <r>
          <rPr>
            <b/>
            <sz val="9"/>
            <color rgb="FF000000"/>
            <rFont val="Arial"/>
            <family val="2"/>
          </rPr>
          <t>Montant payé notamment pour assurer l’entretien et les réparations des rideaux, draperies, tapisseries, et, etc.</t>
        </r>
      </text>
    </comment>
    <comment ref="C29" authorId="0" shapeId="0" xr:uid="{FEC1FFFF-0F52-AD48-B500-3A0F16BBC581}">
      <text>
        <r>
          <rPr>
            <b/>
            <sz val="9"/>
            <color rgb="FF000000"/>
            <rFont val="Arial"/>
            <family val="2"/>
          </rPr>
          <t xml:space="preserve">Christian Latour :
</t>
        </r>
        <r>
          <rPr>
            <b/>
            <sz val="9"/>
            <color rgb="FF000000"/>
            <rFont val="Arial"/>
            <family val="2"/>
          </rPr>
          <t xml:space="preserve">7999 — Autres
</t>
        </r>
        <r>
          <rPr>
            <b/>
            <sz val="9"/>
            <color rgb="FF000000"/>
            <rFont val="Arial"/>
            <family val="2"/>
          </rPr>
          <t>Autres montants payés pour l’entretien et les réparations et qui ne sont pas comptabilisés dans l’un des comptes précédents.</t>
        </r>
      </text>
    </comment>
    <comment ref="C31" authorId="0" shapeId="0" xr:uid="{F7E50AF9-2BE8-7D47-B656-F57584F71F3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7900 — Entretien et réparations
</t>
        </r>
        <r>
          <rPr>
            <b/>
            <sz val="10"/>
            <color rgb="FF000000"/>
            <rFont val="Arial"/>
            <family val="2"/>
          </rPr>
          <t>Il s’agit du compte de contrôle dans lequel on additionne le total des coûts entretien et réparation.</t>
        </r>
      </text>
    </comment>
  </commentList>
</comments>
</file>

<file path=xl/sharedStrings.xml><?xml version="1.0" encoding="utf-8"?>
<sst xmlns="http://schemas.openxmlformats.org/spreadsheetml/2006/main" count="2559" uniqueCount="598">
  <si>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</si>
  <si>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</si>
  <si>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</si>
  <si>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</si>
  <si>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</si>
  <si>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</si>
  <si>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</si>
  <si>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</si>
  <si>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</si>
  <si>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</si>
  <si>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</si>
  <si>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</si>
  <si>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</si>
  <si>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</si>
  <si>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</si>
  <si>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</si>
  <si>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</si>
  <si>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</si>
  <si>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</si>
  <si>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</si>
  <si>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</si>
  <si>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</si>
  <si>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</si>
  <si>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</si>
  <si>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</si>
  <si>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</si>
  <si>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</si>
  <si>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</si>
  <si>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</si>
  <si>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</si>
  <si>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</si>
  <si>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</si>
  <si>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</si>
  <si>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</si>
  <si>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</si>
  <si>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</si>
  <si>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</si>
  <si>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</si>
  <si>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</si>
  <si>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</si>
  <si>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</si>
  <si>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</si>
  <si>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</si>
  <si>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</si>
  <si>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</si>
  <si>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</si>
  <si>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</si>
  <si>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</si>
  <si>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</si>
  <si>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</si>
  <si>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</si>
  <si>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</si>
  <si>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</si>
  <si>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</si>
  <si>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</si>
  <si>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</si>
  <si>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</si>
  <si>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</si>
  <si>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</si>
  <si>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</si>
  <si>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</si>
  <si>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</si>
  <si>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</si>
  <si>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</si>
  <si>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</si>
  <si>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</si>
  <si>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</si>
  <si>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</si>
  <si>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</si>
  <si>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</si>
  <si>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</si>
  <si>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</si>
  <si>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</si>
  <si>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</si>
  <si>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</si>
  <si>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</si>
  <si>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</si>
  <si>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</si>
  <si>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</si>
  <si>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</si>
  <si>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</si>
  <si>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</si>
  <si>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</si>
  <si>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</si>
  <si>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</si>
  <si>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</si>
  <si>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</si>
  <si>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</si>
  <si>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</si>
  <si>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</si>
  <si>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</si>
  <si>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</si>
  <si>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</si>
  <si>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</si>
  <si>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</si>
  <si>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</si>
  <si>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</si>
  <si>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</si>
  <si>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</si>
  <si>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</si>
  <si>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</si>
  <si>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</si>
  <si>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</si>
  <si>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</si>
  <si>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</si>
  <si>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</si>
  <si>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</si>
  <si>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</si>
  <si>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</si>
  <si>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</si>
  <si>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</si>
  <si>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</si>
  <si>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</si>
  <si>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</si>
  <si>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</si>
  <si>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</si>
  <si>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</si>
  <si>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</si>
  <si>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</si>
  <si>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</si>
  <si>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</si>
  <si>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</si>
  <si>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</si>
  <si>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</si>
  <si>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</si>
  <si>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</si>
  <si>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</si>
  <si>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</si>
  <si>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</si>
  <si>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</si>
  <si>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</si>
  <si>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</si>
  <si>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</si>
  <si>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</si>
  <si>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</si>
  <si>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</si>
  <si>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</si>
  <si>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</si>
  <si>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</si>
  <si>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</si>
  <si>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</si>
  <si>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</si>
  <si>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</si>
  <si>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</si>
  <si>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</si>
  <si>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</si>
  <si>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</si>
  <si>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</si>
  <si>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</si>
  <si>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</si>
  <si>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</si>
  <si>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</si>
  <si>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</si>
  <si>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</si>
  <si>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</si>
  <si>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</si>
  <si>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</si>
  <si>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</si>
  <si>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</si>
  <si>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</si>
  <si>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</si>
  <si>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</si>
  <si>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</si>
  <si>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</si>
  <si>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</si>
  <si>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</si>
  <si>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</si>
  <si>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</si>
  <si>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</si>
  <si>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</si>
  <si>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</si>
  <si>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</si>
  <si>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</si>
  <si>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</si>
  <si>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</si>
  <si>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</si>
  <si>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</si>
  <si>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</si>
  <si>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</si>
  <si>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</si>
  <si>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</si>
  <si>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</si>
  <si>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</si>
  <si>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</si>
  <si>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</si>
  <si>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</si>
  <si>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</si>
  <si>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</si>
  <si>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</si>
  <si>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</si>
  <si>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</si>
  <si>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</si>
  <si>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</si>
  <si>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</si>
  <si>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</si>
  <si>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</si>
  <si>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</si>
  <si>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</si>
  <si>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</si>
  <si>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</si>
  <si>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</si>
  <si>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</si>
  <si>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</si>
  <si>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</si>
  <si>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</si>
  <si>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</si>
  <si>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</si>
  <si>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</si>
  <si>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</si>
  <si>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</si>
  <si>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</si>
  <si>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</si>
  <si>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</si>
  <si>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</si>
  <si>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</si>
  <si>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</si>
  <si>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</si>
  <si>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</si>
  <si>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</si>
  <si>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</si>
  <si>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</si>
  <si>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</si>
  <si>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</si>
  <si>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</si>
  <si>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</si>
  <si>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</si>
  <si>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</si>
  <si>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</si>
  <si>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</si>
  <si>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</si>
  <si>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</si>
  <si>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</si>
  <si>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</si>
  <si>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</si>
  <si>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</si>
  <si>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</si>
  <si>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</si>
  <si>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</si>
  <si>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</si>
  <si>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</si>
  <si>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</si>
  <si>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</si>
  <si>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</si>
  <si>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</si>
  <si>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</si>
  <si>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</si>
  <si>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</si>
  <si>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</si>
  <si>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</si>
  <si>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</si>
  <si>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</si>
  <si>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</si>
  <si>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</si>
  <si>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</si>
  <si>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</si>
  <si>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</si>
  <si>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</si>
  <si>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</si>
  <si>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</si>
  <si>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</si>
  <si>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</si>
  <si>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</si>
  <si>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</si>
  <si>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</si>
  <si>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</si>
  <si>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</si>
  <si>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</si>
  <si>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</si>
  <si>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</si>
  <si>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</si>
  <si>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</si>
  <si>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</si>
  <si>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</si>
  <si>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</si>
  <si>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</si>
  <si>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</si>
  <si>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</si>
  <si>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</si>
  <si>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</si>
  <si>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</si>
  <si>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</si>
  <si>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</si>
  <si>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</si>
  <si>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Coût musique &amp; divertissement annuel par place</t>
  </si>
  <si>
    <t>Janvier 2017</t>
  </si>
  <si>
    <t>Février 2017</t>
  </si>
  <si>
    <t>Mars 2017</t>
  </si>
  <si>
    <t>Avril 2017</t>
  </si>
  <si>
    <t>Mai 2017</t>
  </si>
  <si>
    <t>Juin 2017</t>
  </si>
  <si>
    <t>Juillet 2017</t>
  </si>
  <si>
    <t>Août 2017</t>
  </si>
  <si>
    <t>Septembre 2017</t>
  </si>
  <si>
    <t>Octobre 2017</t>
  </si>
  <si>
    <t>Novembre 2017</t>
  </si>
  <si>
    <t>Décembre 2017</t>
  </si>
  <si>
    <t>Année 2017</t>
  </si>
  <si>
    <t>Musique &amp; Divertissement</t>
  </si>
  <si>
    <t>Musiciens et animateur</t>
  </si>
  <si>
    <t>Divertisseurs professionnel</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</si>
  <si>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</si>
  <si>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</si>
  <si>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</si>
  <si>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</si>
  <si>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</si>
  <si>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</si>
  <si>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</si>
  <si>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Total des coûts de musique &amp; divertissement</t>
  </si>
  <si>
    <t>Marketing &amp; Communication marketing</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</si>
  <si>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</si>
  <si>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</si>
  <si>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</si>
  <si>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</si>
  <si>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</si>
  <si>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</si>
  <si>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</si>
  <si>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</si>
  <si>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</si>
  <si>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</si>
  <si>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</si>
  <si>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</si>
  <si>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Coût annuel (Marketing &amp; Communication marketing) par place</t>
  </si>
  <si>
    <t>Services publics</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</si>
  <si>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</si>
  <si>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</si>
  <si>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</si>
  <si>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</si>
  <si>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</si>
  <si>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</si>
  <si>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</si>
  <si>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</si>
  <si>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</si>
  <si>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Total des coûts de services publics</t>
  </si>
  <si>
    <t>Coût des services public</t>
  </si>
  <si>
    <t>Coût annuel par place</t>
  </si>
  <si>
    <t>Coût Administration &amp; Frais généraux</t>
  </si>
  <si>
    <t>Fournitures de bureau</t>
  </si>
  <si>
    <t xml:space="preserve">Traitement de données </t>
  </si>
  <si>
    <t>Poste et messagerie</t>
  </si>
  <si>
    <t>Télécommunications</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</si>
  <si>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</si>
  <si>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</si>
  <si>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</si>
  <si>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</si>
  <si>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</si>
  <si>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</si>
  <si>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</si>
  <si>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</si>
  <si>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</si>
  <si>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Total des coûts Administration &amp; Frais généraux</t>
  </si>
  <si>
    <t>Coût d’entretien et réparations</t>
  </si>
  <si>
    <t>Ameublement et agencement</t>
  </si>
  <si>
    <t>Équipement de cuisine</t>
  </si>
  <si>
    <t>Équipement de bureau</t>
  </si>
  <si>
    <t>Réfrigération</t>
  </si>
  <si>
    <t>Air conditionné</t>
  </si>
  <si>
    <t>Plomberie et chauffage</t>
  </si>
  <si>
    <t>Électricité et mécanique</t>
  </si>
  <si>
    <t>Plancher et tapis</t>
  </si>
  <si>
    <t>Immeubles/Bâtisses</t>
  </si>
  <si>
    <t>Stationnement</t>
  </si>
  <si>
    <t>Terrassements et entretien paysager</t>
  </si>
  <si>
    <t>Altération Immobilière / Bâtisse</t>
  </si>
  <si>
    <t>Peinture, recouvrement et décorations</t>
  </si>
  <si>
    <t>Matériel roulant (auto et camions)</t>
  </si>
  <si>
    <t>Équipements et fournitures</t>
  </si>
  <si>
    <t xml:space="preserve">Autres </t>
  </si>
  <si>
    <t>Total des coûts d’entretien et réparations</t>
  </si>
  <si>
    <t xml:space="preserve">Contrat de services d’entretien </t>
  </si>
  <si>
    <t>Frais financier</t>
  </si>
  <si>
    <t>Total des frais financier</t>
  </si>
  <si>
    <t>Amortissement</t>
  </si>
  <si>
    <t>Amortissement numéro 1</t>
  </si>
  <si>
    <t>Total des frais d'amortissement</t>
  </si>
  <si>
    <t>Résultats</t>
  </si>
  <si>
    <t>ACTIF</t>
  </si>
  <si>
    <t>Actif courant</t>
  </si>
  <si>
    <t xml:space="preserve"> Clients et autres débiteurs</t>
  </si>
  <si>
    <t xml:space="preserve"> Stocks</t>
  </si>
  <si>
    <t xml:space="preserve"> Autres actifs courants</t>
  </si>
  <si>
    <t>Total des actifs courants</t>
  </si>
  <si>
    <t>Actif non courant</t>
  </si>
  <si>
    <t xml:space="preserve"> Placements</t>
  </si>
  <si>
    <t xml:space="preserve"> Achalandage (Goodwill)</t>
  </si>
  <si>
    <t>Total des actifs non courant</t>
  </si>
  <si>
    <t>PASSIF</t>
  </si>
  <si>
    <t xml:space="preserve"> Découverts bancaires</t>
  </si>
  <si>
    <t xml:space="preserve"> Emprunts bancaires</t>
  </si>
  <si>
    <t xml:space="preserve"> Produits différés</t>
  </si>
  <si>
    <t xml:space="preserve"> Provisions pour risques et charges</t>
  </si>
  <si>
    <t xml:space="preserve"> Partie courante de la dette</t>
  </si>
  <si>
    <t>Total des passifs courants</t>
  </si>
  <si>
    <t>Passif non courant</t>
  </si>
  <si>
    <t xml:space="preserve"> Emprunts obligataires</t>
  </si>
  <si>
    <t xml:space="preserve"> Obligations découlant de contrats de location-financement</t>
  </si>
  <si>
    <t xml:space="preserve"> Impôts différés</t>
  </si>
  <si>
    <t>CAPITAUX PROPRES</t>
  </si>
  <si>
    <t xml:space="preserve"> Capital actions</t>
  </si>
  <si>
    <t xml:space="preserve"> Résultats non distribués</t>
  </si>
  <si>
    <t xml:space="preserve"> Cumul des autres éléments du résultat global</t>
  </si>
  <si>
    <t>Total des capitaux propres</t>
  </si>
  <si>
    <t>TOTAL DES PASSIFS ET DES CAPITAUX PROPRES</t>
  </si>
  <si>
    <t>Bilan au 31 décembre 2021</t>
  </si>
  <si>
    <t>Bilan au 1er décembre 2021</t>
  </si>
  <si>
    <t>Total des actifs par place</t>
  </si>
  <si>
    <t>1. STATUTS CONSTITUTIFS ET NATURE DES ACTIVITÉS</t>
  </si>
  <si>
    <t xml:space="preserve">La société, constitué en vertu de la loi des sociétés par actions du Québec, exploite une entreprise de restauration alimentaire. </t>
  </si>
  <si>
    <t>Notes / Hypothèses complémentaires</t>
  </si>
  <si>
    <t>2. IMMOBILISATIONS CORPORELLES</t>
  </si>
  <si>
    <t>3. CAPITAL-ACTIONS</t>
  </si>
  <si>
    <t xml:space="preserve"> Fournisseurs et autres créditeurs </t>
  </si>
  <si>
    <t xml:space="preserve"> Emprunts hypothécaires </t>
  </si>
  <si>
    <t xml:space="preserve"> Trésorerie et équivalent de trésorerie</t>
  </si>
  <si>
    <t>Passif courant</t>
  </si>
  <si>
    <t xml:space="preserve"> Immobilisations incorporelles</t>
  </si>
  <si>
    <t xml:space="preserve"> Immobilisations corporelles </t>
  </si>
  <si>
    <t>TOTAL DES ACTIFS</t>
  </si>
  <si>
    <t>Total des passifs non courant</t>
  </si>
  <si>
    <t>TOTAL DES PASSIFS</t>
  </si>
  <si>
    <t xml:space="preserve"> Participation ne donnant pas le contrôle</t>
  </si>
  <si>
    <t xml:space="preserve"> Surplus d’apports</t>
  </si>
  <si>
    <t>Actif / Place</t>
  </si>
  <si>
    <t>Amortissement - Immobilisation incorporelles</t>
  </si>
  <si>
    <t xml:space="preserve">Amortissement - Immobilisations corporelles </t>
  </si>
  <si>
    <t>Amortissement - Achalandage (Goodwill)</t>
  </si>
  <si>
    <t>TABLEAU DES FLUX DE TRÉSORERIE</t>
  </si>
  <si>
    <t>Total des frais financiers et amortissement</t>
  </si>
  <si>
    <t>ACTIVITÉS OPÉRATIONNELLES</t>
  </si>
  <si>
    <t>Résultat net de la période</t>
  </si>
  <si>
    <t>+</t>
  </si>
  <si>
    <t>Variation nette de la trésorerie des éléments liés aux résultats d’exploitation</t>
  </si>
  <si>
    <t>Début</t>
  </si>
  <si>
    <t>Fin</t>
  </si>
  <si>
    <t>Variation</t>
  </si>
  <si>
    <t>-</t>
  </si>
  <si>
    <t>Variation nette des éléments du fonds de roulement hors trésorerie liés aux activités opérationnelles</t>
  </si>
  <si>
    <t>Flux de trésorerie générés par les activités opérationnelles</t>
  </si>
  <si>
    <t>ACTIVITÉS DE FINANCEMENT</t>
  </si>
  <si>
    <t>Flux de trésorerie générés par les activités de financement</t>
  </si>
  <si>
    <t>ACTIVITÉS D’INVESTISSEMENT</t>
  </si>
  <si>
    <t>Amort. Acc.</t>
  </si>
  <si>
    <t>Flux de trésorerie générés par les activités d’investissement</t>
  </si>
  <si>
    <t>Hébergement</t>
  </si>
  <si>
    <t>Augmentation (diminution) de la trésorerie durant l'exercice financier</t>
  </si>
  <si>
    <t>Tésorerie et équivalent de trésorerie au début de l'exercice financier</t>
  </si>
  <si>
    <t>Tésorerie et équivalent de trésorerie à la fin de l'exercice financier</t>
  </si>
  <si>
    <t>Trésorerie et équivalent de trésorerie à la fin de l'exercice (la preuve)</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</si>
  <si>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</si>
  <si>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</si>
  <si>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</si>
  <si>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</si>
  <si>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Élevé — Le risque de ne pas y arriver est grand!</t>
  </si>
  <si>
    <t>Faible — Le risque est plus faible!</t>
  </si>
  <si>
    <t>DOMAINE</t>
  </si>
  <si>
    <t>RATIO</t>
  </si>
  <si>
    <t>FORMULE</t>
  </si>
  <si>
    <t>CALCUL</t>
  </si>
  <si>
    <t>OBJET</t>
  </si>
  <si>
    <t>CONCLUSION / MESURES À PRENDRE</t>
  </si>
  <si>
    <t>Rentabilité générale</t>
  </si>
  <si>
    <t>Rendement de l’investissement 
du propriétaire</t>
  </si>
  <si>
    <r>
      <t xml:space="preserve">(Bénéfice net avant impôt </t>
    </r>
    <r>
      <rPr>
        <b/>
        <sz val="16"/>
        <rFont val="Arial"/>
        <family val="2"/>
      </rPr>
      <t>÷</t>
    </r>
    <r>
      <rPr>
        <b/>
        <sz val="10"/>
        <rFont val="Arial"/>
        <family val="2"/>
        <charset val="204"/>
      </rPr>
      <t xml:space="preserve"> Capitaux propres ) X 100</t>
    </r>
  </si>
  <si>
    <t>Indique si l’investissement du propriétaire est adéquat et rentable</t>
  </si>
  <si>
    <t>Élevé — Félicitations!
Faible — Se poser la question suivante: "Mon argent est-il utilisé de la façon la plus rentable ? "</t>
  </si>
  <si>
    <t>Rendement des investisseurs et des propriétaires</t>
  </si>
  <si>
    <t>Indique si l’investissement de investisseurs est rentable</t>
  </si>
  <si>
    <t>Élevé — Félicitations!
Faible — Se poser la question suivante : « Le rendement est-il suffisant pour satisfaire les investisseurs ? "</t>
  </si>
  <si>
    <t>Rendement du capital investi</t>
  </si>
  <si>
    <r>
      <t xml:space="preserve">(Bénéfice net avant impôt </t>
    </r>
    <r>
      <rPr>
        <sz val="16"/>
        <color theme="1"/>
        <rFont val="Calibri"/>
        <family val="2"/>
        <scheme val="minor"/>
      </rPr>
      <t>÷</t>
    </r>
    <r>
      <rPr>
        <sz val="10"/>
        <rFont val="Arial"/>
        <family val="2"/>
      </rPr>
      <t xml:space="preserve"> Actif) X 100</t>
    </r>
  </si>
  <si>
    <t>Indique une bonne affectation des ressources financières</t>
  </si>
  <si>
    <t xml:space="preserve">Élevé — Félicitations!
Faible — Peut indiquer des placements inconsidérés
          - Analyser l’actif en vue de convertir éventuellement des biens en espèces </t>
  </si>
  <si>
    <t>Gestion de 
l’exploitation</t>
  </si>
  <si>
    <t>Marge bénéficiaire</t>
  </si>
  <si>
    <r>
      <t xml:space="preserve">(Bénéfice net avant impôt </t>
    </r>
    <r>
      <rPr>
        <b/>
        <sz val="16"/>
        <rFont val="Arial"/>
        <family val="2"/>
      </rPr>
      <t>÷</t>
    </r>
    <r>
      <rPr>
        <b/>
        <sz val="10"/>
        <rFont val="Arial"/>
        <family val="2"/>
        <charset val="204"/>
      </rPr>
      <t xml:space="preserve"> Ventes) X 100</t>
    </r>
  </si>
  <si>
    <t>Indique, en pourcentage, le bénéfice net réalisé sur chaque dollar de vente</t>
  </si>
  <si>
    <t xml:space="preserve">Élevé — Félicitations!
Faible — Augmenter les ventes
          - Diminuer les coûts
          - Faire les deux
</t>
  </si>
  <si>
    <t>Marge bénéficiaire brute</t>
  </si>
  <si>
    <r>
      <t xml:space="preserve">(Bénéfice brut </t>
    </r>
    <r>
      <rPr>
        <sz val="16"/>
        <color theme="1"/>
        <rFont val="Calibri"/>
        <family val="2"/>
        <scheme val="minor"/>
      </rPr>
      <t>÷</t>
    </r>
    <r>
      <rPr>
        <sz val="10"/>
        <rFont val="Arial"/>
        <family val="2"/>
      </rPr>
      <t xml:space="preserve"> Ventes) X 100</t>
    </r>
  </si>
  <si>
    <t>Indique, en pourcentage, le bénéfice brut réalisé sur chaque dollar de vente</t>
  </si>
  <si>
    <t>Élevé — Félicitations!
Faible — Augmenter les ventes
          - Diminuer les coûts
          - Faire les deux</t>
  </si>
  <si>
    <t>BAIIA</t>
  </si>
  <si>
    <t xml:space="preserve">   (Bénéfices nets avant frais financiers, amort. et impôt ÷ Ventes) X 100</t>
  </si>
  <si>
    <t>Gestion des
ressources</t>
  </si>
  <si>
    <t>Ratation des actifs</t>
  </si>
  <si>
    <r>
      <t xml:space="preserve">(Ventes </t>
    </r>
    <r>
      <rPr>
        <b/>
        <sz val="16"/>
        <rFont val="Arial"/>
        <family val="2"/>
      </rPr>
      <t>÷</t>
    </r>
    <r>
      <rPr>
        <b/>
        <sz val="10"/>
        <rFont val="Arial"/>
        <family val="2"/>
        <charset val="204"/>
      </rPr>
      <t xml:space="preserve"> Actif)</t>
    </r>
  </si>
  <si>
    <t>Mesure l’efficacité de l’utilisation des ressources de l’entreprise</t>
  </si>
  <si>
    <t>Élevé — Utilisation efficace des ressources de l’entreprise
Faible — Investissement trop élevé dans les ressources par rapport au niveau des ventes. Calculer les autres ratios de gestion des ressources pour en préciser la cause</t>
  </si>
  <si>
    <t>Rotation des stocks</t>
  </si>
  <si>
    <t>Coût des produits vendus durant la période  ÷ Stock moyen
Stock moyen = [(Stock d’ouverture + Stock de fermeture) ÷ 2]</t>
  </si>
  <si>
    <t>Indique le nombre de fois que le stock se renouvelle au cours d’une période donnée. Évalue la qualité du stock.</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</si>
  <si>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</si>
  <si>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 xml:space="preserve">Niveau des stocks </t>
  </si>
  <si>
    <r>
      <t xml:space="preserve">365 jours </t>
    </r>
    <r>
      <rPr>
        <sz val="16"/>
        <rFont val="Arial"/>
        <family val="2"/>
      </rPr>
      <t>÷</t>
    </r>
    <r>
      <rPr>
        <sz val="10"/>
        <rFont val="Arial"/>
        <family val="2"/>
      </rPr>
      <t xml:space="preserve"> Coefficient de rotation des stocks
        (voir ci-dessus)</t>
    </r>
  </si>
  <si>
    <t>jours</t>
  </si>
  <si>
    <t>Indique le nombre moyen de jours d'approvisionnement en stocks (nombre réel de jours pour vendre et renouveler le stock)</t>
  </si>
  <si>
    <t>Voir commentaires ci-dessus. Utiliser comme guide pour rationaliser les achats.</t>
  </si>
  <si>
    <t>Rotation des comptes clients</t>
  </si>
  <si>
    <r>
      <t xml:space="preserve">Ventes </t>
    </r>
    <r>
      <rPr>
        <sz val="16"/>
        <color theme="1"/>
        <rFont val="Calibri"/>
        <family val="2"/>
        <scheme val="minor"/>
      </rPr>
      <t>÷</t>
    </r>
    <r>
      <rPr>
        <sz val="10"/>
        <rFont val="Arial"/>
        <family val="2"/>
      </rPr>
      <t xml:space="preserve"> Comptes clients moyens  
Comptes clients moyens = (Comptes clients d'ouverture + Comptes clients de fermeture) </t>
    </r>
    <r>
      <rPr>
        <sz val="16"/>
        <color theme="1"/>
        <rFont val="Calibri"/>
        <family val="2"/>
        <scheme val="minor"/>
      </rPr>
      <t>÷</t>
    </r>
    <r>
      <rPr>
        <sz val="10"/>
        <rFont val="Arial"/>
        <family val="2"/>
      </rPr>
      <t xml:space="preserve"> 2</t>
    </r>
  </si>
  <si>
    <t>Évalue l'efficacité de la politique de crédit et de recouvrement de l'entreprise</t>
  </si>
  <si>
    <t>Élevé — Félicitations! Indique soit une politique de crédit et de recouvrement efficace, soit le fait que les clients paient comptant en général
Faible — Une plus grande attention doit être accordée aux comptes clients</t>
  </si>
  <si>
    <t>Période de recouvrement des comptes clients</t>
  </si>
  <si>
    <r>
      <t>(365 jours</t>
    </r>
    <r>
      <rPr>
        <sz val="16"/>
        <color theme="1"/>
        <rFont val="Calibri"/>
        <family val="2"/>
        <scheme val="minor"/>
      </rPr>
      <t xml:space="preserve"> ÷</t>
    </r>
    <r>
      <rPr>
        <sz val="10"/>
        <rFont val="Arial"/>
        <family val="2"/>
      </rPr>
      <t xml:space="preserve"> Coefficient de rotation des comptes clients)
         (voir ci-dessus)</t>
    </r>
  </si>
  <si>
    <t>Indique le nombre moyen de jours que prennent les clients pour payer leurs comptes</t>
  </si>
  <si>
    <r>
      <t xml:space="preserve">Faible </t>
    </r>
    <r>
      <rPr>
        <sz val="10"/>
        <rFont val="Arial"/>
        <family val="2"/>
      </rPr>
      <t xml:space="preserve">- Félicitations !
</t>
    </r>
    <r>
      <rPr>
        <b/>
        <sz val="10"/>
        <rFont val="Arial"/>
        <family val="2"/>
        <charset val="204"/>
      </rPr>
      <t>Élevé</t>
    </r>
    <r>
      <rPr>
        <sz val="10"/>
        <rFont val="Arial"/>
        <family val="2"/>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</si>
  <si>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Rotation des comptes fournisseurs</t>
  </si>
  <si>
    <t>Coût des produits vendus durant la période ÷ Fournisseurs moyen
Fournisseurs moyen = [(Fournisseurs à l'ouverture + Fournisseurs à la fermeture) ÷ 2]</t>
  </si>
  <si>
    <t>Période de paiement des comptes fournisseurs</t>
  </si>
  <si>
    <r>
      <t>(365 jours</t>
    </r>
    <r>
      <rPr>
        <sz val="16"/>
        <color theme="1"/>
        <rFont val="Calibri"/>
        <family val="2"/>
        <scheme val="minor"/>
      </rPr>
      <t xml:space="preserve"> ÷</t>
    </r>
    <r>
      <rPr>
        <sz val="10"/>
        <rFont val="Arial"/>
        <family val="2"/>
      </rPr>
      <t xml:space="preserve"> Coefficient de rotation des comptes fournisseurs)
         (voir ci-dessus)</t>
    </r>
  </si>
  <si>
    <t>Indique le nombre moyen de jours que l'entreprise prend pour régler ses comptes fournisseurs.</t>
  </si>
  <si>
    <r>
      <t>Faible</t>
    </r>
    <r>
      <rPr>
        <sz val="10"/>
        <rFont val="Arial"/>
        <family val="2"/>
      </rPr>
      <t xml:space="preserve"> - Adéquat si ceci est causé par l'utilisation des escomptes de caisse ou par le respect des conditions de paiement aux fournisseurs
</t>
    </r>
    <r>
      <rPr>
        <b/>
        <sz val="10"/>
        <rFont val="Arial"/>
        <family val="2"/>
        <charset val="204"/>
      </rPr>
      <t>Élevé</t>
    </r>
    <r>
      <rPr>
        <sz val="10"/>
        <rFont val="Arial"/>
        <family val="2"/>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</si>
  <si>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</si>
  <si>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</si>
  <si>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Capitaux propres)</t>
  </si>
  <si>
    <t>Indique l'importance de l'investissement du propriétaire dans l'entreprise.</t>
  </si>
  <si>
    <t>- Voir ci-dessous (Endettement)
- Une analyse horizontale indiquera si l'investissement augmente ou diminue</t>
  </si>
  <si>
    <r>
      <t xml:space="preserve">(Passif </t>
    </r>
    <r>
      <rPr>
        <sz val="16"/>
        <rFont val="Arial"/>
        <family val="2"/>
      </rPr>
      <t>÷</t>
    </r>
    <r>
      <rPr>
        <sz val="10"/>
        <rFont val="Arial"/>
        <family val="2"/>
      </rPr>
      <t xml:space="preserve"> Capitaux propres)</t>
    </r>
  </si>
  <si>
    <r>
      <t xml:space="preserve">(Actif ÷ Capitaux propres) </t>
    </r>
    <r>
      <rPr>
        <sz val="16"/>
        <rFont val="Arial"/>
        <family val="2"/>
      </rPr>
      <t>÷</t>
    </r>
    <r>
      <rPr>
        <sz val="10"/>
        <rFont val="Arial"/>
        <family val="2"/>
      </rPr>
      <t xml:space="preserve"> (Passif ÷ Capitaux propres) </t>
    </r>
  </si>
  <si>
    <t>Endettement</t>
  </si>
  <si>
    <r>
      <t xml:space="preserve"> (Passif </t>
    </r>
    <r>
      <rPr>
        <sz val="16"/>
        <color theme="1"/>
        <rFont val="Calibri"/>
        <family val="2"/>
        <scheme val="minor"/>
      </rPr>
      <t>÷</t>
    </r>
    <r>
      <rPr>
        <sz val="10"/>
        <rFont val="Arial"/>
        <family val="2"/>
      </rPr>
      <t xml:space="preserve"> Actif)</t>
    </r>
  </si>
  <si>
    <t>Mesure l'endettement de l'entreprise à l'égard de ses créanciers</t>
  </si>
  <si>
    <r>
      <t>Élevé</t>
    </r>
    <r>
      <rPr>
        <sz val="10"/>
        <rFont val="Arial"/>
        <family val="2"/>
      </rPr>
      <t xml:space="preserve"> - Un montant important est dû aux créanciers. Possibilité de dette excessive
</t>
    </r>
    <r>
      <rPr>
        <b/>
        <sz val="10"/>
        <rFont val="Arial"/>
        <family val="2"/>
        <charset val="204"/>
      </rPr>
      <t>Faible</t>
    </r>
    <r>
      <rPr>
        <sz val="10"/>
        <rFont val="Arial"/>
        <family val="2"/>
      </rPr>
      <t xml:space="preserve"> - Indique un investissement important du propriétaire. Possibilité d'utiliser davantage le financement externe et de réaliser un meilleur rendement sur votre investissement</t>
    </r>
  </si>
  <si>
    <t>Fonds de roulement</t>
  </si>
  <si>
    <r>
      <t xml:space="preserve">(Actif à court terme) </t>
    </r>
    <r>
      <rPr>
        <sz val="16"/>
        <color theme="1"/>
        <rFont val="Calibri"/>
        <family val="2"/>
        <scheme val="minor"/>
      </rPr>
      <t>÷</t>
    </r>
    <r>
      <rPr>
        <sz val="10"/>
        <rFont val="Arial"/>
        <family val="2"/>
      </rPr>
      <t xml:space="preserve"> (Passif à court terme)</t>
    </r>
  </si>
  <si>
    <t>Mesure la capacité de l'entreprise de rembourser ses dettes à court terme (exigibles au cours des 12 prochains mois)</t>
  </si>
  <si>
    <r>
      <t xml:space="preserve">Dans de nombreuses entreprises, un ratio de 2:1 est généralement acceptable, mais les besoins varient selon les secteurs
En général :
</t>
    </r>
    <r>
      <rPr>
        <b/>
        <sz val="10"/>
        <rFont val="Arial"/>
        <family val="2"/>
        <charset val="204"/>
      </rPr>
      <t>Élevé</t>
    </r>
    <r>
      <rPr>
        <sz val="10"/>
        <rFont val="Arial"/>
        <family val="2"/>
      </rPr>
      <t xml:space="preserve"> - Stock peut-être trop élevé ou utilisation inappropriée de l'encaisse
</t>
    </r>
    <r>
      <rPr>
        <b/>
        <sz val="10"/>
        <rFont val="Arial"/>
        <family val="2"/>
        <charset val="204"/>
      </rPr>
      <t>Faible</t>
    </r>
    <r>
      <rPr>
        <sz val="10"/>
        <rFont val="Arial"/>
        <family val="2"/>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</si>
  <si>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t>Trésorerie</t>
  </si>
  <si>
    <r>
      <t xml:space="preserve">(Actif à court terme - Stocks) </t>
    </r>
    <r>
      <rPr>
        <sz val="16"/>
        <color theme="1"/>
        <rFont val="Calibri"/>
        <family val="2"/>
        <scheme val="minor"/>
      </rPr>
      <t>÷</t>
    </r>
    <r>
      <rPr>
        <sz val="10"/>
        <rFont val="Arial"/>
        <family val="2"/>
      </rPr>
      <t xml:space="preserve"> (Passif à court terme)</t>
    </r>
  </si>
  <si>
    <t>Mesure la capacité de l'entreprise à respecter ses engagements à court terme à l'aide de ses éléments d'actif les plus liquides (encaisse et comptes clients)</t>
  </si>
  <si>
    <r>
      <t xml:space="preserve">Un ratio de 1:1 est considéré acceptable
</t>
    </r>
    <r>
      <rPr>
        <b/>
        <sz val="10"/>
        <rFont val="Arial"/>
        <family val="2"/>
        <charset val="204"/>
      </rPr>
      <t>Élevé</t>
    </r>
    <r>
      <rPr>
        <sz val="10"/>
        <rFont val="Arial"/>
        <family val="2"/>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family val="2"/>
      </rPr>
      <t>- Voir ci-dessus (fonds de roulement)</t>
    </r>
  </si>
  <si>
    <r>
      <rPr>
        <sz val="20"/>
        <color theme="1"/>
        <rFont val="Calibri"/>
        <family val="2"/>
        <scheme val="minor"/>
      </rPr>
      <t>[</t>
    </r>
    <r>
      <rPr>
        <sz val="10"/>
        <rFont val="Arial"/>
        <family val="2"/>
      </rPr>
      <t xml:space="preserve">Bénéfice net avant impôt </t>
    </r>
    <r>
      <rPr>
        <sz val="16"/>
        <color theme="1"/>
        <rFont val="Calibri"/>
        <family val="2"/>
        <scheme val="minor"/>
      </rPr>
      <t>÷</t>
    </r>
    <r>
      <rPr>
        <sz val="10"/>
        <rFont val="Arial"/>
        <family val="2"/>
      </rPr>
      <t xml:space="preserve"> (Passif à long terme + Capitaux propres)</t>
    </r>
    <r>
      <rPr>
        <sz val="20"/>
        <color theme="1"/>
        <rFont val="Calibri"/>
        <family val="2"/>
        <scheme val="minor"/>
      </rPr>
      <t>]</t>
    </r>
    <r>
      <rPr>
        <sz val="10"/>
        <rFont val="Arial"/>
        <family val="2"/>
      </rPr>
      <t xml:space="preserve">   X 100</t>
    </r>
  </si>
  <si>
    <t xml:space="preserve">États des résultats </t>
  </si>
  <si>
    <t>Pour la période du 1er janvier 2021 au 31 décembre 2021</t>
  </si>
  <si>
    <t>Résultats comparatifs</t>
  </si>
  <si>
    <t>Tableau des indices de performance</t>
  </si>
  <si>
    <t>1er semestre</t>
  </si>
  <si>
    <t>Les gâteries</t>
  </si>
  <si>
    <t>Gâterie 1</t>
  </si>
  <si>
    <t>Gâterie 2</t>
  </si>
  <si>
    <t>Gâterie 3</t>
  </si>
  <si>
    <t>Gâterie 4</t>
  </si>
  <si>
    <t>Gâterie 5</t>
  </si>
  <si>
    <t>Gâterie 6</t>
  </si>
  <si>
    <t>Gâterie 7</t>
  </si>
  <si>
    <t>Gâterie 8</t>
  </si>
  <si>
    <t>Gâterie 9</t>
  </si>
  <si>
    <t>Gâterie 10</t>
  </si>
  <si>
    <t>Gâterie 11</t>
  </si>
  <si>
    <t>Gâterie 12</t>
  </si>
  <si>
    <t>Les cafés gâteries</t>
  </si>
  <si>
    <t>Café gâterie le spécial 1</t>
  </si>
  <si>
    <t>Café gâterie le spécial 2</t>
  </si>
  <si>
    <t>Café gâterie le spécial 3</t>
  </si>
  <si>
    <t>Café gâterie le spécial 4</t>
  </si>
  <si>
    <t>Café gâterie le spécial 5</t>
  </si>
  <si>
    <t>Café gâterie le spécial 6</t>
  </si>
  <si>
    <t>Café gâterie le spécial 7</t>
  </si>
  <si>
    <t>Café gâterie le spécial 8</t>
  </si>
  <si>
    <t>Café gâterie le spécial 9</t>
  </si>
  <si>
    <t>Café gâterie le spécial 10</t>
  </si>
  <si>
    <t>Café gâterie le spécial 11</t>
  </si>
  <si>
    <t>Café gâterie le spécial 12</t>
  </si>
  <si>
    <t>OFFRE TOTALE AVEC LES GÂTERIES ET LES CAFÉS GÂTERIES</t>
  </si>
  <si>
    <t>2e semestre</t>
  </si>
  <si>
    <t>CmO—PmO—Beverage Cost—Marge brute</t>
  </si>
  <si>
    <t>CmO—PmO—Food Cost—BmO</t>
  </si>
  <si>
    <t>CmO—PmO—F&amp;B cost moyen offert—Marge brute</t>
  </si>
  <si>
    <t>F&amp;BCmO</t>
  </si>
  <si>
    <t xml:space="preserve">« Food &amp; Beverage Cost » </t>
  </si>
  <si>
    <t>Prix de vente par produit offert</t>
  </si>
  <si>
    <t>Marge brute gagnée sur la vente de chaque produit offert</t>
  </si>
  <si>
    <t>Musique d'ambiance (avec gestion à l'interne )</t>
  </si>
  <si>
    <t>Emprunt hypothécaire 2</t>
  </si>
  <si>
    <t>Emprunt hypothécaire 3</t>
  </si>
  <si>
    <t>Emprunt hypothécaire 4</t>
  </si>
  <si>
    <t>Emprunt hypothécaire 5</t>
  </si>
  <si>
    <t>Emprunt hypothécaire 6</t>
  </si>
  <si>
    <t>Emprunt hypothécaire 7</t>
  </si>
  <si>
    <t>Emprunt hypothécaire 8</t>
  </si>
  <si>
    <t>Emprunt hypothécaire 9</t>
  </si>
  <si>
    <t>Emprunt hypothécaire 1 (150 000 $ au taux de 4,75 % / années)</t>
  </si>
  <si>
    <t>Coûts des ressources alimentaires pour chaque produit offert (voir recettes standardisées)</t>
  </si>
  <si>
    <t>Associations, droits et cotisations (ARQ et autres)</t>
  </si>
  <si>
    <t>Frais de banque (Frais fixe mensuel 100 $ par mois + frais d'ouverture du dossier 1500 $)</t>
  </si>
  <si>
    <t>Restaurant Moyen avec service restreint</t>
  </si>
  <si>
    <t>Chez Les Petites Gâteries &amp; Cie.</t>
  </si>
  <si>
    <t>LISTE DE PRODUITS ET DE PRIX (JANVIER)</t>
  </si>
  <si>
    <t>LISTE DE PRODUITS ET DE PRIX (FÉVRIER)</t>
  </si>
  <si>
    <t>LISTE DE PRODUITS ET DE PRIX (MARS)</t>
  </si>
  <si>
    <t>LISTE DE PRODUITS ET DE PRIX (AVRIL)</t>
  </si>
  <si>
    <t>LISTE DE PRODUITS ET DE PRIX (MAI)</t>
  </si>
  <si>
    <t>LISTE DE PRODUITS ET DE PRIX (JUIN)</t>
  </si>
  <si>
    <t>LISTE DE PRODUITS ET DE PRIX (JUILLET)</t>
  </si>
  <si>
    <t>LISTE DE PRODUITS ET DE PRIX (AOÛT)</t>
  </si>
  <si>
    <t>LISTE DE PRODUITS ET DE PRIX (SEPTEMBRE)</t>
  </si>
  <si>
    <t>LISTE DE PRODUITS ET DE PRIX (OCTOBRE)</t>
  </si>
  <si>
    <t>LISTE DE PRODUITS ET DE PRIX (NOVEMBRE)</t>
  </si>
  <si>
    <t>LISTE DE PRODUITS ET DE PRIX (DÉCEMBRE)</t>
  </si>
  <si>
    <t>LISTE DE PRODUITS ET DE PRIX (ANNÉE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</si>
</sst>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4" formatCode="_ * #,##0.00_)\ &quot;$&quot;_ ;_ * \(#,##0.00\)\ &quot;$&quot;_ ;_ * &quot;-&quot;??_)\ &quot;$&quot;_ ;_ @_ "/>
    <numFmt numFmtId="164" formatCode="&quot;$&quot;#,##0_);\(&quot;$&quot;#,##0\)"/>
    <numFmt numFmtId="165" formatCode="_(&quot;$&quot;* #,##0_);_(&quot;$&quot;* \(#,##0\);_(&quot;$&quot;* &quot;-&quot;_);_(@_)"/>
    <numFmt numFmtId="166" formatCode="_(&quot;$&quot;* #,##0.00_);_(&quot;$&quot;* \(#,##0.00\);_(&quot;$&quot;* &quot;-&quot;??_);_(@_)"/>
    <numFmt numFmtId="167" formatCode="&quot;$&quot;#,##0.00_);\(&quot;$&quot;#,##0.00\)"/>
    <numFmt numFmtId="168" formatCode="_ * #,##0_)\ _$_ ;_ * \(#,##0\)\ _$_ ;_ * &quot;-&quot;_)\ _$_ ;_ @_ "/>
    <numFmt numFmtId="169" formatCode="_ * #,##0.00_)\ _$_ ;_ * \(#,##0.00\)\ _$_ ;_ * &quot;-&quot;??_)\ _$_ ;_ @_ "/>
    <numFmt numFmtId="170" formatCode="[$-C0C]d\ mmm\ yyyy;@"/>
    <numFmt numFmtId="171" formatCode="[$-C0C]d\ mmmm\,\ yyyy;@"/>
    <numFmt numFmtId="172" formatCode="_ * #,##0.00_)\ [$€-1]_ ;_ * \(#,##0.00\)\ [$€-1]_ ;_ * &quot;-&quot;??_)\ [$€-1]_ "/>
    <numFmt numFmtId="173" formatCode="_-* #,##0.00\ &quot;$&quot;_-;_-* #,##0.00\ &quot;$&quot;\-;_-* &quot;-&quot;??\ &quot;$&quot;_-;_-@_-"/>
    <numFmt numFmtId="174" formatCode="0.0"/>
    <numFmt numFmtId="175" formatCode="0.0%"/>
    <numFmt numFmtId="176" formatCode="#,##0.00&quot;$&quot;"/>
    <numFmt numFmtId="177" formatCode="#,##0.00\ &quot;$&quot;"/>
    <numFmt numFmtId="178" formatCode="_-* #,##0.00&quot;$&quot;_-;\-* #,##0.00&quot;$&quot;_-;_-* &quot;-&quot;??&quot;$&quot;_-;_-@_-"/>
    <numFmt numFmtId="179" formatCode="_ * #,##0.00_)\ _$_ ;_ * \(#,##0.00\)\ _$_ ;_ * &quot;-&quot;_)\ _$_ ;_ @_ "/>
    <numFmt numFmtId="180" formatCode="0.0000"/>
    <numFmt numFmtId="181" formatCode="#,##0.0000"/>
    <numFmt numFmtId="182" formatCode="_ * #,##0_)\ &quot;$&quot;_ ;_ * \(#,##0\)\ &quot;$&quot;_ ;_ * &quot;-&quot;??_)\ &quot;$&quot;_ ;_ @_ "/>
    <numFmt numFmtId="183" formatCode="#,##0\ &quot;$&quot;"/>
    <numFmt numFmtId="184" formatCode="_ * #,##0.0000_)\ &quot;$&quot;_ ;_ * \(#,##0.0000\)\ &quot;$&quot;_ ;_ * &quot;-&quot;????_)\ &quot;$&quot;_ ;_ @_ "/>
    <numFmt numFmtId="185" formatCode="0.0000%"/>
    <numFmt numFmtId="186" formatCode="_ * #,##0.00000_)\ &quot;$&quot;_ ;_ * \(#,##0.00000\)\ &quot;$&quot;_ ;_ * &quot;-&quot;?????_)\ &quot;$&quot;_ ;_ @_ "/>
    <numFmt numFmtId="187" formatCode="0.00000%"/>
  </numFmts>
  <fonts count="134"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sz val="9"/>
      <color indexed="81"/>
      <name val="Arial"/>
      <family val="2"/>
    </font>
    <font>
      <b/>
      <sz val="10"/>
      <color indexed="81"/>
      <name val="Arial"/>
      <family val="2"/>
    </font>
    <font>
      <b/>
      <u/>
      <sz val="12"/>
      <color theme="1"/>
      <name val="Arial"/>
      <family val="2"/>
    </font>
    <font>
      <b/>
      <u/>
      <sz val="10"/>
      <color theme="0"/>
      <name val="Arial"/>
      <family val="2"/>
      <charset val="204"/>
    </font>
    <font>
      <b/>
      <u/>
      <sz val="10"/>
      <color indexed="9"/>
      <name val="Arial"/>
      <family val="2"/>
      <charset val="204"/>
    </font>
    <font>
      <sz val="9"/>
      <color rgb="FF000000"/>
      <name val="Arial"/>
      <family val="2"/>
    </font>
    <font>
      <sz val="12"/>
      <color theme="1"/>
      <name val="Calibri"/>
      <family val="2"/>
      <charset val="134"/>
      <scheme val="minor"/>
    </font>
    <font>
      <b/>
      <sz val="12"/>
      <color theme="1"/>
      <name val="Calibri"/>
      <family val="2"/>
      <charset val="238"/>
      <scheme val="minor"/>
    </font>
    <font>
      <sz val="10"/>
      <color rgb="FF002060"/>
      <name val="Arial"/>
      <family val="2"/>
    </font>
    <font>
      <b/>
      <sz val="16"/>
      <name val="Arial"/>
      <family val="2"/>
    </font>
    <font>
      <b/>
      <sz val="10"/>
      <color rgb="FF000090"/>
      <name val="Arial"/>
      <family val="2"/>
    </font>
    <font>
      <sz val="10"/>
      <name val="Arial"/>
      <family val="2"/>
      <charset val="204"/>
    </font>
    <font>
      <sz val="20"/>
      <color theme="1"/>
      <name val="Calibri"/>
      <family val="2"/>
      <scheme val="minor"/>
    </font>
    <font>
      <sz val="16"/>
      <color theme="1"/>
      <name val="Calibri"/>
      <family val="2"/>
      <scheme val="minor"/>
    </font>
    <font>
      <sz val="10"/>
      <color rgb="FF000090"/>
      <name val="Arial"/>
      <family val="2"/>
    </font>
    <font>
      <b/>
      <sz val="10"/>
      <color rgb="FF002060"/>
      <name val="Arial"/>
      <family val="2"/>
    </font>
    <font>
      <sz val="16"/>
      <name val="Arial"/>
      <family val="2"/>
    </font>
    <font>
      <b/>
      <u/>
      <sz val="12"/>
      <name val="Arial Black"/>
      <family val="2"/>
    </font>
    <font>
      <b/>
      <u val="singleAccounting"/>
      <sz val="12"/>
      <name val="Arial"/>
      <family val="2"/>
    </font>
    <font>
      <b/>
      <sz val="12"/>
      <color rgb="FF0070C0"/>
      <name val="Arial"/>
      <family val="2"/>
    </font>
    <font>
      <b/>
      <u val="singleAccounting"/>
      <sz val="12"/>
      <color rgb="FF0070C0"/>
      <name val="Arial"/>
      <family val="2"/>
    </font>
    <font>
      <b/>
      <u/>
      <sz val="12"/>
      <name val="Arial"/>
      <family val="2"/>
      <charset val="204"/>
    </font>
    <font>
      <sz val="12"/>
      <color theme="0"/>
      <name val="Arial"/>
      <family val="2"/>
    </font>
    <font>
      <b/>
      <sz val="12"/>
      <color rgb="FF0070C0"/>
      <name val="Arial"/>
      <family val="2"/>
      <charset val="204"/>
    </font>
    <font>
      <sz val="12"/>
      <name val="Arial Black"/>
      <family val="2"/>
    </font>
    <font>
      <u/>
      <sz val="12"/>
      <name val="Arial"/>
      <family val="2"/>
    </font>
    <font>
      <b/>
      <i/>
      <sz val="12"/>
      <name val="Arial"/>
      <family val="2"/>
    </font>
    <font>
      <b/>
      <sz val="12"/>
      <name val="Arial Black"/>
      <family val="2"/>
    </font>
    <font>
      <b/>
      <sz val="12"/>
      <name val="Zapf Dingbats"/>
      <charset val="2"/>
    </font>
    <font>
      <b/>
      <u val="doubleAccounting"/>
      <sz val="12"/>
      <name val="Arial"/>
      <family val="2"/>
    </font>
    <font>
      <b/>
      <sz val="17"/>
      <color theme="0"/>
      <name val="Arial"/>
      <family val="2"/>
    </font>
    <font>
      <b/>
      <sz val="17"/>
      <name val="Arial"/>
      <family val="2"/>
    </font>
    <font>
      <sz val="12"/>
      <name val="Verdana"/>
      <family val="2"/>
    </font>
    <font>
      <b/>
      <sz val="12"/>
      <name val="Verdana"/>
      <family val="2"/>
    </font>
    <font>
      <b/>
      <sz val="10"/>
      <name val="Verdana"/>
      <family val="2"/>
    </font>
    <font>
      <b/>
      <u/>
      <sz val="12"/>
      <name val="Arial"/>
      <family val="2"/>
    </font>
    <font>
      <b/>
      <sz val="9"/>
      <color indexed="8"/>
      <name val="Verdana"/>
      <family val="2"/>
    </font>
    <font>
      <sz val="9"/>
      <color indexed="8"/>
      <name val="Verdana"/>
      <family val="2"/>
    </font>
    <font>
      <b/>
      <sz val="9"/>
      <color rgb="FF000000"/>
      <name val="Verdana"/>
      <family val="2"/>
    </font>
    <font>
      <sz val="9"/>
      <color rgb="FF000000"/>
      <name val="Verdana"/>
      <family val="2"/>
    </font>
    <font>
      <b/>
      <sz val="10"/>
      <color theme="1"/>
      <name val="Arial"/>
      <family val="2"/>
      <charset val="204"/>
    </font>
  </fonts>
  <fills count="34">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s>
  <borders count="11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
      <left style="thick">
        <color auto="1"/>
      </left>
      <right style="thick">
        <color auto="1"/>
      </right>
      <top style="medium">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hair">
        <color auto="1"/>
      </right>
      <top style="hair">
        <color auto="1"/>
      </top>
      <bottom style="hair">
        <color auto="1"/>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30">
    <xf numFmtId="0" fontId="0" fillId="0" borderId="0"/>
    <xf numFmtId="49" fontId="18" fillId="0" borderId="0">
      <alignment horizontal="left" vertical="top"/>
    </xf>
    <xf numFmtId="0" fontId="4" fillId="8" borderId="33" applyNumberFormat="0" applyFont="0" applyAlignment="0" applyProtection="0"/>
    <xf numFmtId="172" fontId="4" fillId="0" borderId="0" applyFont="0" applyFill="0" applyBorder="0" applyAlignment="0" applyProtection="0"/>
    <xf numFmtId="0" fontId="19" fillId="0" borderId="0" applyNumberFormat="0" applyFill="0" applyBorder="0" applyAlignment="0" applyProtection="0">
      <alignment vertical="top"/>
      <protection locked="0"/>
    </xf>
    <xf numFmtId="173"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0" fontId="20" fillId="0" borderId="0"/>
    <xf numFmtId="0" fontId="4" fillId="0" borderId="0"/>
    <xf numFmtId="9" fontId="4" fillId="0" borderId="0" applyFont="0" applyFill="0" applyBorder="0" applyAlignment="0" applyProtection="0"/>
    <xf numFmtId="0" fontId="21" fillId="9" borderId="0" applyNumberFormat="0" applyBorder="0" applyAlignment="0" applyProtection="0"/>
    <xf numFmtId="0" fontId="22" fillId="0" borderId="0" applyNumberFormat="0" applyFill="0" applyBorder="0" applyAlignment="0" applyProtection="0"/>
    <xf numFmtId="0" fontId="23" fillId="0" borderId="34" applyNumberFormat="0" applyFill="0" applyAlignment="0" applyProtection="0"/>
    <xf numFmtId="0" fontId="24" fillId="0" borderId="35" applyNumberFormat="0" applyFill="0" applyAlignment="0" applyProtection="0"/>
    <xf numFmtId="0" fontId="25" fillId="0" borderId="36" applyNumberFormat="0" applyFill="0" applyAlignment="0" applyProtection="0"/>
    <xf numFmtId="0" fontId="25" fillId="0" borderId="0" applyNumberFormat="0" applyFill="0" applyBorder="0" applyAlignment="0" applyProtection="0"/>
    <xf numFmtId="0" fontId="26" fillId="10" borderId="3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0" fontId="27" fillId="0" borderId="0" applyNumberFormat="0" applyFill="0" applyBorder="0" applyAlignment="0" applyProtection="0"/>
    <xf numFmtId="0" fontId="99" fillId="0" borderId="0"/>
  </cellStyleXfs>
  <cellXfs count="1364">
    <xf numFmtId="0" fontId="0" fillId="0" borderId="0" xfId="0"/>
    <xf numFmtId="0" fontId="9" fillId="2" borderId="1" xfId="0" applyFont="1" applyFill="1" applyBorder="1" applyAlignment="1">
      <alignment horizontal="center"/>
    </xf>
    <xf numFmtId="0" fontId="10" fillId="2" borderId="2"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14" fontId="10" fillId="2" borderId="6" xfId="0" applyNumberFormat="1" applyFont="1" applyFill="1" applyBorder="1"/>
    <xf numFmtId="14" fontId="10" fillId="2" borderId="7" xfId="0" applyNumberFormat="1" applyFont="1" applyFill="1" applyBorder="1"/>
    <xf numFmtId="49" fontId="0" fillId="2" borderId="11" xfId="0" applyNumberFormat="1" applyFill="1" applyBorder="1" applyAlignment="1">
      <alignment horizontal="center"/>
    </xf>
    <xf numFmtId="1" fontId="11" fillId="3" borderId="15" xfId="0" applyNumberFormat="1" applyFont="1" applyFill="1" applyBorder="1" applyAlignment="1">
      <alignment horizontal="center"/>
    </xf>
    <xf numFmtId="1" fontId="11" fillId="3" borderId="3" xfId="0" applyNumberFormat="1" applyFont="1" applyFill="1" applyBorder="1" applyAlignment="1">
      <alignment horizontal="center"/>
    </xf>
    <xf numFmtId="1" fontId="11" fillId="3" borderId="16" xfId="0" applyNumberFormat="1" applyFont="1" applyFill="1" applyBorder="1" applyAlignment="1">
      <alignment horizontal="center"/>
    </xf>
    <xf numFmtId="0" fontId="11" fillId="3" borderId="20" xfId="0" applyFont="1" applyFill="1" applyBorder="1" applyAlignment="1">
      <alignment horizontal="center" wrapText="1"/>
    </xf>
    <xf numFmtId="1" fontId="13" fillId="0" borderId="9" xfId="0" applyNumberFormat="1" applyFont="1" applyBorder="1" applyAlignment="1" applyProtection="1">
      <alignment horizontal="center"/>
      <protection locked="0"/>
    </xf>
    <xf numFmtId="0" fontId="11" fillId="3" borderId="22" xfId="0" applyFont="1" applyFill="1" applyBorder="1" applyAlignment="1">
      <alignment horizontal="center" wrapText="1"/>
    </xf>
    <xf numFmtId="1" fontId="13" fillId="0" borderId="23" xfId="0" applyNumberFormat="1" applyFont="1" applyBorder="1" applyAlignment="1" applyProtection="1">
      <alignment horizontal="center"/>
      <protection locked="0"/>
    </xf>
    <xf numFmtId="0" fontId="11" fillId="3" borderId="24" xfId="0" applyFont="1" applyFill="1" applyBorder="1" applyAlignment="1">
      <alignment horizontal="center" wrapText="1"/>
    </xf>
    <xf numFmtId="0" fontId="14" fillId="0" borderId="11" xfId="0" applyFont="1" applyBorder="1" applyAlignment="1">
      <alignment horizontal="center" wrapText="1"/>
    </xf>
    <xf numFmtId="1" fontId="15" fillId="0" borderId="11" xfId="0" applyNumberFormat="1" applyFont="1" applyBorder="1" applyAlignment="1">
      <alignment horizontal="center"/>
    </xf>
    <xf numFmtId="0" fontId="11" fillId="3" borderId="6" xfId="0" applyFont="1" applyFill="1" applyBorder="1" applyAlignment="1">
      <alignment horizontal="center" wrapText="1"/>
    </xf>
    <xf numFmtId="0" fontId="11" fillId="3" borderId="4" xfId="0" applyFont="1" applyFill="1" applyBorder="1" applyAlignment="1">
      <alignment horizontal="center" wrapText="1"/>
    </xf>
    <xf numFmtId="0" fontId="14" fillId="0" borderId="26" xfId="0" applyFont="1" applyBorder="1" applyAlignment="1" applyProtection="1">
      <alignment horizontal="center" wrapText="1"/>
    </xf>
    <xf numFmtId="0" fontId="14" fillId="0" borderId="26" xfId="0" applyFont="1" applyBorder="1" applyAlignment="1">
      <alignment horizontal="center" wrapText="1"/>
    </xf>
    <xf numFmtId="1" fontId="13"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5" fillId="0" borderId="25" xfId="0" applyNumberFormat="1" applyFont="1" applyBorder="1" applyAlignment="1">
      <alignment horizontal="center"/>
    </xf>
    <xf numFmtId="1" fontId="13" fillId="0" borderId="29" xfId="0" applyNumberFormat="1" applyFont="1" applyFill="1" applyBorder="1" applyAlignment="1">
      <alignment horizontal="center"/>
    </xf>
    <xf numFmtId="170" fontId="0" fillId="0" borderId="0" xfId="0" applyNumberFormat="1"/>
    <xf numFmtId="1" fontId="13"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xf numFmtId="166" fontId="0" fillId="0" borderId="0" xfId="0" applyNumberFormat="1"/>
    <xf numFmtId="0" fontId="11" fillId="4" borderId="6" xfId="0" applyFont="1" applyFill="1" applyBorder="1" applyAlignment="1">
      <alignment horizontal="center" wrapText="1"/>
    </xf>
    <xf numFmtId="0" fontId="14"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8" fillId="0" borderId="0" xfId="0" applyFont="1"/>
    <xf numFmtId="10" fontId="17" fillId="0" borderId="0" xfId="0" applyNumberFormat="1" applyFont="1"/>
    <xf numFmtId="1" fontId="8" fillId="0" borderId="0" xfId="0" applyNumberFormat="1" applyFont="1" applyAlignment="1">
      <alignment horizontal="center"/>
    </xf>
    <xf numFmtId="1" fontId="8" fillId="0" borderId="39" xfId="0" applyNumberFormat="1" applyFont="1" applyBorder="1" applyAlignment="1">
      <alignment horizontal="center"/>
    </xf>
    <xf numFmtId="171" fontId="8" fillId="0" borderId="9" xfId="0" applyNumberFormat="1" applyFont="1" applyFill="1" applyBorder="1"/>
    <xf numFmtId="171" fontId="8" fillId="0" borderId="22" xfId="0" applyNumberFormat="1" applyFont="1" applyBorder="1"/>
    <xf numFmtId="171" fontId="8" fillId="0" borderId="23" xfId="0" applyNumberFormat="1" applyFont="1" applyFill="1" applyBorder="1"/>
    <xf numFmtId="171" fontId="8" fillId="0" borderId="24" xfId="0" applyNumberFormat="1" applyFont="1" applyBorder="1"/>
    <xf numFmtId="171" fontId="8" fillId="0" borderId="11" xfId="0" applyNumberFormat="1" applyFont="1" applyFill="1" applyBorder="1"/>
    <xf numFmtId="1" fontId="0" fillId="7" borderId="42" xfId="0" applyNumberFormat="1" applyFill="1" applyBorder="1" applyAlignment="1">
      <alignment horizontal="center" wrapText="1"/>
    </xf>
    <xf numFmtId="171" fontId="8" fillId="0" borderId="43" xfId="0" applyNumberFormat="1" applyFont="1" applyBorder="1" applyAlignment="1">
      <alignment wrapText="1"/>
    </xf>
    <xf numFmtId="171" fontId="0" fillId="7" borderId="45" xfId="0" applyNumberFormat="1" applyFill="1" applyBorder="1" applyAlignment="1">
      <alignment wrapText="1"/>
    </xf>
    <xf numFmtId="171" fontId="8" fillId="0" borderId="46" xfId="0" applyNumberFormat="1" applyFont="1" applyBorder="1" applyAlignment="1">
      <alignment wrapText="1"/>
    </xf>
    <xf numFmtId="171" fontId="0" fillId="7" borderId="22" xfId="0" applyNumberFormat="1" applyFill="1" applyBorder="1" applyAlignment="1">
      <alignment wrapText="1"/>
    </xf>
    <xf numFmtId="171" fontId="8" fillId="0" borderId="23" xfId="0" applyNumberFormat="1" applyFont="1" applyBorder="1" applyAlignment="1">
      <alignment wrapText="1"/>
    </xf>
    <xf numFmtId="171" fontId="8" fillId="7" borderId="45" xfId="0" applyNumberFormat="1" applyFont="1" applyFill="1" applyBorder="1"/>
    <xf numFmtId="171" fontId="8" fillId="0" borderId="46" xfId="0" applyNumberFormat="1" applyFont="1" applyFill="1" applyBorder="1"/>
    <xf numFmtId="171" fontId="8" fillId="7" borderId="24" xfId="0" applyNumberFormat="1" applyFont="1" applyFill="1" applyBorder="1"/>
    <xf numFmtId="1" fontId="0" fillId="7" borderId="20" xfId="0" applyNumberFormat="1" applyFill="1" applyBorder="1" applyAlignment="1">
      <alignment horizontal="center" wrapText="1"/>
    </xf>
    <xf numFmtId="171" fontId="8" fillId="0" borderId="21" xfId="0" applyNumberFormat="1" applyFont="1" applyBorder="1" applyAlignment="1">
      <alignment wrapText="1"/>
    </xf>
    <xf numFmtId="0" fontId="0" fillId="0" borderId="0" xfId="0" applyFill="1"/>
    <xf numFmtId="0" fontId="8" fillId="0" borderId="0" xfId="0" applyFont="1" applyFill="1" applyBorder="1"/>
    <xf numFmtId="37" fontId="15" fillId="0" borderId="25" xfId="0" applyNumberFormat="1" applyFont="1" applyBorder="1" applyAlignment="1">
      <alignment horizontal="center"/>
    </xf>
    <xf numFmtId="37" fontId="13" fillId="0" borderId="9" xfId="0" applyNumberFormat="1" applyFont="1" applyBorder="1" applyAlignment="1" applyProtection="1">
      <alignment horizontal="center"/>
      <protection locked="0"/>
    </xf>
    <xf numFmtId="37" fontId="13" fillId="0" borderId="23" xfId="0" applyNumberFormat="1" applyFont="1" applyBorder="1" applyAlignment="1" applyProtection="1">
      <alignment horizontal="center"/>
      <protection locked="0"/>
    </xf>
    <xf numFmtId="1" fontId="17"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5" fillId="0" borderId="29" xfId="0" applyNumberFormat="1" applyFont="1" applyBorder="1" applyAlignment="1" applyProtection="1">
      <alignment horizontal="center"/>
    </xf>
    <xf numFmtId="1" fontId="8" fillId="0" borderId="10" xfId="0" applyNumberFormat="1" applyFont="1" applyBorder="1" applyAlignment="1" applyProtection="1">
      <alignment horizontal="center"/>
    </xf>
    <xf numFmtId="1" fontId="8" fillId="0" borderId="40" xfId="0" applyNumberFormat="1" applyFont="1" applyBorder="1" applyAlignment="1" applyProtection="1">
      <alignment horizontal="center"/>
    </xf>
    <xf numFmtId="1" fontId="35" fillId="0" borderId="38" xfId="0" applyNumberFormat="1" applyFont="1" applyBorder="1" applyAlignment="1" applyProtection="1">
      <alignment horizontal="center"/>
    </xf>
    <xf numFmtId="1" fontId="35" fillId="0" borderId="43" xfId="0" applyNumberFormat="1" applyFont="1" applyBorder="1" applyAlignment="1" applyProtection="1">
      <alignment horizontal="center"/>
    </xf>
    <xf numFmtId="1" fontId="35" fillId="0" borderId="23" xfId="0" applyNumberFormat="1" applyFont="1" applyBorder="1" applyAlignment="1" applyProtection="1">
      <alignment horizontal="center"/>
    </xf>
    <xf numFmtId="1" fontId="13" fillId="2" borderId="25" xfId="0" applyNumberFormat="1" applyFont="1" applyFill="1" applyBorder="1" applyAlignment="1" applyProtection="1">
      <alignment horizontal="center"/>
      <protection locked="0"/>
    </xf>
    <xf numFmtId="1" fontId="13" fillId="2" borderId="32" xfId="0" applyNumberFormat="1" applyFont="1" applyFill="1" applyBorder="1" applyAlignment="1" applyProtection="1">
      <alignment horizontal="center"/>
      <protection locked="0"/>
    </xf>
    <xf numFmtId="1" fontId="13" fillId="2" borderId="48" xfId="0" applyNumberFormat="1" applyFont="1" applyFill="1" applyBorder="1" applyAlignment="1" applyProtection="1">
      <alignment horizontal="center"/>
      <protection locked="0"/>
    </xf>
    <xf numFmtId="1" fontId="33" fillId="6" borderId="17" xfId="0" applyNumberFormat="1" applyFont="1" applyFill="1" applyBorder="1" applyAlignment="1">
      <alignment horizontal="center"/>
    </xf>
    <xf numFmtId="1" fontId="33" fillId="6" borderId="18" xfId="0" applyNumberFormat="1" applyFont="1" applyFill="1" applyBorder="1" applyAlignment="1">
      <alignment horizontal="center"/>
    </xf>
    <xf numFmtId="1" fontId="33" fillId="6" borderId="19" xfId="0" applyNumberFormat="1" applyFont="1" applyFill="1" applyBorder="1" applyAlignment="1">
      <alignment horizontal="center"/>
    </xf>
    <xf numFmtId="170" fontId="8" fillId="2" borderId="18" xfId="0" applyNumberFormat="1" applyFont="1" applyFill="1" applyBorder="1" applyAlignment="1">
      <alignment horizontal="center"/>
    </xf>
    <xf numFmtId="170" fontId="8" fillId="2" borderId="19" xfId="0" applyNumberFormat="1" applyFont="1" applyFill="1" applyBorder="1" applyAlignment="1">
      <alignment horizontal="center"/>
    </xf>
    <xf numFmtId="168" fontId="8" fillId="2" borderId="18" xfId="0" applyNumberFormat="1" applyFont="1" applyFill="1" applyBorder="1" applyAlignment="1">
      <alignment horizontal="center"/>
    </xf>
    <xf numFmtId="170" fontId="0" fillId="2" borderId="18" xfId="0" applyNumberFormat="1" applyFill="1" applyBorder="1" applyAlignment="1">
      <alignment horizontal="center"/>
    </xf>
    <xf numFmtId="170" fontId="0" fillId="2" borderId="19" xfId="0" applyNumberFormat="1" applyFill="1" applyBorder="1" applyAlignment="1">
      <alignment horizontal="center"/>
    </xf>
    <xf numFmtId="3" fontId="8" fillId="2" borderId="2" xfId="0" applyNumberFormat="1" applyFont="1" applyFill="1" applyBorder="1" applyAlignment="1">
      <alignment horizontal="center"/>
    </xf>
    <xf numFmtId="4" fontId="8" fillId="2" borderId="7" xfId="0" applyNumberFormat="1" applyFont="1" applyFill="1" applyBorder="1" applyAlignment="1">
      <alignment horizontal="center"/>
    </xf>
    <xf numFmtId="0" fontId="0" fillId="2" borderId="8" xfId="0" applyFill="1" applyBorder="1" applyAlignment="1"/>
    <xf numFmtId="0" fontId="8" fillId="2" borderId="2" xfId="0" applyFont="1" applyFill="1" applyBorder="1"/>
    <xf numFmtId="0" fontId="8" fillId="2" borderId="7" xfId="0" applyFont="1" applyFill="1" applyBorder="1"/>
    <xf numFmtId="0" fontId="0" fillId="2" borderId="1" xfId="0" applyFill="1" applyBorder="1"/>
    <xf numFmtId="0" fontId="0" fillId="2" borderId="6" xfId="0" applyFill="1" applyBorder="1"/>
    <xf numFmtId="0" fontId="9" fillId="2" borderId="1" xfId="0" applyFont="1" applyFill="1" applyBorder="1" applyAlignment="1" applyProtection="1">
      <alignment horizontal="center"/>
    </xf>
    <xf numFmtId="0" fontId="10" fillId="2" borderId="2" xfId="0" applyFont="1" applyFill="1" applyBorder="1" applyAlignment="1" applyProtection="1">
      <alignment horizontal="center"/>
    </xf>
    <xf numFmtId="0" fontId="8" fillId="2" borderId="9" xfId="0" applyFont="1" applyFill="1" applyBorder="1" applyAlignment="1" applyProtection="1">
      <alignment horizontal="center"/>
    </xf>
    <xf numFmtId="0" fontId="8" fillId="2" borderId="10" xfId="0" applyFont="1" applyFill="1" applyBorder="1" applyAlignment="1" applyProtection="1">
      <alignment horizontal="center"/>
    </xf>
    <xf numFmtId="14" fontId="10" fillId="2" borderId="6" xfId="0" applyNumberFormat="1" applyFont="1" applyFill="1" applyBorder="1" applyProtection="1"/>
    <xf numFmtId="14" fontId="10"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1" fillId="3" borderId="16" xfId="0" applyNumberFormat="1" applyFont="1" applyFill="1" applyBorder="1" applyAlignment="1" applyProtection="1">
      <alignment horizontal="center"/>
    </xf>
    <xf numFmtId="1" fontId="11" fillId="3" borderId="5" xfId="0" applyNumberFormat="1" applyFont="1" applyFill="1" applyBorder="1" applyAlignment="1" applyProtection="1">
      <alignment horizontal="center"/>
    </xf>
    <xf numFmtId="0" fontId="11" fillId="3" borderId="20" xfId="0" applyFont="1" applyFill="1" applyBorder="1" applyAlignment="1" applyProtection="1">
      <alignment horizontal="center" wrapText="1"/>
    </xf>
    <xf numFmtId="0" fontId="29" fillId="0" borderId="21" xfId="0" applyFont="1" applyBorder="1" applyAlignment="1" applyProtection="1">
      <alignment horizontal="center" wrapText="1"/>
    </xf>
    <xf numFmtId="0" fontId="11" fillId="3" borderId="22" xfId="0" applyFont="1" applyFill="1" applyBorder="1" applyAlignment="1" applyProtection="1">
      <alignment horizontal="center" wrapText="1"/>
    </xf>
    <xf numFmtId="0" fontId="29" fillId="0" borderId="23" xfId="0" applyFont="1" applyBorder="1" applyAlignment="1" applyProtection="1">
      <alignment horizontal="center" wrapText="1"/>
    </xf>
    <xf numFmtId="0" fontId="11" fillId="3" borderId="4" xfId="0" applyFont="1" applyFill="1" applyBorder="1" applyAlignment="1" applyProtection="1">
      <alignment horizontal="center" wrapText="1"/>
    </xf>
    <xf numFmtId="0" fontId="29" fillId="0" borderId="16" xfId="0" applyFont="1" applyBorder="1" applyAlignment="1" applyProtection="1">
      <alignment horizontal="center" wrapText="1"/>
    </xf>
    <xf numFmtId="0" fontId="0" fillId="0" borderId="0" xfId="0" applyProtection="1"/>
    <xf numFmtId="1" fontId="39" fillId="6" borderId="13" xfId="0" applyNumberFormat="1" applyFont="1" applyFill="1" applyBorder="1" applyAlignment="1" applyProtection="1">
      <alignment horizontal="center"/>
    </xf>
    <xf numFmtId="10" fontId="39" fillId="6" borderId="17" xfId="0" applyNumberFormat="1" applyFont="1" applyFill="1" applyBorder="1" applyAlignment="1" applyProtection="1">
      <alignment horizontal="center"/>
    </xf>
    <xf numFmtId="10" fontId="39" fillId="6" borderId="18" xfId="0" applyNumberFormat="1" applyFont="1" applyFill="1" applyBorder="1" applyAlignment="1" applyProtection="1">
      <alignment horizontal="center"/>
    </xf>
    <xf numFmtId="10" fontId="39" fillId="6" borderId="19" xfId="0" applyNumberFormat="1" applyFont="1" applyFill="1" applyBorder="1" applyAlignment="1" applyProtection="1">
      <alignment horizontal="center"/>
    </xf>
    <xf numFmtId="1" fontId="41" fillId="6" borderId="18" xfId="0" applyNumberFormat="1" applyFont="1" applyFill="1" applyBorder="1" applyAlignment="1" applyProtection="1">
      <alignment horizontal="center"/>
    </xf>
    <xf numFmtId="1" fontId="41" fillId="6" borderId="19" xfId="0" applyNumberFormat="1" applyFont="1" applyFill="1" applyBorder="1" applyAlignment="1" applyProtection="1">
      <alignment horizontal="center"/>
    </xf>
    <xf numFmtId="174" fontId="39" fillId="6" borderId="27" xfId="0" applyNumberFormat="1" applyFont="1" applyFill="1" applyBorder="1" applyAlignment="1" applyProtection="1">
      <alignment horizontal="center"/>
    </xf>
    <xf numFmtId="174" fontId="39" fillId="6" borderId="28" xfId="0" applyNumberFormat="1" applyFont="1" applyFill="1" applyBorder="1" applyAlignment="1" applyProtection="1">
      <alignment horizontal="center"/>
    </xf>
    <xf numFmtId="175" fontId="39" fillId="6" borderId="27" xfId="0" applyNumberFormat="1" applyFont="1" applyFill="1" applyBorder="1" applyAlignment="1" applyProtection="1">
      <alignment horizontal="center"/>
    </xf>
    <xf numFmtId="175" fontId="39" fillId="6" borderId="28" xfId="0" applyNumberFormat="1" applyFont="1" applyFill="1" applyBorder="1" applyAlignment="1" applyProtection="1">
      <alignment horizontal="center"/>
    </xf>
    <xf numFmtId="1" fontId="42" fillId="12" borderId="48" xfId="0" applyNumberFormat="1" applyFont="1" applyFill="1" applyBorder="1" applyAlignment="1" applyProtection="1">
      <alignment horizontal="center"/>
    </xf>
    <xf numFmtId="1" fontId="30" fillId="3" borderId="17" xfId="0" applyNumberFormat="1" applyFont="1" applyFill="1" applyBorder="1" applyAlignment="1" applyProtection="1">
      <alignment horizontal="center"/>
    </xf>
    <xf numFmtId="1" fontId="33" fillId="3" borderId="17" xfId="0" applyNumberFormat="1" applyFont="1" applyFill="1" applyBorder="1" applyAlignment="1" applyProtection="1">
      <alignment horizontal="center"/>
    </xf>
    <xf numFmtId="1" fontId="12" fillId="3" borderId="17" xfId="0" applyNumberFormat="1" applyFont="1" applyFill="1" applyBorder="1" applyAlignment="1" applyProtection="1">
      <alignment horizontal="center"/>
    </xf>
    <xf numFmtId="1" fontId="12" fillId="3" borderId="28" xfId="0" applyNumberFormat="1" applyFont="1" applyFill="1" applyBorder="1" applyAlignment="1" applyProtection="1">
      <alignment horizontal="center"/>
    </xf>
    <xf numFmtId="0" fontId="11" fillId="3" borderId="13" xfId="0" applyFont="1" applyFill="1" applyBorder="1" applyAlignment="1">
      <alignment horizontal="center" wrapText="1"/>
    </xf>
    <xf numFmtId="170" fontId="8" fillId="2" borderId="13" xfId="0" applyNumberFormat="1" applyFont="1" applyFill="1" applyBorder="1" applyAlignment="1">
      <alignment horizontal="center"/>
    </xf>
    <xf numFmtId="170" fontId="8" fillId="2" borderId="17" xfId="0" applyNumberFormat="1" applyFont="1" applyFill="1" applyBorder="1" applyAlignment="1">
      <alignment horizontal="center"/>
    </xf>
    <xf numFmtId="171" fontId="8" fillId="2" borderId="13" xfId="0" applyNumberFormat="1" applyFont="1" applyFill="1" applyBorder="1" applyAlignment="1">
      <alignment horizontal="center"/>
    </xf>
    <xf numFmtId="171" fontId="8" fillId="2" borderId="17" xfId="0" applyNumberFormat="1" applyFont="1" applyFill="1" applyBorder="1" applyAlignment="1">
      <alignment horizontal="center"/>
    </xf>
    <xf numFmtId="37" fontId="15" fillId="0" borderId="11" xfId="0" applyNumberFormat="1" applyFont="1" applyBorder="1" applyAlignment="1">
      <alignment horizontal="center"/>
    </xf>
    <xf numFmtId="0" fontId="4" fillId="0" borderId="0" xfId="0" applyFont="1"/>
    <xf numFmtId="1" fontId="8" fillId="13" borderId="13" xfId="0" applyNumberFormat="1" applyFont="1" applyFill="1" applyBorder="1" applyAlignment="1">
      <alignment horizontal="center"/>
    </xf>
    <xf numFmtId="171" fontId="8" fillId="13" borderId="17" xfId="0" applyNumberFormat="1" applyFont="1" applyFill="1" applyBorder="1" applyAlignment="1">
      <alignment horizontal="center"/>
    </xf>
    <xf numFmtId="170" fontId="8" fillId="13" borderId="18" xfId="0" applyNumberFormat="1" applyFont="1" applyFill="1" applyBorder="1" applyAlignment="1">
      <alignment horizontal="center"/>
    </xf>
    <xf numFmtId="170" fontId="8" fillId="13" borderId="19" xfId="0" applyNumberFormat="1" applyFont="1" applyFill="1" applyBorder="1" applyAlignment="1">
      <alignment horizontal="center"/>
    </xf>
    <xf numFmtId="170" fontId="8" fillId="13" borderId="17" xfId="0" applyNumberFormat="1" applyFont="1" applyFill="1" applyBorder="1" applyAlignment="1">
      <alignment horizontal="left"/>
    </xf>
    <xf numFmtId="170" fontId="44" fillId="0" borderId="25" xfId="0" applyNumberFormat="1" applyFont="1" applyFill="1" applyBorder="1" applyAlignment="1" applyProtection="1">
      <alignment horizontal="center"/>
      <protection locked="0"/>
    </xf>
    <xf numFmtId="170" fontId="45" fillId="0" borderId="21" xfId="0" applyNumberFormat="1" applyFont="1" applyFill="1" applyBorder="1" applyAlignment="1" applyProtection="1">
      <alignment horizontal="center"/>
      <protection locked="0"/>
    </xf>
    <xf numFmtId="170" fontId="45" fillId="0" borderId="9" xfId="0" applyNumberFormat="1" applyFont="1" applyFill="1" applyBorder="1" applyAlignment="1" applyProtection="1">
      <alignment horizontal="center"/>
      <protection locked="0"/>
    </xf>
    <xf numFmtId="170" fontId="45" fillId="0" borderId="10" xfId="0" applyNumberFormat="1" applyFont="1" applyFill="1" applyBorder="1" applyAlignment="1" applyProtection="1">
      <alignment horizontal="center"/>
      <protection locked="0"/>
    </xf>
    <xf numFmtId="170" fontId="44" fillId="0" borderId="21" xfId="0" applyNumberFormat="1" applyFont="1" applyFill="1" applyBorder="1" applyAlignment="1" applyProtection="1">
      <alignment horizontal="center"/>
      <protection locked="0"/>
    </xf>
    <xf numFmtId="170" fontId="45" fillId="0" borderId="40" xfId="0" applyNumberFormat="1" applyFont="1" applyFill="1" applyBorder="1" applyAlignment="1" applyProtection="1">
      <alignment horizontal="center"/>
      <protection locked="0"/>
    </xf>
    <xf numFmtId="170" fontId="45" fillId="0" borderId="25"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protection locked="0"/>
    </xf>
    <xf numFmtId="170" fontId="44" fillId="0" borderId="9" xfId="0" applyNumberFormat="1" applyFont="1" applyFill="1" applyBorder="1" applyAlignment="1" applyProtection="1">
      <alignment horizontal="center"/>
      <protection locked="0"/>
    </xf>
    <xf numFmtId="170" fontId="45" fillId="0" borderId="23" xfId="0" applyNumberFormat="1" applyFont="1" applyFill="1" applyBorder="1" applyAlignment="1" applyProtection="1">
      <alignment horizontal="center"/>
      <protection locked="0"/>
    </xf>
    <xf numFmtId="170" fontId="45" fillId="0" borderId="41" xfId="0" applyNumberFormat="1" applyFont="1" applyFill="1" applyBorder="1" applyAlignment="1" applyProtection="1">
      <alignment horizontal="center"/>
      <protection locked="0"/>
    </xf>
    <xf numFmtId="170" fontId="44" fillId="0" borderId="11" xfId="0" applyNumberFormat="1" applyFont="1" applyFill="1" applyBorder="1" applyAlignment="1" applyProtection="1">
      <alignment horizontal="center"/>
      <protection locked="0"/>
    </xf>
    <xf numFmtId="170" fontId="45" fillId="0" borderId="43"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wrapText="1"/>
      <protection locked="0"/>
    </xf>
    <xf numFmtId="170" fontId="44" fillId="0" borderId="12" xfId="0" applyNumberFormat="1" applyFont="1" applyFill="1" applyBorder="1" applyAlignment="1" applyProtection="1">
      <alignment horizontal="center" wrapText="1"/>
      <protection locked="0"/>
    </xf>
    <xf numFmtId="170" fontId="45" fillId="0" borderId="21" xfId="0" applyNumberFormat="1" applyFont="1" applyFill="1" applyBorder="1" applyAlignment="1" applyProtection="1">
      <alignment horizontal="center" wrapText="1"/>
      <protection locked="0"/>
    </xf>
    <xf numFmtId="170" fontId="45" fillId="0" borderId="40" xfId="0" applyNumberFormat="1" applyFont="1" applyFill="1" applyBorder="1" applyAlignment="1" applyProtection="1">
      <alignment horizontal="center" wrapText="1"/>
      <protection locked="0"/>
    </xf>
    <xf numFmtId="170" fontId="45" fillId="0" borderId="23" xfId="0" applyNumberFormat="1" applyFont="1" applyFill="1" applyBorder="1" applyAlignment="1" applyProtection="1">
      <alignment horizontal="center" wrapText="1"/>
      <protection locked="0"/>
    </xf>
    <xf numFmtId="170" fontId="44" fillId="0" borderId="46" xfId="0" applyNumberFormat="1" applyFont="1" applyFill="1" applyBorder="1" applyAlignment="1" applyProtection="1">
      <alignment horizontal="center" wrapText="1"/>
      <protection locked="0"/>
    </xf>
    <xf numFmtId="170" fontId="45" fillId="0" borderId="41"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protection locked="0"/>
    </xf>
    <xf numFmtId="170" fontId="45" fillId="0" borderId="12" xfId="0" applyNumberFormat="1" applyFont="1" applyFill="1" applyBorder="1" applyAlignment="1" applyProtection="1">
      <alignment horizontal="center"/>
      <protection locked="0"/>
    </xf>
    <xf numFmtId="170" fontId="45" fillId="0" borderId="29" xfId="0" applyNumberFormat="1" applyFont="1" applyFill="1" applyBorder="1" applyAlignment="1" applyProtection="1">
      <alignment horizontal="center"/>
      <protection locked="0"/>
    </xf>
    <xf numFmtId="170" fontId="45" fillId="0" borderId="44" xfId="0" applyNumberFormat="1" applyFont="1" applyFill="1" applyBorder="1" applyAlignment="1" applyProtection="1">
      <alignment horizontal="center" wrapText="1"/>
      <protection locked="0"/>
    </xf>
    <xf numFmtId="170" fontId="4" fillId="13" borderId="18" xfId="0" applyNumberFormat="1" applyFont="1" applyFill="1" applyBorder="1" applyAlignment="1">
      <alignment horizontal="center"/>
    </xf>
    <xf numFmtId="0" fontId="4" fillId="0" borderId="0" xfId="8"/>
    <xf numFmtId="0" fontId="47" fillId="0" borderId="0" xfId="8" applyFont="1"/>
    <xf numFmtId="0" fontId="48" fillId="0" borderId="0" xfId="8" applyFont="1"/>
    <xf numFmtId="0" fontId="49" fillId="0" borderId="0" xfId="8" applyFont="1"/>
    <xf numFmtId="3" fontId="34" fillId="5" borderId="0" xfId="124" applyNumberFormat="1" applyFont="1" applyFill="1" applyAlignment="1">
      <alignment horizontal="center"/>
    </xf>
    <xf numFmtId="0" fontId="8" fillId="0" borderId="0" xfId="8" applyFont="1" applyAlignment="1">
      <alignment horizontal="left"/>
    </xf>
    <xf numFmtId="49" fontId="48" fillId="15" borderId="50" xfId="8" applyNumberFormat="1" applyFont="1" applyFill="1" applyBorder="1" applyAlignment="1">
      <alignment horizontal="center"/>
    </xf>
    <xf numFmtId="170" fontId="4" fillId="15" borderId="1" xfId="8" applyNumberFormat="1" applyFill="1" applyBorder="1" applyAlignment="1">
      <alignment horizontal="center"/>
    </xf>
    <xf numFmtId="176" fontId="51" fillId="15" borderId="3" xfId="6" applyNumberFormat="1" applyFont="1" applyFill="1" applyBorder="1" applyAlignment="1">
      <alignment horizontal="center"/>
    </xf>
    <xf numFmtId="170" fontId="4" fillId="0" borderId="0" xfId="8" applyNumberFormat="1"/>
    <xf numFmtId="170" fontId="4" fillId="16" borderId="0" xfId="8" applyNumberFormat="1" applyFill="1"/>
    <xf numFmtId="176" fontId="52" fillId="6" borderId="3" xfId="6" applyNumberFormat="1" applyFont="1" applyFill="1" applyBorder="1" applyAlignment="1">
      <alignment horizontal="center"/>
    </xf>
    <xf numFmtId="10" fontId="42" fillId="15" borderId="4" xfId="8" applyNumberFormat="1" applyFont="1" applyFill="1" applyBorder="1" applyAlignment="1">
      <alignment horizontal="center"/>
    </xf>
    <xf numFmtId="170" fontId="42" fillId="15" borderId="5" xfId="8" applyNumberFormat="1" applyFont="1" applyFill="1" applyBorder="1"/>
    <xf numFmtId="170" fontId="42" fillId="0" borderId="0" xfId="8" applyNumberFormat="1" applyFont="1"/>
    <xf numFmtId="170" fontId="42" fillId="16" borderId="0" xfId="8" applyNumberFormat="1" applyFont="1" applyFill="1"/>
    <xf numFmtId="170" fontId="35" fillId="15" borderId="5" xfId="8" applyNumberFormat="1" applyFont="1" applyFill="1" applyBorder="1"/>
    <xf numFmtId="170" fontId="4" fillId="15" borderId="5" xfId="8" applyNumberFormat="1" applyFill="1" applyBorder="1"/>
    <xf numFmtId="10" fontId="30" fillId="6" borderId="4" xfId="8" applyNumberFormat="1" applyFont="1" applyFill="1" applyBorder="1" applyAlignment="1">
      <alignment horizontal="center"/>
    </xf>
    <xf numFmtId="0" fontId="8" fillId="15" borderId="51" xfId="8" applyFont="1" applyFill="1" applyBorder="1" applyAlignment="1">
      <alignment horizontal="center"/>
    </xf>
    <xf numFmtId="0" fontId="8" fillId="15" borderId="4" xfId="8" applyFont="1" applyFill="1" applyBorder="1" applyAlignment="1">
      <alignment horizontal="center"/>
    </xf>
    <xf numFmtId="10" fontId="8" fillId="0" borderId="0" xfId="8" applyNumberFormat="1" applyFont="1"/>
    <xf numFmtId="10" fontId="8" fillId="15" borderId="5" xfId="8" applyNumberFormat="1" applyFont="1" applyFill="1" applyBorder="1" applyAlignment="1">
      <alignment horizontal="center"/>
    </xf>
    <xf numFmtId="10" fontId="8" fillId="16" borderId="0" xfId="8" applyNumberFormat="1" applyFont="1" applyFill="1"/>
    <xf numFmtId="10" fontId="30" fillId="6" borderId="5" xfId="8" applyNumberFormat="1" applyFont="1" applyFill="1" applyBorder="1" applyAlignment="1">
      <alignment horizontal="center"/>
    </xf>
    <xf numFmtId="176" fontId="8" fillId="15" borderId="52" xfId="8" applyNumberFormat="1" applyFont="1" applyFill="1" applyBorder="1" applyAlignment="1">
      <alignment horizontal="center"/>
    </xf>
    <xf numFmtId="0" fontId="4" fillId="0" borderId="0" xfId="8" applyAlignment="1">
      <alignment horizontal="center"/>
    </xf>
    <xf numFmtId="0" fontId="30" fillId="6" borderId="6" xfId="8" applyFont="1" applyFill="1" applyBorder="1" applyAlignment="1">
      <alignment horizontal="center"/>
    </xf>
    <xf numFmtId="0" fontId="15" fillId="0" borderId="51" xfId="8" applyFont="1" applyBorder="1"/>
    <xf numFmtId="0" fontId="4" fillId="0" borderId="4" xfId="8" applyBorder="1"/>
    <xf numFmtId="10" fontId="4" fillId="0" borderId="5" xfId="8" applyNumberFormat="1" applyBorder="1"/>
    <xf numFmtId="0" fontId="4" fillId="16" borderId="0" xfId="8" applyFill="1"/>
    <xf numFmtId="0" fontId="4" fillId="11" borderId="4" xfId="8" applyFill="1" applyBorder="1"/>
    <xf numFmtId="10" fontId="4" fillId="11" borderId="5" xfId="8" applyNumberFormat="1" applyFill="1" applyBorder="1"/>
    <xf numFmtId="0" fontId="16" fillId="5" borderId="4" xfId="8" applyFont="1" applyFill="1" applyBorder="1"/>
    <xf numFmtId="10" fontId="16" fillId="5" borderId="5" xfId="8" applyNumberFormat="1" applyFont="1" applyFill="1" applyBorder="1"/>
    <xf numFmtId="0" fontId="34" fillId="0" borderId="0" xfId="8" applyFont="1"/>
    <xf numFmtId="166" fontId="50" fillId="7" borderId="1" xfId="8" applyNumberFormat="1" applyFont="1" applyFill="1" applyBorder="1" applyProtection="1">
      <protection locked="0"/>
    </xf>
    <xf numFmtId="10" fontId="4" fillId="7" borderId="3" xfId="8" applyNumberFormat="1" applyFill="1" applyBorder="1"/>
    <xf numFmtId="0" fontId="4" fillId="0" borderId="51" xfId="8" applyBorder="1"/>
    <xf numFmtId="166" fontId="4" fillId="0" borderId="4" xfId="8" applyNumberFormat="1" applyBorder="1"/>
    <xf numFmtId="166" fontId="4" fillId="0" borderId="0" xfId="8" applyNumberFormat="1"/>
    <xf numFmtId="165" fontId="0" fillId="11" borderId="4" xfId="6" applyNumberFormat="1" applyFont="1" applyFill="1" applyBorder="1" applyAlignment="1">
      <alignment horizontal="center"/>
    </xf>
    <xf numFmtId="166" fontId="42" fillId="5" borderId="4" xfId="6" applyFont="1" applyFill="1" applyBorder="1" applyAlignment="1">
      <alignment horizontal="center"/>
    </xf>
    <xf numFmtId="10" fontId="13" fillId="5" borderId="5" xfId="8" applyNumberFormat="1" applyFont="1" applyFill="1" applyBorder="1" applyProtection="1">
      <protection locked="0"/>
    </xf>
    <xf numFmtId="166" fontId="50" fillId="7" borderId="4" xfId="8" applyNumberFormat="1" applyFont="1" applyFill="1" applyBorder="1" applyProtection="1">
      <protection locked="0"/>
    </xf>
    <xf numFmtId="10" fontId="4" fillId="7" borderId="5" xfId="8" applyNumberFormat="1" applyFill="1" applyBorder="1"/>
    <xf numFmtId="0" fontId="4" fillId="0" borderId="53" xfId="8" applyBorder="1"/>
    <xf numFmtId="0" fontId="4" fillId="7" borderId="0" xfId="8" applyFill="1"/>
    <xf numFmtId="0" fontId="55" fillId="0" borderId="0" xfId="8" applyFont="1"/>
    <xf numFmtId="10" fontId="54" fillId="17" borderId="5" xfId="8" applyNumberFormat="1" applyFont="1" applyFill="1" applyBorder="1"/>
    <xf numFmtId="0" fontId="55" fillId="16" borderId="0" xfId="8" applyFont="1" applyFill="1"/>
    <xf numFmtId="0" fontId="54" fillId="0" borderId="0" xfId="8" applyFont="1"/>
    <xf numFmtId="165" fontId="54" fillId="17" borderId="4" xfId="6" applyNumberFormat="1" applyFont="1" applyFill="1" applyBorder="1"/>
    <xf numFmtId="166" fontId="30" fillId="6" borderId="4" xfId="6" applyFont="1" applyFill="1" applyBorder="1"/>
    <xf numFmtId="10" fontId="30" fillId="6" borderId="5" xfId="8" applyNumberFormat="1" applyFont="1" applyFill="1" applyBorder="1"/>
    <xf numFmtId="0" fontId="4" fillId="0" borderId="55" xfId="8" applyBorder="1"/>
    <xf numFmtId="166" fontId="0" fillId="0" borderId="4" xfId="6" applyFont="1" applyBorder="1"/>
    <xf numFmtId="165" fontId="4" fillId="11" borderId="4" xfId="6" applyNumberFormat="1" applyFont="1" applyFill="1" applyBorder="1"/>
    <xf numFmtId="166" fontId="4" fillId="5" borderId="4" xfId="6" applyFont="1" applyFill="1" applyBorder="1"/>
    <xf numFmtId="10" fontId="4" fillId="5" borderId="5" xfId="8" applyNumberFormat="1" applyFill="1" applyBorder="1"/>
    <xf numFmtId="0" fontId="35" fillId="7" borderId="56" xfId="8" applyFont="1" applyFill="1" applyBorder="1"/>
    <xf numFmtId="0" fontId="42" fillId="7" borderId="57" xfId="8" applyFont="1" applyFill="1" applyBorder="1"/>
    <xf numFmtId="166" fontId="4" fillId="7" borderId="58" xfId="6" applyFont="1" applyFill="1" applyBorder="1"/>
    <xf numFmtId="10" fontId="4" fillId="7" borderId="59" xfId="8" applyNumberFormat="1" applyFill="1" applyBorder="1"/>
    <xf numFmtId="0" fontId="4" fillId="7" borderId="57" xfId="8" applyFill="1" applyBorder="1"/>
    <xf numFmtId="165" fontId="4" fillId="11" borderId="58" xfId="6" applyNumberFormat="1" applyFont="1" applyFill="1" applyBorder="1"/>
    <xf numFmtId="10" fontId="4" fillId="11" borderId="59" xfId="8" applyNumberFormat="1" applyFill="1" applyBorder="1"/>
    <xf numFmtId="166" fontId="0" fillId="5" borderId="58" xfId="6" applyFont="1" applyFill="1" applyBorder="1"/>
    <xf numFmtId="10" fontId="13" fillId="5" borderId="59" xfId="8" applyNumberFormat="1" applyFont="1" applyFill="1" applyBorder="1" applyProtection="1">
      <protection locked="0"/>
    </xf>
    <xf numFmtId="0" fontId="8" fillId="0" borderId="51" xfId="8" applyFont="1" applyBorder="1"/>
    <xf numFmtId="166" fontId="56" fillId="0" borderId="4" xfId="6" applyFont="1" applyFill="1" applyBorder="1"/>
    <xf numFmtId="166" fontId="0" fillId="0" borderId="4" xfId="6" applyFont="1" applyFill="1" applyBorder="1"/>
    <xf numFmtId="166" fontId="4" fillId="0" borderId="4" xfId="6" applyFont="1" applyFill="1" applyBorder="1"/>
    <xf numFmtId="0" fontId="4" fillId="0" borderId="60" xfId="8" applyBorder="1"/>
    <xf numFmtId="167" fontId="0" fillId="0" borderId="61" xfId="6" applyNumberFormat="1" applyFont="1" applyFill="1" applyBorder="1"/>
    <xf numFmtId="10" fontId="4" fillId="0" borderId="54" xfId="8" applyNumberFormat="1" applyBorder="1"/>
    <xf numFmtId="10" fontId="4" fillId="11" borderId="54" xfId="8" applyNumberFormat="1" applyFill="1" applyBorder="1"/>
    <xf numFmtId="10" fontId="4" fillId="5" borderId="54" xfId="8" applyNumberFormat="1" applyFill="1" applyBorder="1"/>
    <xf numFmtId="0" fontId="8" fillId="0" borderId="56" xfId="8" applyFont="1" applyBorder="1"/>
    <xf numFmtId="0" fontId="8" fillId="0" borderId="57" xfId="8" applyFont="1" applyBorder="1"/>
    <xf numFmtId="166" fontId="8" fillId="0" borderId="58" xfId="6" applyFont="1" applyBorder="1"/>
    <xf numFmtId="10" fontId="8" fillId="0" borderId="59" xfId="8" applyNumberFormat="1" applyFont="1" applyBorder="1"/>
    <xf numFmtId="0" fontId="8" fillId="16" borderId="57" xfId="8" applyFont="1" applyFill="1" applyBorder="1"/>
    <xf numFmtId="165" fontId="8" fillId="11" borderId="62" xfId="6" applyNumberFormat="1" applyFont="1" applyFill="1" applyBorder="1"/>
    <xf numFmtId="10" fontId="8" fillId="11" borderId="59" xfId="8" applyNumberFormat="1" applyFont="1" applyFill="1" applyBorder="1"/>
    <xf numFmtId="166" fontId="8" fillId="5" borderId="62" xfId="6" applyFont="1" applyFill="1" applyBorder="1"/>
    <xf numFmtId="166" fontId="34" fillId="0" borderId="13" xfId="8" applyNumberFormat="1" applyFont="1" applyBorder="1"/>
    <xf numFmtId="10" fontId="34" fillId="0" borderId="28" xfId="8" applyNumberFormat="1" applyFont="1" applyBorder="1"/>
    <xf numFmtId="165" fontId="8" fillId="11" borderId="58" xfId="6" applyNumberFormat="1" applyFont="1" applyFill="1" applyBorder="1"/>
    <xf numFmtId="0" fontId="8" fillId="0" borderId="0" xfId="8" applyFont="1"/>
    <xf numFmtId="166" fontId="8" fillId="5" borderId="58" xfId="6" applyFont="1" applyFill="1" applyBorder="1"/>
    <xf numFmtId="10" fontId="8" fillId="5" borderId="59" xfId="8" applyNumberFormat="1" applyFont="1" applyFill="1" applyBorder="1"/>
    <xf numFmtId="0" fontId="54" fillId="17" borderId="51" xfId="8" applyFont="1" applyFill="1" applyBorder="1"/>
    <xf numFmtId="166" fontId="54" fillId="17" borderId="4" xfId="6" applyFont="1" applyFill="1" applyBorder="1"/>
    <xf numFmtId="166" fontId="4" fillId="7" borderId="4" xfId="6" applyFont="1" applyFill="1" applyBorder="1"/>
    <xf numFmtId="166" fontId="4" fillId="0" borderId="0" xfId="6" applyFont="1" applyFill="1" applyBorder="1"/>
    <xf numFmtId="0" fontId="4" fillId="7" borderId="51" xfId="8" applyFill="1" applyBorder="1"/>
    <xf numFmtId="166" fontId="4" fillId="7" borderId="0" xfId="6" applyFont="1" applyFill="1" applyBorder="1"/>
    <xf numFmtId="166" fontId="4" fillId="0" borderId="4" xfId="6" applyFont="1" applyBorder="1"/>
    <xf numFmtId="0" fontId="4" fillId="0" borderId="57" xfId="8" applyBorder="1"/>
    <xf numFmtId="10" fontId="8" fillId="0" borderId="59" xfId="6" applyNumberFormat="1" applyFont="1" applyBorder="1"/>
    <xf numFmtId="166" fontId="0" fillId="0" borderId="57" xfId="6" applyFont="1" applyBorder="1"/>
    <xf numFmtId="10" fontId="8" fillId="0" borderId="59" xfId="6" applyNumberFormat="1" applyFont="1" applyBorder="1" applyProtection="1"/>
    <xf numFmtId="166" fontId="4" fillId="0" borderId="57" xfId="6" applyFont="1" applyFill="1" applyBorder="1"/>
    <xf numFmtId="0" fontId="4" fillId="16" borderId="57" xfId="8" applyFill="1" applyBorder="1"/>
    <xf numFmtId="10" fontId="8" fillId="11" borderId="59" xfId="6" applyNumberFormat="1" applyFont="1" applyFill="1" applyBorder="1"/>
    <xf numFmtId="10" fontId="13" fillId="5" borderId="59" xfId="6" applyNumberFormat="1" applyFont="1" applyFill="1" applyBorder="1" applyProtection="1">
      <protection locked="0"/>
    </xf>
    <xf numFmtId="166" fontId="0" fillId="5" borderId="4" xfId="6" applyFont="1" applyFill="1" applyBorder="1"/>
    <xf numFmtId="0" fontId="55" fillId="0" borderId="51" xfId="8" applyFont="1" applyBorder="1"/>
    <xf numFmtId="0" fontId="54" fillId="16" borderId="0" xfId="8" applyFont="1" applyFill="1"/>
    <xf numFmtId="165" fontId="4" fillId="11" borderId="61" xfId="6" applyNumberFormat="1" applyFont="1" applyFill="1" applyBorder="1"/>
    <xf numFmtId="166" fontId="4" fillId="5" borderId="61" xfId="6" applyFont="1" applyFill="1" applyBorder="1"/>
    <xf numFmtId="0" fontId="54" fillId="17" borderId="52" xfId="8" applyFont="1" applyFill="1" applyBorder="1"/>
    <xf numFmtId="166" fontId="54" fillId="17" borderId="6" xfId="6" applyFont="1" applyFill="1" applyBorder="1"/>
    <xf numFmtId="10" fontId="54" fillId="17" borderId="8" xfId="8" applyNumberFormat="1" applyFont="1" applyFill="1" applyBorder="1"/>
    <xf numFmtId="165" fontId="54" fillId="17" borderId="6" xfId="6" applyNumberFormat="1" applyFont="1" applyFill="1" applyBorder="1"/>
    <xf numFmtId="166" fontId="30" fillId="6" borderId="6" xfId="6" applyFont="1" applyFill="1" applyBorder="1"/>
    <xf numFmtId="10" fontId="30" fillId="6" borderId="8" xfId="8" applyNumberFormat="1" applyFont="1" applyFill="1" applyBorder="1"/>
    <xf numFmtId="0" fontId="8" fillId="5" borderId="13" xfId="8" applyFont="1" applyFill="1" applyBorder="1"/>
    <xf numFmtId="9" fontId="13" fillId="5" borderId="28" xfId="8" applyNumberFormat="1" applyFont="1" applyFill="1" applyBorder="1" applyAlignment="1" applyProtection="1">
      <alignment horizontal="center"/>
      <protection locked="0"/>
    </xf>
    <xf numFmtId="167" fontId="34" fillId="5" borderId="0" xfId="124" applyNumberFormat="1" applyFont="1" applyFill="1" applyAlignment="1">
      <alignment horizontal="center"/>
    </xf>
    <xf numFmtId="167" fontId="38" fillId="5" borderId="0" xfId="124" applyNumberFormat="1" applyFont="1" applyFill="1" applyAlignment="1" applyProtection="1">
      <alignment horizontal="center"/>
      <protection locked="0"/>
    </xf>
    <xf numFmtId="1" fontId="57" fillId="0" borderId="25" xfId="0" applyNumberFormat="1" applyFont="1" applyBorder="1" applyAlignment="1">
      <alignment horizontal="center"/>
    </xf>
    <xf numFmtId="1" fontId="57" fillId="0" borderId="11" xfId="0" applyNumberFormat="1" applyFont="1" applyBorder="1" applyAlignment="1">
      <alignment horizontal="center"/>
    </xf>
    <xf numFmtId="1" fontId="35" fillId="2" borderId="48" xfId="0" applyNumberFormat="1" applyFont="1" applyFill="1" applyBorder="1" applyAlignment="1" applyProtection="1">
      <alignment horizontal="center"/>
    </xf>
    <xf numFmtId="10" fontId="4" fillId="0" borderId="5" xfId="8" applyNumberFormat="1" applyFont="1" applyBorder="1"/>
    <xf numFmtId="0" fontId="16" fillId="2" borderId="11" xfId="0" applyNumberFormat="1" applyFont="1" applyFill="1" applyBorder="1" applyAlignment="1">
      <alignment horizontal="center"/>
    </xf>
    <xf numFmtId="0" fontId="16" fillId="2" borderId="12" xfId="0" applyNumberFormat="1" applyFont="1" applyFill="1" applyBorder="1" applyAlignment="1">
      <alignment horizontal="center"/>
    </xf>
    <xf numFmtId="0" fontId="8" fillId="15" borderId="6" xfId="8" applyNumberFormat="1" applyFont="1" applyFill="1" applyBorder="1" applyAlignment="1">
      <alignment horizontal="center"/>
    </xf>
    <xf numFmtId="0" fontId="4" fillId="15" borderId="8" xfId="8" applyNumberFormat="1" applyFill="1" applyBorder="1" applyAlignment="1">
      <alignment horizontal="center"/>
    </xf>
    <xf numFmtId="0" fontId="4" fillId="0" borderId="0" xfId="8" applyNumberFormat="1" applyAlignment="1">
      <alignment horizontal="center"/>
    </xf>
    <xf numFmtId="0" fontId="8" fillId="0" borderId="0" xfId="8" applyNumberFormat="1" applyFont="1" applyAlignment="1">
      <alignment horizontal="center"/>
    </xf>
    <xf numFmtId="0" fontId="4" fillId="16" borderId="0" xfId="8" applyNumberFormat="1" applyFill="1" applyAlignment="1">
      <alignment horizontal="center"/>
    </xf>
    <xf numFmtId="10" fontId="35" fillId="15" borderId="4" xfId="8" applyNumberFormat="1" applyFont="1" applyFill="1" applyBorder="1" applyAlignment="1">
      <alignment horizontal="center"/>
    </xf>
    <xf numFmtId="3" fontId="35" fillId="14" borderId="51" xfId="8" applyNumberFormat="1" applyFont="1" applyFill="1" applyBorder="1" applyAlignment="1" applyProtection="1">
      <alignment horizontal="center"/>
    </xf>
    <xf numFmtId="0" fontId="29" fillId="0" borderId="26" xfId="0" applyFont="1" applyBorder="1" applyAlignment="1">
      <alignment horizontal="center" wrapText="1"/>
    </xf>
    <xf numFmtId="171" fontId="35" fillId="2" borderId="17" xfId="0" applyNumberFormat="1" applyFont="1" applyFill="1" applyBorder="1" applyAlignment="1">
      <alignment horizontal="center"/>
    </xf>
    <xf numFmtId="0" fontId="29" fillId="0" borderId="21" xfId="0" applyFont="1" applyBorder="1" applyAlignment="1" applyProtection="1">
      <alignment horizontal="center" wrapText="1"/>
      <protection locked="0"/>
    </xf>
    <xf numFmtId="0" fontId="29" fillId="0" borderId="11" xfId="0" applyFont="1" applyBorder="1" applyAlignment="1">
      <alignment horizontal="center" wrapText="1"/>
    </xf>
    <xf numFmtId="1" fontId="15" fillId="0" borderId="25" xfId="0" applyNumberFormat="1" applyFont="1" applyBorder="1" applyAlignment="1" applyProtection="1">
      <alignment horizontal="center"/>
    </xf>
    <xf numFmtId="1" fontId="15" fillId="0" borderId="11" xfId="0" applyNumberFormat="1" applyFont="1" applyBorder="1" applyAlignment="1" applyProtection="1">
      <alignment horizontal="center"/>
    </xf>
    <xf numFmtId="0" fontId="2" fillId="18" borderId="0" xfId="124" applyFill="1"/>
    <xf numFmtId="0" fontId="36" fillId="18" borderId="0" xfId="124" applyFont="1" applyFill="1" applyAlignment="1">
      <alignment horizontal="center"/>
    </xf>
    <xf numFmtId="0" fontId="37" fillId="18" borderId="0" xfId="124" applyFont="1" applyFill="1" applyAlignment="1">
      <alignment horizontal="center"/>
    </xf>
    <xf numFmtId="0" fontId="4" fillId="18" borderId="0" xfId="8" applyFill="1"/>
    <xf numFmtId="0" fontId="43" fillId="18" borderId="0" xfId="124" applyFont="1" applyFill="1" applyAlignment="1">
      <alignment horizontal="center"/>
    </xf>
    <xf numFmtId="0" fontId="2" fillId="18" borderId="0" xfId="124" applyFill="1" applyAlignment="1">
      <alignment horizontal="center"/>
    </xf>
    <xf numFmtId="0" fontId="59" fillId="0" borderId="0" xfId="8" applyFont="1"/>
    <xf numFmtId="39" fontId="38" fillId="5" borderId="0" xfId="124" applyNumberFormat="1" applyFont="1" applyFill="1" applyAlignment="1" applyProtection="1">
      <alignment horizontal="center"/>
      <protection locked="0"/>
    </xf>
    <xf numFmtId="1" fontId="13" fillId="0" borderId="63" xfId="0" applyNumberFormat="1" applyFont="1" applyBorder="1" applyAlignment="1" applyProtection="1">
      <alignment horizontal="center"/>
      <protection locked="0"/>
    </xf>
    <xf numFmtId="10" fontId="8" fillId="0" borderId="0" xfId="8" applyNumberFormat="1" applyFont="1" applyAlignment="1">
      <alignment horizontal="center"/>
    </xf>
    <xf numFmtId="166" fontId="4" fillId="0" borderId="0" xfId="8" applyNumberFormat="1"/>
    <xf numFmtId="0" fontId="15" fillId="14" borderId="51" xfId="8" applyFont="1" applyFill="1" applyBorder="1" applyAlignment="1">
      <alignment horizontal="center"/>
    </xf>
    <xf numFmtId="10" fontId="4" fillId="0" borderId="0" xfId="8" applyNumberFormat="1"/>
    <xf numFmtId="166" fontId="0" fillId="0" borderId="4" xfId="125" applyFont="1" applyBorder="1"/>
    <xf numFmtId="166" fontId="4" fillId="11" borderId="4" xfId="125" applyFont="1" applyFill="1" applyBorder="1"/>
    <xf numFmtId="0" fontId="65" fillId="0" borderId="0" xfId="8" applyFont="1"/>
    <xf numFmtId="166" fontId="65" fillId="17" borderId="4" xfId="125" applyFont="1" applyFill="1" applyBorder="1"/>
    <xf numFmtId="10" fontId="66" fillId="17" borderId="5" xfId="11" applyNumberFormat="1" applyFont="1" applyFill="1" applyBorder="1"/>
    <xf numFmtId="0" fontId="66" fillId="16" borderId="0" xfId="8" applyFont="1" applyFill="1"/>
    <xf numFmtId="0" fontId="66" fillId="0" borderId="0" xfId="8" applyFont="1"/>
    <xf numFmtId="166" fontId="4" fillId="0" borderId="4" xfId="125" applyFont="1" applyBorder="1"/>
    <xf numFmtId="166" fontId="4" fillId="0" borderId="58" xfId="125" applyFont="1" applyBorder="1"/>
    <xf numFmtId="10" fontId="4" fillId="0" borderId="59" xfId="8" applyNumberFormat="1" applyBorder="1"/>
    <xf numFmtId="166" fontId="4" fillId="11" borderId="58" xfId="125" applyFont="1" applyFill="1" applyBorder="1"/>
    <xf numFmtId="166" fontId="4" fillId="0" borderId="61" xfId="125" applyFont="1" applyBorder="1"/>
    <xf numFmtId="0" fontId="8" fillId="7" borderId="0" xfId="8" applyFont="1" applyFill="1"/>
    <xf numFmtId="0" fontId="4" fillId="0" borderId="0" xfId="8" applyNumberFormat="1"/>
    <xf numFmtId="0" fontId="4" fillId="7" borderId="0" xfId="8" applyFill="1" applyProtection="1">
      <protection hidden="1"/>
    </xf>
    <xf numFmtId="0" fontId="2" fillId="2" borderId="2" xfId="124" applyFill="1" applyBorder="1"/>
    <xf numFmtId="0" fontId="2" fillId="2" borderId="0" xfId="124" applyFill="1" applyBorder="1"/>
    <xf numFmtId="0" fontId="36" fillId="2" borderId="0" xfId="124" applyFont="1" applyFill="1" applyBorder="1" applyAlignment="1">
      <alignment horizontal="center"/>
    </xf>
    <xf numFmtId="0" fontId="37" fillId="2" borderId="0" xfId="124" applyFont="1" applyFill="1" applyBorder="1" applyAlignment="1">
      <alignment horizontal="center"/>
    </xf>
    <xf numFmtId="0" fontId="4" fillId="2" borderId="0" xfId="8" applyFill="1" applyBorder="1"/>
    <xf numFmtId="0" fontId="43" fillId="2" borderId="0" xfId="124" applyFont="1" applyFill="1" applyBorder="1" applyAlignment="1">
      <alignment horizontal="center"/>
    </xf>
    <xf numFmtId="0" fontId="2" fillId="2" borderId="0" xfId="124" applyFill="1" applyBorder="1" applyAlignment="1">
      <alignment horizontal="center"/>
    </xf>
    <xf numFmtId="167" fontId="34" fillId="5" borderId="0" xfId="124" applyNumberFormat="1" applyFont="1" applyFill="1" applyBorder="1" applyAlignment="1">
      <alignment horizontal="center"/>
    </xf>
    <xf numFmtId="3" fontId="34" fillId="5" borderId="0" xfId="124" applyNumberFormat="1" applyFont="1" applyFill="1" applyBorder="1" applyAlignment="1">
      <alignment horizontal="center"/>
    </xf>
    <xf numFmtId="39" fontId="34" fillId="5" borderId="0" xfId="124" applyNumberFormat="1" applyFont="1" applyFill="1" applyBorder="1" applyAlignment="1" applyProtection="1">
      <alignment horizontal="center"/>
    </xf>
    <xf numFmtId="167" fontId="34" fillId="5" borderId="0" xfId="124" applyNumberFormat="1" applyFont="1" applyFill="1" applyBorder="1" applyAlignment="1" applyProtection="1">
      <alignment horizontal="center"/>
    </xf>
    <xf numFmtId="0" fontId="2" fillId="2" borderId="7" xfId="124" applyFill="1" applyBorder="1" applyAlignment="1">
      <alignment horizontal="center"/>
    </xf>
    <xf numFmtId="0" fontId="2" fillId="20" borderId="2" xfId="124" applyFill="1" applyBorder="1"/>
    <xf numFmtId="0" fontId="2" fillId="20" borderId="0" xfId="124" applyFill="1" applyBorder="1"/>
    <xf numFmtId="0" fontId="36" fillId="20" borderId="0" xfId="124" applyFont="1" applyFill="1" applyBorder="1" applyAlignment="1">
      <alignment horizontal="center"/>
    </xf>
    <xf numFmtId="0" fontId="37" fillId="20" borderId="0" xfId="124" applyFont="1" applyFill="1" applyBorder="1" applyAlignment="1">
      <alignment horizontal="center"/>
    </xf>
    <xf numFmtId="0" fontId="4" fillId="20" borderId="0" xfId="8" applyFill="1" applyBorder="1"/>
    <xf numFmtId="0" fontId="43" fillId="20" borderId="0" xfId="124" applyFont="1" applyFill="1" applyBorder="1" applyAlignment="1">
      <alignment horizontal="center"/>
    </xf>
    <xf numFmtId="0" fontId="2" fillId="20" borderId="0" xfId="124" applyFill="1" applyBorder="1" applyAlignment="1">
      <alignment horizontal="center"/>
    </xf>
    <xf numFmtId="0" fontId="2" fillId="20" borderId="7" xfId="124" applyFill="1" applyBorder="1" applyAlignment="1">
      <alignment horizontal="center"/>
    </xf>
    <xf numFmtId="0" fontId="2" fillId="18" borderId="2" xfId="124" applyFill="1" applyBorder="1"/>
    <xf numFmtId="0" fontId="2" fillId="18" borderId="0" xfId="124" applyFill="1" applyBorder="1"/>
    <xf numFmtId="0" fontId="36" fillId="18" borderId="0" xfId="124" applyFont="1" applyFill="1" applyBorder="1" applyAlignment="1">
      <alignment horizontal="center"/>
    </xf>
    <xf numFmtId="0" fontId="37" fillId="18" borderId="0" xfId="124" applyFont="1" applyFill="1" applyBorder="1" applyAlignment="1">
      <alignment horizontal="center"/>
    </xf>
    <xf numFmtId="0" fontId="4" fillId="18" borderId="0" xfId="8" applyFill="1" applyBorder="1"/>
    <xf numFmtId="0" fontId="43" fillId="18" borderId="0" xfId="124" applyFont="1" applyFill="1" applyBorder="1" applyAlignment="1">
      <alignment horizontal="center"/>
    </xf>
    <xf numFmtId="0" fontId="2" fillId="18" borderId="0" xfId="124" applyFill="1" applyBorder="1" applyAlignment="1">
      <alignment horizontal="center"/>
    </xf>
    <xf numFmtId="0" fontId="2" fillId="18" borderId="7" xfId="124" applyFill="1" applyBorder="1" applyAlignment="1">
      <alignment horizontal="center"/>
    </xf>
    <xf numFmtId="0" fontId="2" fillId="21" borderId="2" xfId="124" applyFill="1" applyBorder="1"/>
    <xf numFmtId="0" fontId="2" fillId="21" borderId="0" xfId="124" applyFill="1" applyBorder="1"/>
    <xf numFmtId="0" fontId="36" fillId="21" borderId="0" xfId="124" applyFont="1" applyFill="1" applyBorder="1" applyAlignment="1">
      <alignment horizontal="center"/>
    </xf>
    <xf numFmtId="0" fontId="37" fillId="21" borderId="0" xfId="124" applyFont="1" applyFill="1" applyBorder="1" applyAlignment="1">
      <alignment horizontal="center"/>
    </xf>
    <xf numFmtId="0" fontId="4" fillId="21" borderId="0" xfId="8" applyFill="1" applyBorder="1"/>
    <xf numFmtId="0" fontId="43" fillId="21" borderId="0" xfId="124" applyFont="1" applyFill="1" applyBorder="1" applyAlignment="1">
      <alignment horizontal="center"/>
    </xf>
    <xf numFmtId="0" fontId="2" fillId="21" borderId="0" xfId="124" applyFill="1" applyBorder="1" applyAlignment="1">
      <alignment horizontal="center"/>
    </xf>
    <xf numFmtId="0" fontId="2" fillId="21" borderId="7" xfId="124" applyFill="1" applyBorder="1" applyAlignment="1">
      <alignment horizontal="center"/>
    </xf>
    <xf numFmtId="0" fontId="67" fillId="6" borderId="2" xfId="124" applyFont="1" applyFill="1" applyBorder="1"/>
    <xf numFmtId="0" fontId="67" fillId="6" borderId="0" xfId="124" applyFont="1" applyFill="1" applyBorder="1"/>
    <xf numFmtId="0" fontId="71" fillId="6" borderId="0" xfId="124" applyFont="1" applyFill="1" applyBorder="1" applyAlignment="1">
      <alignment horizontal="center"/>
    </xf>
    <xf numFmtId="0" fontId="72" fillId="6" borderId="0" xfId="124" applyFont="1" applyFill="1" applyBorder="1" applyAlignment="1">
      <alignment horizontal="center"/>
    </xf>
    <xf numFmtId="0" fontId="31" fillId="6" borderId="0" xfId="8" applyFont="1" applyFill="1" applyBorder="1"/>
    <xf numFmtId="0" fontId="73" fillId="6" borderId="0" xfId="124" applyFont="1" applyFill="1" applyBorder="1" applyAlignment="1">
      <alignment horizontal="center"/>
    </xf>
    <xf numFmtId="0" fontId="67" fillId="6" borderId="0" xfId="124" applyFont="1" applyFill="1" applyBorder="1" applyAlignment="1">
      <alignment horizontal="center"/>
    </xf>
    <xf numFmtId="0" fontId="67" fillId="6" borderId="7" xfId="124" applyFont="1" applyFill="1" applyBorder="1" applyAlignment="1">
      <alignment horizontal="center"/>
    </xf>
    <xf numFmtId="0" fontId="59" fillId="7" borderId="0" xfId="8" applyFont="1" applyFill="1"/>
    <xf numFmtId="39" fontId="38" fillId="5" borderId="0" xfId="124" applyNumberFormat="1" applyFont="1" applyFill="1" applyBorder="1" applyAlignment="1" applyProtection="1">
      <alignment horizontal="center"/>
      <protection locked="0"/>
    </xf>
    <xf numFmtId="167" fontId="38" fillId="5" borderId="0" xfId="124" applyNumberFormat="1" applyFont="1" applyFill="1" applyBorder="1" applyAlignment="1" applyProtection="1">
      <alignment horizontal="center"/>
      <protection locked="0"/>
    </xf>
    <xf numFmtId="177" fontId="34" fillId="5" borderId="0" xfId="124" applyNumberFormat="1" applyFont="1" applyFill="1" applyBorder="1" applyAlignment="1">
      <alignment horizontal="center"/>
    </xf>
    <xf numFmtId="170" fontId="4" fillId="14" borderId="1" xfId="8" applyNumberFormat="1" applyFill="1" applyBorder="1"/>
    <xf numFmtId="170" fontId="4" fillId="7" borderId="0" xfId="8" applyNumberFormat="1" applyFill="1"/>
    <xf numFmtId="10" fontId="4" fillId="14" borderId="4" xfId="8" applyNumberFormat="1" applyFill="1" applyBorder="1" applyAlignment="1">
      <alignment horizontal="center"/>
    </xf>
    <xf numFmtId="10" fontId="4" fillId="14" borderId="5" xfId="8" applyNumberFormat="1" applyFill="1" applyBorder="1" applyAlignment="1">
      <alignment horizontal="center"/>
    </xf>
    <xf numFmtId="10" fontId="4" fillId="0" borderId="0" xfId="8" applyNumberFormat="1" applyAlignment="1">
      <alignment horizontal="center"/>
    </xf>
    <xf numFmtId="10" fontId="4" fillId="7" borderId="0" xfId="8" applyNumberFormat="1" applyFill="1" applyAlignment="1">
      <alignment horizontal="center"/>
    </xf>
    <xf numFmtId="170" fontId="4" fillId="14" borderId="4" xfId="8" applyNumberFormat="1" applyFill="1" applyBorder="1" applyAlignment="1">
      <alignment horizontal="center"/>
    </xf>
    <xf numFmtId="0" fontId="4" fillId="22" borderId="5" xfId="8" applyFill="1" applyBorder="1" applyAlignment="1">
      <alignment horizontal="center"/>
    </xf>
    <xf numFmtId="0" fontId="4" fillId="7" borderId="0" xfId="8" applyFill="1" applyAlignment="1">
      <alignment horizontal="center"/>
    </xf>
    <xf numFmtId="170" fontId="4" fillId="14" borderId="6" xfId="8" applyNumberFormat="1" applyFill="1" applyBorder="1" applyAlignment="1">
      <alignment horizontal="center"/>
    </xf>
    <xf numFmtId="170" fontId="4" fillId="0" borderId="0" xfId="8" applyNumberFormat="1" applyAlignment="1">
      <alignment horizontal="center"/>
    </xf>
    <xf numFmtId="170" fontId="4" fillId="14" borderId="8" xfId="8" applyNumberFormat="1" applyFill="1" applyBorder="1" applyAlignment="1">
      <alignment horizontal="center"/>
    </xf>
    <xf numFmtId="170" fontId="4" fillId="7" borderId="0" xfId="8" applyNumberFormat="1" applyFill="1" applyAlignment="1">
      <alignment horizontal="center"/>
    </xf>
    <xf numFmtId="0" fontId="4" fillId="0" borderId="5" xfId="8" applyBorder="1"/>
    <xf numFmtId="9" fontId="4" fillId="0" borderId="0" xfId="11" applyFill="1" applyBorder="1" applyProtection="1"/>
    <xf numFmtId="10" fontId="4" fillId="0" borderId="5" xfId="11" applyNumberFormat="1" applyBorder="1" applyAlignment="1" applyProtection="1">
      <alignment horizontal="center"/>
    </xf>
    <xf numFmtId="0" fontId="54" fillId="17" borderId="61" xfId="8" applyFont="1" applyFill="1" applyBorder="1"/>
    <xf numFmtId="0" fontId="54" fillId="17" borderId="54" xfId="8" applyFont="1" applyFill="1" applyBorder="1"/>
    <xf numFmtId="0" fontId="54" fillId="0" borderId="4" xfId="8" applyFont="1" applyBorder="1"/>
    <xf numFmtId="10" fontId="54" fillId="17" borderId="8" xfId="11" applyNumberFormat="1" applyFont="1" applyFill="1" applyBorder="1" applyAlignment="1" applyProtection="1">
      <alignment horizontal="center"/>
    </xf>
    <xf numFmtId="0" fontId="54" fillId="0" borderId="51" xfId="8" applyFont="1" applyBorder="1"/>
    <xf numFmtId="10" fontId="54" fillId="17" borderId="54" xfId="11" applyNumberFormat="1" applyFont="1" applyFill="1" applyBorder="1" applyAlignment="1" applyProtection="1">
      <alignment horizontal="center"/>
    </xf>
    <xf numFmtId="10" fontId="54" fillId="6" borderId="28" xfId="11" applyNumberFormat="1" applyFont="1" applyFill="1" applyBorder="1" applyAlignment="1" applyProtection="1">
      <alignment horizontal="center"/>
    </xf>
    <xf numFmtId="170" fontId="54" fillId="0" borderId="0" xfId="8" applyNumberFormat="1" applyFont="1"/>
    <xf numFmtId="170" fontId="54" fillId="0" borderId="51" xfId="8" applyNumberFormat="1" applyFont="1" applyBorder="1"/>
    <xf numFmtId="10" fontId="54" fillId="6" borderId="54" xfId="11" applyNumberFormat="1" applyFont="1" applyFill="1" applyBorder="1" applyAlignment="1" applyProtection="1">
      <alignment horizontal="center"/>
    </xf>
    <xf numFmtId="170" fontId="8" fillId="0" borderId="0" xfId="8" applyNumberFormat="1" applyFont="1"/>
    <xf numFmtId="10" fontId="4" fillId="0" borderId="5" xfId="11" applyNumberFormat="1" applyFill="1" applyBorder="1" applyAlignment="1" applyProtection="1">
      <alignment horizontal="center"/>
    </xf>
    <xf numFmtId="0" fontId="55" fillId="0" borderId="4" xfId="8" applyFont="1" applyBorder="1"/>
    <xf numFmtId="10" fontId="4" fillId="0" borderId="5" xfId="11" applyNumberFormat="1" applyFont="1" applyFill="1" applyBorder="1" applyAlignment="1" applyProtection="1">
      <alignment horizontal="center"/>
    </xf>
    <xf numFmtId="175" fontId="4" fillId="0" borderId="0" xfId="8" applyNumberFormat="1"/>
    <xf numFmtId="175" fontId="4" fillId="0" borderId="51" xfId="8" applyNumberFormat="1" applyBorder="1"/>
    <xf numFmtId="10" fontId="54" fillId="17" borderId="54" xfId="8" applyNumberFormat="1" applyFont="1" applyFill="1" applyBorder="1" applyAlignment="1">
      <alignment horizontal="center"/>
    </xf>
    <xf numFmtId="10" fontId="4"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4" fillId="17" borderId="81" xfId="11" applyNumberFormat="1" applyFont="1" applyFill="1" applyBorder="1" applyAlignment="1" applyProtection="1">
      <alignment horizontal="center"/>
    </xf>
    <xf numFmtId="0" fontId="4" fillId="7" borderId="4" xfId="8" applyFill="1" applyBorder="1"/>
    <xf numFmtId="0" fontId="54" fillId="7" borderId="5" xfId="8" applyFont="1" applyFill="1" applyBorder="1"/>
    <xf numFmtId="0" fontId="54" fillId="7" borderId="4" xfId="8" applyFont="1" applyFill="1" applyBorder="1"/>
    <xf numFmtId="0" fontId="54" fillId="7" borderId="0" xfId="8" applyFont="1" applyFill="1"/>
    <xf numFmtId="0" fontId="4" fillId="7" borderId="5" xfId="8" applyFill="1" applyBorder="1"/>
    <xf numFmtId="9" fontId="13" fillId="5" borderId="48" xfId="8" applyNumberFormat="1" applyFont="1" applyFill="1" applyBorder="1" applyAlignment="1" applyProtection="1">
      <alignment horizontal="center"/>
      <protection locked="0"/>
    </xf>
    <xf numFmtId="170" fontId="4" fillId="22" borderId="1" xfId="8" applyNumberFormat="1" applyFill="1" applyBorder="1"/>
    <xf numFmtId="170" fontId="4" fillId="23" borderId="0" xfId="8" applyNumberFormat="1" applyFill="1"/>
    <xf numFmtId="170" fontId="4" fillId="0" borderId="5" xfId="8" applyNumberFormat="1" applyBorder="1"/>
    <xf numFmtId="10" fontId="4" fillId="22" borderId="4" xfId="8" applyNumberFormat="1" applyFill="1" applyBorder="1" applyAlignment="1">
      <alignment horizontal="center"/>
    </xf>
    <xf numFmtId="10" fontId="4" fillId="22" borderId="5" xfId="8" applyNumberFormat="1" applyFill="1" applyBorder="1" applyAlignment="1">
      <alignment horizontal="center"/>
    </xf>
    <xf numFmtId="10" fontId="4" fillId="23" borderId="0" xfId="8" applyNumberFormat="1" applyFill="1" applyAlignment="1">
      <alignment horizontal="center"/>
    </xf>
    <xf numFmtId="10" fontId="4" fillId="25" borderId="4" xfId="8" applyNumberFormat="1" applyFill="1" applyBorder="1" applyAlignment="1">
      <alignment horizontal="center"/>
    </xf>
    <xf numFmtId="170" fontId="4" fillId="22" borderId="4" xfId="8" applyNumberFormat="1" applyFill="1" applyBorder="1" applyAlignment="1">
      <alignment horizontal="center"/>
    </xf>
    <xf numFmtId="0" fontId="4" fillId="23" borderId="0" xfId="8" applyFill="1" applyAlignment="1">
      <alignment horizontal="center"/>
    </xf>
    <xf numFmtId="0" fontId="4" fillId="0" borderId="5" xfId="8" applyBorder="1" applyAlignment="1">
      <alignment horizontal="center"/>
    </xf>
    <xf numFmtId="170" fontId="4" fillId="22" borderId="6" xfId="8" applyNumberFormat="1" applyFill="1" applyBorder="1" applyAlignment="1">
      <alignment horizontal="center"/>
    </xf>
    <xf numFmtId="170" fontId="4" fillId="22" borderId="8" xfId="8" applyNumberFormat="1" applyFill="1" applyBorder="1" applyAlignment="1">
      <alignment horizontal="center"/>
    </xf>
    <xf numFmtId="170" fontId="4" fillId="23" borderId="0" xfId="8" applyNumberFormat="1" applyFill="1" applyAlignment="1">
      <alignment horizontal="center"/>
    </xf>
    <xf numFmtId="170" fontId="4" fillId="0" borderId="5" xfId="8" applyNumberFormat="1" applyBorder="1" applyAlignment="1">
      <alignment horizontal="center"/>
    </xf>
    <xf numFmtId="0" fontId="8" fillId="25" borderId="0" xfId="8" applyFont="1" applyFill="1" applyAlignment="1">
      <alignment horizontal="center"/>
    </xf>
    <xf numFmtId="0" fontId="8" fillId="25" borderId="0" xfId="8" applyFont="1" applyFill="1"/>
    <xf numFmtId="170" fontId="4" fillId="25" borderId="0" xfId="8" applyNumberFormat="1" applyFill="1" applyAlignment="1">
      <alignment horizontal="center"/>
    </xf>
    <xf numFmtId="9" fontId="4" fillId="25" borderId="0" xfId="8" applyNumberFormat="1" applyFill="1" applyAlignment="1">
      <alignment horizontal="center"/>
    </xf>
    <xf numFmtId="170" fontId="8" fillId="25" borderId="0" xfId="8" applyNumberFormat="1" applyFont="1" applyFill="1" applyAlignment="1">
      <alignment horizontal="center"/>
    </xf>
    <xf numFmtId="0" fontId="54" fillId="17" borderId="64" xfId="8" applyFont="1" applyFill="1" applyBorder="1"/>
    <xf numFmtId="0" fontId="54" fillId="17" borderId="65" xfId="8" applyFont="1" applyFill="1" applyBorder="1"/>
    <xf numFmtId="167" fontId="54" fillId="17" borderId="1" xfId="125" applyNumberFormat="1" applyFont="1" applyFill="1" applyBorder="1"/>
    <xf numFmtId="9" fontId="79" fillId="17" borderId="3" xfId="11" applyFont="1" applyFill="1" applyBorder="1"/>
    <xf numFmtId="179" fontId="54" fillId="6" borderId="64" xfId="8" applyNumberFormat="1" applyFont="1" applyFill="1" applyBorder="1" applyAlignment="1">
      <alignment horizontal="center"/>
    </xf>
    <xf numFmtId="9" fontId="54" fillId="6" borderId="65" xfId="11" applyFont="1" applyFill="1" applyBorder="1" applyAlignment="1">
      <alignment horizontal="center"/>
    </xf>
    <xf numFmtId="167" fontId="54" fillId="7" borderId="4" xfId="125" applyNumberFormat="1" applyFont="1" applyFill="1" applyBorder="1"/>
    <xf numFmtId="9" fontId="79" fillId="7" borderId="5" xfId="11" applyFont="1" applyFill="1" applyBorder="1"/>
    <xf numFmtId="9" fontId="4" fillId="0" borderId="0" xfId="11" applyFont="1" applyFill="1" applyBorder="1"/>
    <xf numFmtId="0" fontId="54" fillId="17" borderId="6" xfId="8" applyFont="1" applyFill="1" applyBorder="1"/>
    <xf numFmtId="0" fontId="54" fillId="17" borderId="8" xfId="8" applyFont="1" applyFill="1" applyBorder="1"/>
    <xf numFmtId="9" fontId="79" fillId="17" borderId="65" xfId="11" applyFont="1" applyFill="1" applyBorder="1" applyAlignment="1">
      <alignment horizontal="center"/>
    </xf>
    <xf numFmtId="9" fontId="79" fillId="7" borderId="5" xfId="11" applyFont="1" applyFill="1" applyBorder="1" applyAlignment="1">
      <alignment horizontal="center"/>
    </xf>
    <xf numFmtId="170" fontId="55" fillId="0" borderId="0" xfId="8" applyNumberFormat="1" applyFont="1"/>
    <xf numFmtId="0" fontId="4" fillId="0" borderId="4" xfId="8" applyBorder="1" applyAlignment="1">
      <alignment horizontal="center"/>
    </xf>
    <xf numFmtId="10" fontId="30" fillId="6" borderId="8" xfId="11" applyNumberFormat="1" applyFont="1" applyFill="1" applyBorder="1" applyAlignment="1">
      <alignment horizontal="center"/>
    </xf>
    <xf numFmtId="10" fontId="42" fillId="11" borderId="5" xfId="11" applyNumberFormat="1" applyFont="1" applyFill="1" applyBorder="1" applyAlignment="1" applyProtection="1">
      <alignment horizontal="center"/>
    </xf>
    <xf numFmtId="10" fontId="4" fillId="11" borderId="5" xfId="11" applyNumberFormat="1" applyFill="1" applyBorder="1" applyAlignment="1" applyProtection="1">
      <alignment horizontal="center"/>
    </xf>
    <xf numFmtId="10" fontId="4" fillId="11" borderId="5" xfId="11" applyNumberFormat="1" applyFont="1" applyFill="1" applyBorder="1" applyAlignment="1" applyProtection="1">
      <alignment horizontal="center"/>
    </xf>
    <xf numFmtId="10" fontId="42" fillId="0" borderId="65" xfId="11" applyNumberFormat="1" applyFont="1" applyBorder="1" applyAlignment="1" applyProtection="1">
      <alignment horizontal="center"/>
    </xf>
    <xf numFmtId="10" fontId="42" fillId="0" borderId="5" xfId="11" applyNumberFormat="1" applyFont="1" applyBorder="1" applyAlignment="1" applyProtection="1">
      <alignment horizontal="center"/>
    </xf>
    <xf numFmtId="10" fontId="42" fillId="0" borderId="5" xfId="11" applyNumberFormat="1" applyFont="1" applyFill="1" applyBorder="1" applyAlignment="1" applyProtection="1">
      <alignment horizontal="center"/>
    </xf>
    <xf numFmtId="10" fontId="4" fillId="0" borderId="5" xfId="11" applyNumberFormat="1" applyFont="1" applyFill="1" applyBorder="1" applyAlignment="1">
      <alignment horizontal="center"/>
    </xf>
    <xf numFmtId="10" fontId="54" fillId="17" borderId="8" xfId="11" applyNumberFormat="1" applyFont="1" applyFill="1" applyBorder="1" applyAlignment="1">
      <alignment horizontal="center"/>
    </xf>
    <xf numFmtId="179" fontId="54" fillId="11" borderId="4" xfId="8" applyNumberFormat="1" applyFont="1" applyFill="1" applyBorder="1" applyAlignment="1">
      <alignment horizontal="center"/>
    </xf>
    <xf numFmtId="9" fontId="54" fillId="11" borderId="5" xfId="11" applyFont="1" applyFill="1" applyBorder="1" applyAlignment="1">
      <alignment horizontal="center"/>
    </xf>
    <xf numFmtId="10" fontId="4" fillId="11" borderId="5" xfId="11" applyNumberFormat="1" applyFont="1" applyFill="1" applyBorder="1" applyAlignment="1">
      <alignment horizontal="center"/>
    </xf>
    <xf numFmtId="10" fontId="54" fillId="6" borderId="65" xfId="11" applyNumberFormat="1" applyFont="1" applyFill="1" applyBorder="1" applyAlignment="1">
      <alignment horizontal="center"/>
    </xf>
    <xf numFmtId="10" fontId="54" fillId="11" borderId="5" xfId="11" applyNumberFormat="1" applyFont="1" applyFill="1" applyBorder="1" applyAlignment="1">
      <alignment horizontal="center"/>
    </xf>
    <xf numFmtId="0" fontId="54" fillId="17" borderId="13" xfId="8" applyFont="1" applyFill="1" applyBorder="1"/>
    <xf numFmtId="0" fontId="54" fillId="17" borderId="28" xfId="8" applyFont="1" applyFill="1" applyBorder="1"/>
    <xf numFmtId="0" fontId="54" fillId="17" borderId="82" xfId="8" applyFont="1" applyFill="1" applyBorder="1"/>
    <xf numFmtId="0" fontId="8" fillId="0" borderId="0" xfId="8" applyFont="1" applyBorder="1" applyAlignment="1">
      <alignment horizontal="left"/>
    </xf>
    <xf numFmtId="0" fontId="8" fillId="0" borderId="0" xfId="8" applyFont="1" applyBorder="1"/>
    <xf numFmtId="0" fontId="4" fillId="0" borderId="0" xfId="8" applyBorder="1"/>
    <xf numFmtId="168" fontId="77" fillId="0" borderId="0" xfId="125" applyNumberFormat="1" applyFont="1" applyBorder="1" applyProtection="1"/>
    <xf numFmtId="10" fontId="4" fillId="0" borderId="0" xfId="11" applyNumberFormat="1" applyBorder="1" applyProtection="1"/>
    <xf numFmtId="168" fontId="4" fillId="0" borderId="0" xfId="125" applyNumberFormat="1" applyFont="1" applyBorder="1" applyProtection="1"/>
    <xf numFmtId="9" fontId="4" fillId="0" borderId="0" xfId="11" applyBorder="1" applyProtection="1"/>
    <xf numFmtId="0" fontId="4" fillId="7" borderId="0" xfId="8" applyFill="1" applyBorder="1"/>
    <xf numFmtId="168" fontId="78" fillId="7" borderId="0" xfId="8" applyNumberFormat="1" applyFont="1" applyFill="1" applyBorder="1"/>
    <xf numFmtId="9" fontId="78" fillId="7" borderId="0" xfId="11" applyFont="1" applyFill="1" applyBorder="1" applyProtection="1"/>
    <xf numFmtId="10" fontId="4" fillId="0" borderId="0" xfId="11" applyNumberFormat="1" applyBorder="1" applyAlignment="1" applyProtection="1">
      <alignment horizontal="center"/>
    </xf>
    <xf numFmtId="10" fontId="4" fillId="7" borderId="0" xfId="11" applyNumberFormat="1" applyFill="1" applyBorder="1" applyAlignment="1" applyProtection="1">
      <alignment horizontal="center"/>
    </xf>
    <xf numFmtId="10" fontId="4" fillId="0" borderId="0" xfId="8" applyNumberFormat="1" applyBorder="1" applyAlignment="1">
      <alignment horizontal="center"/>
    </xf>
    <xf numFmtId="10" fontId="4"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4" fillId="7" borderId="0" xfId="8" applyFont="1" applyFill="1" applyBorder="1"/>
    <xf numFmtId="10" fontId="54" fillId="7" borderId="0" xfId="11" applyNumberFormat="1" applyFont="1" applyFill="1" applyBorder="1" applyAlignment="1" applyProtection="1">
      <alignment horizontal="center"/>
    </xf>
    <xf numFmtId="10" fontId="4" fillId="7" borderId="0" xfId="11" applyNumberFormat="1" applyFont="1" applyFill="1" applyBorder="1" applyAlignment="1" applyProtection="1">
      <alignment horizontal="center"/>
    </xf>
    <xf numFmtId="10" fontId="54" fillId="7" borderId="83" xfId="11" applyNumberFormat="1" applyFont="1" applyFill="1" applyBorder="1" applyAlignment="1" applyProtection="1">
      <alignment horizontal="center"/>
    </xf>
    <xf numFmtId="0" fontId="81" fillId="6" borderId="13" xfId="8" applyFont="1" applyFill="1" applyBorder="1"/>
    <xf numFmtId="0" fontId="81" fillId="6" borderId="28" xfId="8" applyFont="1" applyFill="1" applyBorder="1"/>
    <xf numFmtId="10" fontId="81" fillId="6" borderId="28" xfId="11" applyNumberFormat="1" applyFont="1" applyFill="1" applyBorder="1" applyAlignment="1" applyProtection="1">
      <alignment horizontal="center"/>
    </xf>
    <xf numFmtId="0" fontId="4" fillId="11" borderId="5" xfId="8" applyFill="1" applyBorder="1"/>
    <xf numFmtId="10" fontId="0" fillId="11" borderId="5" xfId="11" applyNumberFormat="1" applyFont="1" applyFill="1" applyBorder="1" applyAlignment="1" applyProtection="1">
      <alignment horizontal="center"/>
    </xf>
    <xf numFmtId="0" fontId="31" fillId="6" borderId="13" xfId="8" applyFont="1" applyFill="1" applyBorder="1"/>
    <xf numFmtId="0" fontId="30" fillId="6" borderId="28" xfId="8" applyFont="1" applyFill="1" applyBorder="1"/>
    <xf numFmtId="10" fontId="31" fillId="6" borderId="28" xfId="11" applyNumberFormat="1" applyFont="1" applyFill="1" applyBorder="1" applyAlignment="1" applyProtection="1">
      <alignment horizontal="center"/>
    </xf>
    <xf numFmtId="168" fontId="31" fillId="6" borderId="78" xfId="125" applyNumberFormat="1" applyFont="1" applyFill="1" applyBorder="1" applyAlignment="1" applyProtection="1">
      <alignment horizontal="center"/>
    </xf>
    <xf numFmtId="10" fontId="31" fillId="6" borderId="79" xfId="11" applyNumberFormat="1" applyFont="1" applyFill="1" applyBorder="1" applyAlignment="1" applyProtection="1">
      <alignment horizontal="center"/>
    </xf>
    <xf numFmtId="168" fontId="31" fillId="6" borderId="76" xfId="8" applyNumberFormat="1" applyFont="1" applyFill="1" applyBorder="1"/>
    <xf numFmtId="9" fontId="31" fillId="6" borderId="77" xfId="11" applyFont="1" applyFill="1" applyBorder="1" applyProtection="1"/>
    <xf numFmtId="10" fontId="31" fillId="6" borderId="28" xfId="8" applyNumberFormat="1" applyFont="1" applyFill="1" applyBorder="1" applyAlignment="1">
      <alignment horizontal="center"/>
    </xf>
    <xf numFmtId="0" fontId="30" fillId="6" borderId="13" xfId="8" applyFont="1" applyFill="1" applyBorder="1" applyAlignment="1">
      <alignment horizontal="left"/>
    </xf>
    <xf numFmtId="0" fontId="30" fillId="6" borderId="13" xfId="8" applyFont="1" applyFill="1" applyBorder="1"/>
    <xf numFmtId="0" fontId="30" fillId="6" borderId="76" xfId="8" applyFont="1" applyFill="1" applyBorder="1"/>
    <xf numFmtId="0" fontId="30" fillId="6" borderId="77" xfId="8" applyFont="1" applyFill="1" applyBorder="1"/>
    <xf numFmtId="0" fontId="30" fillId="6" borderId="4" xfId="8" applyFont="1" applyFill="1" applyBorder="1"/>
    <xf numFmtId="10" fontId="0" fillId="6" borderId="28" xfId="11" applyNumberFormat="1" applyFont="1" applyFill="1" applyBorder="1" applyAlignment="1" applyProtection="1">
      <alignment horizontal="center"/>
    </xf>
    <xf numFmtId="10" fontId="54" fillId="6" borderId="48" xfId="8" applyNumberFormat="1" applyFont="1" applyFill="1" applyBorder="1" applyAlignment="1">
      <alignment horizontal="center"/>
    </xf>
    <xf numFmtId="9" fontId="4" fillId="0" borderId="0" xfId="11" applyFill="1" applyBorder="1" applyAlignment="1">
      <alignment horizontal="center"/>
    </xf>
    <xf numFmtId="9" fontId="4" fillId="0" borderId="0" xfId="11" applyFont="1" applyFill="1" applyBorder="1" applyAlignment="1">
      <alignment horizontal="center"/>
    </xf>
    <xf numFmtId="10" fontId="4" fillId="7" borderId="0" xfId="11" applyNumberFormat="1" applyFont="1" applyFill="1" applyBorder="1" applyAlignment="1">
      <alignment horizontal="center"/>
    </xf>
    <xf numFmtId="170" fontId="4" fillId="0" borderId="3" xfId="8" applyNumberFormat="1" applyBorder="1"/>
    <xf numFmtId="10" fontId="8" fillId="0" borderId="5" xfId="8" applyNumberFormat="1" applyFont="1" applyBorder="1"/>
    <xf numFmtId="0" fontId="4" fillId="0" borderId="8" xfId="8" applyNumberFormat="1" applyBorder="1" applyAlignment="1">
      <alignment horizontal="center"/>
    </xf>
    <xf numFmtId="0" fontId="65" fillId="17" borderId="84" xfId="8" applyFont="1" applyFill="1" applyBorder="1"/>
    <xf numFmtId="166" fontId="65" fillId="17" borderId="13" xfId="125" applyFont="1" applyFill="1" applyBorder="1"/>
    <xf numFmtId="10" fontId="66" fillId="17" borderId="28" xfId="11" applyNumberFormat="1" applyFont="1" applyFill="1" applyBorder="1"/>
    <xf numFmtId="166" fontId="66" fillId="17" borderId="13" xfId="125" applyFont="1" applyFill="1" applyBorder="1"/>
    <xf numFmtId="10" fontId="66" fillId="17" borderId="28" xfId="8" applyNumberFormat="1" applyFont="1" applyFill="1" applyBorder="1"/>
    <xf numFmtId="0" fontId="30" fillId="6" borderId="66" xfId="8" applyFont="1" applyFill="1" applyBorder="1"/>
    <xf numFmtId="0" fontId="31" fillId="6" borderId="69" xfId="8" applyFont="1" applyFill="1" applyBorder="1"/>
    <xf numFmtId="166" fontId="30" fillId="6" borderId="67" xfId="125" applyFont="1" applyFill="1" applyBorder="1"/>
    <xf numFmtId="10" fontId="30" fillId="6" borderId="68" xfId="8" applyNumberFormat="1" applyFont="1" applyFill="1" applyBorder="1"/>
    <xf numFmtId="166" fontId="31" fillId="6" borderId="70" xfId="125" applyFont="1" applyFill="1" applyBorder="1"/>
    <xf numFmtId="10" fontId="31" fillId="6" borderId="71" xfId="8" applyNumberFormat="1" applyFont="1" applyFill="1" applyBorder="1"/>
    <xf numFmtId="165" fontId="31" fillId="6" borderId="70" xfId="125" applyNumberFormat="1" applyFont="1" applyFill="1" applyBorder="1"/>
    <xf numFmtId="170" fontId="48" fillId="24" borderId="1" xfId="8" applyNumberFormat="1" applyFont="1" applyFill="1" applyBorder="1"/>
    <xf numFmtId="177" fontId="57" fillId="22" borderId="3" xfId="8" applyNumberFormat="1" applyFont="1" applyFill="1" applyBorder="1"/>
    <xf numFmtId="0" fontId="8" fillId="7" borderId="0" xfId="8" applyFont="1" applyFill="1" applyBorder="1"/>
    <xf numFmtId="0" fontId="30" fillId="7" borderId="0" xfId="8" applyFont="1" applyFill="1" applyBorder="1"/>
    <xf numFmtId="10" fontId="30" fillId="7" borderId="0" xfId="11" applyNumberFormat="1" applyFont="1" applyFill="1" applyBorder="1" applyAlignment="1">
      <alignment horizontal="center"/>
    </xf>
    <xf numFmtId="0" fontId="4" fillId="7" borderId="0" xfId="8" applyFill="1" applyBorder="1" applyAlignment="1">
      <alignment horizontal="center"/>
    </xf>
    <xf numFmtId="0" fontId="4" fillId="7" borderId="51" xfId="8" applyFill="1" applyBorder="1" applyAlignment="1">
      <alignment horizontal="center"/>
    </xf>
    <xf numFmtId="0" fontId="4" fillId="7" borderId="5" xfId="8" applyFill="1" applyBorder="1" applyAlignment="1">
      <alignment horizontal="center"/>
    </xf>
    <xf numFmtId="0" fontId="4" fillId="7" borderId="4" xfId="8" applyFill="1" applyBorder="1" applyAlignment="1">
      <alignment horizontal="center"/>
    </xf>
    <xf numFmtId="10" fontId="30" fillId="26" borderId="3" xfId="11" applyNumberFormat="1" applyFont="1" applyFill="1" applyBorder="1" applyAlignment="1">
      <alignment horizontal="center"/>
    </xf>
    <xf numFmtId="10" fontId="30" fillId="26" borderId="8" xfId="8" applyNumberFormat="1" applyFont="1" applyFill="1" applyBorder="1" applyAlignment="1">
      <alignment horizontal="center"/>
    </xf>
    <xf numFmtId="181" fontId="48" fillId="5" borderId="48" xfId="8" applyNumberFormat="1" applyFont="1" applyFill="1" applyBorder="1" applyAlignment="1">
      <alignment horizontal="center"/>
    </xf>
    <xf numFmtId="180" fontId="35" fillId="5" borderId="48" xfId="8" applyNumberFormat="1" applyFont="1" applyFill="1" applyBorder="1" applyAlignment="1" applyProtection="1">
      <alignment horizontal="center"/>
    </xf>
    <xf numFmtId="0" fontId="54" fillId="17" borderId="48" xfId="8" applyFont="1" applyFill="1" applyBorder="1"/>
    <xf numFmtId="166" fontId="54" fillId="17" borderId="13" xfId="8" applyNumberFormat="1" applyFont="1" applyFill="1" applyBorder="1"/>
    <xf numFmtId="10" fontId="54" fillId="17" borderId="28" xfId="8" applyNumberFormat="1" applyFont="1" applyFill="1" applyBorder="1"/>
    <xf numFmtId="165" fontId="54" fillId="17" borderId="13" xfId="6" applyNumberFormat="1" applyFont="1" applyFill="1" applyBorder="1"/>
    <xf numFmtId="166" fontId="30" fillId="6" borderId="13" xfId="6" applyFont="1" applyFill="1" applyBorder="1"/>
    <xf numFmtId="10" fontId="30" fillId="6" borderId="28" xfId="8" applyNumberFormat="1" applyFont="1" applyFill="1" applyBorder="1"/>
    <xf numFmtId="177" fontId="57" fillId="14" borderId="3" xfId="8" applyNumberFormat="1" applyFont="1" applyFill="1" applyBorder="1"/>
    <xf numFmtId="170" fontId="48" fillId="14" borderId="1" xfId="8" applyNumberFormat="1" applyFont="1" applyFill="1" applyBorder="1"/>
    <xf numFmtId="0" fontId="48" fillId="0" borderId="51" xfId="8" applyFont="1" applyBorder="1"/>
    <xf numFmtId="178" fontId="51" fillId="15" borderId="3" xfId="125" applyNumberFormat="1" applyFont="1" applyFill="1" applyBorder="1"/>
    <xf numFmtId="170" fontId="48" fillId="14" borderId="1" xfId="8" applyNumberFormat="1" applyFont="1" applyFill="1" applyBorder="1" applyAlignment="1">
      <alignment horizontal="center"/>
    </xf>
    <xf numFmtId="167" fontId="48" fillId="15" borderId="52" xfId="8" applyNumberFormat="1" applyFont="1" applyFill="1" applyBorder="1" applyAlignment="1">
      <alignment horizontal="center" vertical="justify" wrapText="1"/>
    </xf>
    <xf numFmtId="170" fontId="48" fillId="15" borderId="1" xfId="8" applyNumberFormat="1" applyFont="1" applyFill="1" applyBorder="1" applyAlignment="1">
      <alignment horizontal="center"/>
    </xf>
    <xf numFmtId="10" fontId="48" fillId="15" borderId="4" xfId="8" applyNumberFormat="1" applyFont="1" applyFill="1" applyBorder="1" applyAlignment="1">
      <alignment horizontal="center"/>
    </xf>
    <xf numFmtId="171" fontId="48" fillId="19" borderId="4" xfId="8" applyNumberFormat="1" applyFont="1" applyFill="1" applyBorder="1" applyAlignment="1">
      <alignment horizontal="center"/>
    </xf>
    <xf numFmtId="0" fontId="48" fillId="15" borderId="6" xfId="8" applyNumberFormat="1" applyFont="1" applyFill="1" applyBorder="1" applyAlignment="1">
      <alignment horizontal="center"/>
    </xf>
    <xf numFmtId="0" fontId="48" fillId="15" borderId="8" xfId="8" applyNumberFormat="1" applyFont="1" applyFill="1" applyBorder="1" applyAlignment="1">
      <alignment horizontal="center"/>
    </xf>
    <xf numFmtId="3" fontId="48" fillId="15" borderId="51" xfId="8" applyNumberFormat="1" applyFont="1" applyFill="1" applyBorder="1" applyAlignment="1">
      <alignment horizontal="center"/>
    </xf>
    <xf numFmtId="170" fontId="48" fillId="15" borderId="5" xfId="8" applyNumberFormat="1" applyFont="1" applyFill="1" applyBorder="1"/>
    <xf numFmtId="10" fontId="48" fillId="15" borderId="5" xfId="8" applyNumberFormat="1" applyFont="1" applyFill="1" applyBorder="1"/>
    <xf numFmtId="10" fontId="48" fillId="15" borderId="8" xfId="8" applyNumberFormat="1" applyFont="1" applyFill="1" applyBorder="1" applyAlignment="1">
      <alignment horizontal="center"/>
    </xf>
    <xf numFmtId="170" fontId="48" fillId="15" borderId="1" xfId="8" applyNumberFormat="1" applyFont="1" applyFill="1" applyBorder="1"/>
    <xf numFmtId="178" fontId="51" fillId="14" borderId="3" xfId="125" applyNumberFormat="1" applyFont="1" applyFill="1" applyBorder="1"/>
    <xf numFmtId="170" fontId="48" fillId="14" borderId="5" xfId="8" applyNumberFormat="1" applyFont="1" applyFill="1" applyBorder="1"/>
    <xf numFmtId="10" fontId="48" fillId="14" borderId="5" xfId="8" applyNumberFormat="1" applyFont="1" applyFill="1" applyBorder="1"/>
    <xf numFmtId="0" fontId="48" fillId="15" borderId="4" xfId="8" applyFont="1" applyFill="1" applyBorder="1" applyAlignment="1">
      <alignment horizontal="center"/>
    </xf>
    <xf numFmtId="0" fontId="48" fillId="15" borderId="5" xfId="8" applyFont="1" applyFill="1" applyBorder="1" applyAlignment="1">
      <alignment horizontal="center"/>
    </xf>
    <xf numFmtId="10" fontId="48" fillId="15" borderId="5" xfId="8" applyNumberFormat="1" applyFont="1" applyFill="1" applyBorder="1" applyAlignment="1">
      <alignment horizontal="center"/>
    </xf>
    <xf numFmtId="170" fontId="48" fillId="14" borderId="5" xfId="8" applyNumberFormat="1" applyFont="1" applyFill="1" applyBorder="1" applyAlignment="1">
      <alignment horizontal="center"/>
    </xf>
    <xf numFmtId="10" fontId="48" fillId="14" borderId="4" xfId="8" applyNumberFormat="1" applyFont="1" applyFill="1" applyBorder="1" applyAlignment="1">
      <alignment horizontal="center"/>
    </xf>
    <xf numFmtId="10" fontId="48" fillId="14" borderId="5" xfId="8" applyNumberFormat="1" applyFont="1" applyFill="1" applyBorder="1" applyAlignment="1">
      <alignment horizontal="center"/>
    </xf>
    <xf numFmtId="0" fontId="48" fillId="14" borderId="6" xfId="8" applyFont="1" applyFill="1" applyBorder="1" applyAlignment="1">
      <alignment horizontal="center"/>
    </xf>
    <xf numFmtId="0" fontId="48" fillId="14" borderId="8" xfId="8" applyFont="1" applyFill="1" applyBorder="1" applyAlignment="1">
      <alignment horizontal="center"/>
    </xf>
    <xf numFmtId="170" fontId="30" fillId="6" borderId="1" xfId="8" applyNumberFormat="1" applyFont="1" applyFill="1" applyBorder="1" applyAlignment="1">
      <alignment horizontal="center"/>
    </xf>
    <xf numFmtId="170" fontId="30" fillId="6" borderId="5" xfId="8" applyNumberFormat="1" applyFont="1" applyFill="1" applyBorder="1" applyAlignment="1">
      <alignment horizontal="center"/>
    </xf>
    <xf numFmtId="0" fontId="30" fillId="6" borderId="8" xfId="8" applyFont="1" applyFill="1" applyBorder="1" applyAlignment="1">
      <alignment horizontal="center"/>
    </xf>
    <xf numFmtId="170" fontId="48" fillId="22" borderId="1" xfId="8" applyNumberFormat="1" applyFont="1" applyFill="1" applyBorder="1"/>
    <xf numFmtId="10" fontId="48" fillId="22" borderId="4" xfId="8" applyNumberFormat="1" applyFont="1" applyFill="1" applyBorder="1" applyAlignment="1">
      <alignment horizontal="center"/>
    </xf>
    <xf numFmtId="10" fontId="48" fillId="22" borderId="5" xfId="8" applyNumberFormat="1" applyFont="1" applyFill="1" applyBorder="1" applyAlignment="1">
      <alignment horizontal="center"/>
    </xf>
    <xf numFmtId="170" fontId="48" fillId="22" borderId="4" xfId="8" applyNumberFormat="1" applyFont="1" applyFill="1" applyBorder="1" applyAlignment="1">
      <alignment horizontal="center"/>
    </xf>
    <xf numFmtId="0" fontId="48" fillId="22" borderId="5" xfId="8" applyFont="1" applyFill="1" applyBorder="1" applyAlignment="1">
      <alignment horizontal="center"/>
    </xf>
    <xf numFmtId="170" fontId="48" fillId="22" borderId="6" xfId="8" applyNumberFormat="1" applyFont="1" applyFill="1" applyBorder="1" applyAlignment="1">
      <alignment horizontal="center"/>
    </xf>
    <xf numFmtId="9" fontId="48" fillId="22" borderId="8" xfId="8" applyNumberFormat="1" applyFont="1" applyFill="1" applyBorder="1" applyAlignment="1">
      <alignment horizontal="center"/>
    </xf>
    <xf numFmtId="170" fontId="48" fillId="19" borderId="8" xfId="8" applyNumberFormat="1" applyFont="1" applyFill="1" applyBorder="1" applyAlignment="1">
      <alignment horizontal="center"/>
    </xf>
    <xf numFmtId="170" fontId="48" fillId="22" borderId="8" xfId="8" applyNumberFormat="1" applyFont="1" applyFill="1" applyBorder="1" applyAlignment="1">
      <alignment horizontal="center"/>
    </xf>
    <xf numFmtId="170" fontId="48" fillId="0" borderId="0" xfId="8" applyNumberFormat="1" applyFont="1"/>
    <xf numFmtId="10" fontId="48" fillId="0" borderId="0" xfId="8" applyNumberFormat="1" applyFont="1" applyAlignment="1">
      <alignment horizontal="center"/>
    </xf>
    <xf numFmtId="0" fontId="48" fillId="0" borderId="0" xfId="8" applyFont="1" applyAlignment="1">
      <alignment horizontal="center"/>
    </xf>
    <xf numFmtId="10" fontId="48" fillId="24" borderId="5" xfId="8" applyNumberFormat="1" applyFont="1" applyFill="1" applyBorder="1" applyAlignment="1">
      <alignment horizontal="center"/>
    </xf>
    <xf numFmtId="170" fontId="48" fillId="24" borderId="4" xfId="8" applyNumberFormat="1" applyFont="1" applyFill="1" applyBorder="1" applyAlignment="1">
      <alignment horizontal="center"/>
    </xf>
    <xf numFmtId="170" fontId="48" fillId="24" borderId="6" xfId="8" applyNumberFormat="1" applyFont="1" applyFill="1" applyBorder="1" applyAlignment="1">
      <alignment horizontal="center"/>
    </xf>
    <xf numFmtId="9" fontId="48" fillId="24" borderId="8" xfId="8" applyNumberFormat="1" applyFont="1" applyFill="1" applyBorder="1" applyAlignment="1">
      <alignment horizontal="center"/>
    </xf>
    <xf numFmtId="170" fontId="48" fillId="14" borderId="4" xfId="8" applyNumberFormat="1" applyFont="1" applyFill="1" applyBorder="1" applyAlignment="1">
      <alignment horizontal="center"/>
    </xf>
    <xf numFmtId="170" fontId="48" fillId="14" borderId="6" xfId="8" applyNumberFormat="1" applyFont="1" applyFill="1" applyBorder="1" applyAlignment="1">
      <alignment horizontal="center"/>
    </xf>
    <xf numFmtId="9" fontId="48" fillId="14" borderId="8" xfId="11" applyFont="1" applyFill="1" applyBorder="1" applyAlignment="1" applyProtection="1">
      <alignment horizontal="center"/>
    </xf>
    <xf numFmtId="170" fontId="48" fillId="15" borderId="8" xfId="8" applyNumberFormat="1" applyFont="1" applyFill="1" applyBorder="1" applyAlignment="1">
      <alignment horizontal="center"/>
    </xf>
    <xf numFmtId="170" fontId="48" fillId="14" borderId="8" xfId="8" applyNumberFormat="1" applyFont="1" applyFill="1" applyBorder="1" applyAlignment="1">
      <alignment horizontal="center"/>
    </xf>
    <xf numFmtId="170" fontId="48" fillId="15" borderId="6" xfId="8" applyNumberFormat="1" applyFont="1" applyFill="1" applyBorder="1" applyAlignment="1">
      <alignment horizontal="center"/>
    </xf>
    <xf numFmtId="170" fontId="48" fillId="0" borderId="0" xfId="8" applyNumberFormat="1" applyFont="1" applyAlignment="1">
      <alignment horizontal="center"/>
    </xf>
    <xf numFmtId="170" fontId="48" fillId="0" borderId="51" xfId="8" applyNumberFormat="1" applyFont="1" applyBorder="1"/>
    <xf numFmtId="10" fontId="48" fillId="0" borderId="51" xfId="8" applyNumberFormat="1" applyFont="1" applyBorder="1" applyAlignment="1">
      <alignment horizontal="center"/>
    </xf>
    <xf numFmtId="0" fontId="48" fillId="0" borderId="51" xfId="8" applyFont="1" applyBorder="1" applyAlignment="1">
      <alignment horizontal="center"/>
    </xf>
    <xf numFmtId="170" fontId="48" fillId="0" borderId="51" xfId="8" applyNumberFormat="1" applyFont="1" applyBorder="1" applyAlignment="1">
      <alignment horizontal="center"/>
    </xf>
    <xf numFmtId="170" fontId="48" fillId="11" borderId="1" xfId="8" applyNumberFormat="1" applyFont="1" applyFill="1" applyBorder="1"/>
    <xf numFmtId="177" fontId="57" fillId="11" borderId="3" xfId="8" applyNumberFormat="1" applyFont="1" applyFill="1" applyBorder="1"/>
    <xf numFmtId="10" fontId="35" fillId="11" borderId="4" xfId="8" applyNumberFormat="1" applyFont="1" applyFill="1" applyBorder="1" applyAlignment="1">
      <alignment horizontal="center"/>
    </xf>
    <xf numFmtId="10" fontId="48" fillId="11" borderId="5" xfId="8" applyNumberFormat="1" applyFont="1" applyFill="1" applyBorder="1" applyAlignment="1">
      <alignment horizontal="center"/>
    </xf>
    <xf numFmtId="170" fontId="48" fillId="11" borderId="4" xfId="8" applyNumberFormat="1" applyFont="1" applyFill="1" applyBorder="1" applyAlignment="1">
      <alignment horizontal="center"/>
    </xf>
    <xf numFmtId="0" fontId="48" fillId="27" borderId="5" xfId="8" applyFont="1" applyFill="1" applyBorder="1" applyAlignment="1">
      <alignment horizontal="center"/>
    </xf>
    <xf numFmtId="170" fontId="48" fillId="11" borderId="6" xfId="8" applyNumberFormat="1" applyFont="1" applyFill="1" applyBorder="1" applyAlignment="1">
      <alignment horizontal="center"/>
    </xf>
    <xf numFmtId="9" fontId="48" fillId="11" borderId="8" xfId="11" applyFont="1" applyFill="1" applyBorder="1" applyAlignment="1" applyProtection="1">
      <alignment horizontal="center"/>
    </xf>
    <xf numFmtId="0" fontId="4" fillId="11" borderId="1" xfId="8" applyFill="1" applyBorder="1"/>
    <xf numFmtId="0" fontId="4" fillId="11" borderId="2" xfId="8" applyFill="1" applyBorder="1"/>
    <xf numFmtId="0" fontId="4" fillId="11" borderId="3" xfId="8" applyFill="1" applyBorder="1"/>
    <xf numFmtId="0" fontId="4" fillId="11" borderId="0" xfId="8" applyFill="1"/>
    <xf numFmtId="0" fontId="4" fillId="11" borderId="0" xfId="8" applyFill="1" applyAlignment="1">
      <alignment horizontal="left"/>
    </xf>
    <xf numFmtId="0" fontId="4" fillId="11" borderId="6" xfId="8" applyFill="1" applyBorder="1"/>
    <xf numFmtId="0" fontId="4" fillId="11" borderId="7" xfId="8" applyFill="1" applyBorder="1"/>
    <xf numFmtId="0" fontId="4" fillId="11" borderId="8" xfId="8" applyFill="1" applyBorder="1"/>
    <xf numFmtId="167" fontId="4" fillId="0" borderId="0" xfId="8" applyNumberFormat="1"/>
    <xf numFmtId="3" fontId="4" fillId="0" borderId="0" xfId="8" applyNumberFormat="1"/>
    <xf numFmtId="0" fontId="6" fillId="14" borderId="50" xfId="8" applyFont="1" applyFill="1" applyBorder="1"/>
    <xf numFmtId="0" fontId="6" fillId="14" borderId="51" xfId="8" applyFont="1" applyFill="1" applyBorder="1"/>
    <xf numFmtId="0" fontId="6" fillId="14" borderId="52" xfId="8" applyFont="1" applyFill="1" applyBorder="1"/>
    <xf numFmtId="0" fontId="84" fillId="14" borderId="50" xfId="8" applyFont="1" applyFill="1" applyBorder="1" applyAlignment="1" applyProtection="1">
      <alignment horizontal="left"/>
      <protection locked="0"/>
    </xf>
    <xf numFmtId="0" fontId="84" fillId="14" borderId="51" xfId="8" applyFont="1" applyFill="1" applyBorder="1" applyAlignment="1" applyProtection="1">
      <alignment horizontal="left"/>
      <protection locked="0"/>
    </xf>
    <xf numFmtId="0" fontId="84" fillId="14" borderId="52" xfId="8" applyFont="1" applyFill="1" applyBorder="1" applyAlignment="1" applyProtection="1">
      <alignment horizontal="left"/>
      <protection locked="0"/>
    </xf>
    <xf numFmtId="0" fontId="73" fillId="6" borderId="0" xfId="124" applyNumberFormat="1" applyFont="1" applyFill="1" applyBorder="1" applyAlignment="1">
      <alignment horizontal="center"/>
    </xf>
    <xf numFmtId="167" fontId="34" fillId="11" borderId="0" xfId="124" applyNumberFormat="1" applyFont="1" applyFill="1" applyBorder="1" applyAlignment="1">
      <alignment horizontal="center"/>
    </xf>
    <xf numFmtId="3" fontId="34" fillId="11" borderId="0" xfId="124" applyNumberFormat="1" applyFont="1" applyFill="1" applyBorder="1" applyAlignment="1">
      <alignment horizontal="center"/>
    </xf>
    <xf numFmtId="39" fontId="34" fillId="11" borderId="0" xfId="124" applyNumberFormat="1" applyFont="1" applyFill="1" applyBorder="1" applyAlignment="1" applyProtection="1">
      <alignment horizontal="center"/>
    </xf>
    <xf numFmtId="167" fontId="34" fillId="11" borderId="0" xfId="124" applyNumberFormat="1" applyFont="1" applyFill="1" applyBorder="1" applyAlignment="1" applyProtection="1">
      <alignment horizontal="center"/>
    </xf>
    <xf numFmtId="10" fontId="44" fillId="5" borderId="5" xfId="8" applyNumberFormat="1" applyFont="1" applyFill="1" applyBorder="1" applyProtection="1">
      <protection locked="0"/>
    </xf>
    <xf numFmtId="166" fontId="44" fillId="5" borderId="48" xfId="8" applyNumberFormat="1" applyFont="1" applyFill="1" applyBorder="1" applyAlignment="1" applyProtection="1">
      <protection locked="0"/>
    </xf>
    <xf numFmtId="10" fontId="44" fillId="5" borderId="59" xfId="8" applyNumberFormat="1" applyFont="1" applyFill="1" applyBorder="1" applyProtection="1">
      <protection locked="0"/>
    </xf>
    <xf numFmtId="170" fontId="4" fillId="22" borderId="1" xfId="8" applyNumberFormat="1" applyFill="1" applyBorder="1" applyAlignment="1">
      <alignment horizontal="center"/>
    </xf>
    <xf numFmtId="177" fontId="15" fillId="22" borderId="3" xfId="8" applyNumberFormat="1" applyFont="1" applyFill="1" applyBorder="1"/>
    <xf numFmtId="170" fontId="4" fillId="24" borderId="1" xfId="8" applyNumberFormat="1" applyFill="1" applyBorder="1" applyAlignment="1">
      <alignment horizontal="center"/>
    </xf>
    <xf numFmtId="177" fontId="15" fillId="24" borderId="3" xfId="8" applyNumberFormat="1" applyFont="1" applyFill="1" applyBorder="1"/>
    <xf numFmtId="0" fontId="4" fillId="22" borderId="5" xfId="8" applyFill="1" applyBorder="1"/>
    <xf numFmtId="0" fontId="4" fillId="23" borderId="0" xfId="8" applyFill="1"/>
    <xf numFmtId="10" fontId="4" fillId="24" borderId="4" xfId="8" applyNumberFormat="1" applyFill="1" applyBorder="1" applyAlignment="1">
      <alignment horizontal="center"/>
    </xf>
    <xf numFmtId="0" fontId="4" fillId="24" borderId="5" xfId="8" applyFill="1" applyBorder="1" applyAlignment="1">
      <alignment horizontal="right"/>
    </xf>
    <xf numFmtId="0" fontId="8" fillId="22" borderId="5" xfId="8" applyFont="1" applyFill="1" applyBorder="1" applyAlignment="1">
      <alignment horizontal="center"/>
    </xf>
    <xf numFmtId="170" fontId="8" fillId="22" borderId="4" xfId="8" applyNumberFormat="1" applyFont="1" applyFill="1" applyBorder="1" applyAlignment="1">
      <alignment horizontal="center"/>
    </xf>
    <xf numFmtId="10" fontId="4" fillId="25" borderId="0" xfId="8" applyNumberFormat="1" applyFill="1" applyAlignment="1">
      <alignment horizontal="center"/>
    </xf>
    <xf numFmtId="170" fontId="8" fillId="24" borderId="4" xfId="8" applyNumberFormat="1" applyFont="1" applyFill="1" applyBorder="1" applyAlignment="1">
      <alignment horizontal="center"/>
    </xf>
    <xf numFmtId="49" fontId="4" fillId="0" borderId="0" xfId="8" applyNumberFormat="1"/>
    <xf numFmtId="0" fontId="4" fillId="0" borderId="1" xfId="8" applyBorder="1"/>
    <xf numFmtId="0" fontId="4" fillId="0" borderId="3" xfId="8" applyBorder="1"/>
    <xf numFmtId="0" fontId="15" fillId="0" borderId="5" xfId="8" applyFont="1" applyBorder="1"/>
    <xf numFmtId="0" fontId="8" fillId="0" borderId="4" xfId="8" applyFont="1" applyBorder="1"/>
    <xf numFmtId="10" fontId="42" fillId="7" borderId="85" xfId="11" applyNumberFormat="1" applyFont="1" applyFill="1" applyBorder="1" applyProtection="1"/>
    <xf numFmtId="166" fontId="8" fillId="11" borderId="4" xfId="127" applyFont="1" applyFill="1" applyBorder="1" applyProtection="1"/>
    <xf numFmtId="10" fontId="8" fillId="11" borderId="85" xfId="11" applyNumberFormat="1" applyFont="1" applyFill="1" applyBorder="1" applyProtection="1"/>
    <xf numFmtId="10" fontId="42" fillId="7" borderId="86" xfId="11" applyNumberFormat="1" applyFont="1" applyFill="1" applyBorder="1" applyProtection="1"/>
    <xf numFmtId="9" fontId="0" fillId="0" borderId="0" xfId="11" applyFont="1" applyFill="1" applyBorder="1" applyProtection="1"/>
    <xf numFmtId="10" fontId="13" fillId="0" borderId="5" xfId="11" applyNumberFormat="1" applyFont="1" applyBorder="1" applyProtection="1"/>
    <xf numFmtId="10" fontId="35" fillId="11" borderId="5" xfId="11" applyNumberFormat="1" applyFont="1" applyFill="1" applyBorder="1" applyProtection="1"/>
    <xf numFmtId="166" fontId="54" fillId="17" borderId="13" xfId="8" applyNumberFormat="1" applyFont="1" applyFill="1" applyBorder="1" applyAlignment="1">
      <alignment horizontal="right"/>
    </xf>
    <xf numFmtId="10" fontId="54" fillId="17" borderId="28" xfId="11" applyNumberFormat="1" applyFont="1" applyFill="1" applyBorder="1" applyProtection="1"/>
    <xf numFmtId="182" fontId="0" fillId="0" borderId="0" xfId="127" applyNumberFormat="1" applyFont="1" applyProtection="1"/>
    <xf numFmtId="0" fontId="4" fillId="22" borderId="6" xfId="8" applyNumberFormat="1" applyFill="1" applyBorder="1" applyAlignment="1">
      <alignment horizontal="center"/>
    </xf>
    <xf numFmtId="0" fontId="4" fillId="22" borderId="8" xfId="8" applyNumberFormat="1" applyFill="1" applyBorder="1" applyAlignment="1">
      <alignment horizontal="center"/>
    </xf>
    <xf numFmtId="0" fontId="4" fillId="19" borderId="6" xfId="8" applyNumberFormat="1" applyFill="1" applyBorder="1" applyAlignment="1">
      <alignment horizontal="center"/>
    </xf>
    <xf numFmtId="0" fontId="4" fillId="19" borderId="8" xfId="8" applyNumberFormat="1" applyFill="1" applyBorder="1" applyAlignment="1">
      <alignment horizontal="center"/>
    </xf>
    <xf numFmtId="0" fontId="8" fillId="23" borderId="0" xfId="8" applyNumberFormat="1" applyFont="1" applyFill="1" applyAlignment="1">
      <alignment horizontal="center"/>
    </xf>
    <xf numFmtId="0" fontId="4" fillId="24" borderId="6" xfId="8" applyNumberFormat="1" applyFill="1" applyBorder="1" applyAlignment="1">
      <alignment horizontal="center"/>
    </xf>
    <xf numFmtId="0" fontId="4" fillId="24" borderId="8" xfId="8" applyNumberFormat="1" applyFill="1" applyBorder="1" applyAlignment="1">
      <alignment horizontal="center"/>
    </xf>
    <xf numFmtId="0" fontId="8" fillId="0" borderId="0" xfId="8" applyNumberFormat="1" applyFont="1"/>
    <xf numFmtId="170" fontId="42" fillId="27" borderId="1" xfId="8" applyNumberFormat="1" applyFont="1" applyFill="1" applyBorder="1" applyAlignment="1">
      <alignment horizontal="center"/>
    </xf>
    <xf numFmtId="177" fontId="89" fillId="27" borderId="3" xfId="8" applyNumberFormat="1" applyFont="1" applyFill="1" applyBorder="1"/>
    <xf numFmtId="10" fontId="42" fillId="27" borderId="4" xfId="8" applyNumberFormat="1" applyFont="1" applyFill="1" applyBorder="1" applyAlignment="1">
      <alignment horizontal="center"/>
    </xf>
    <xf numFmtId="0" fontId="42" fillId="27" borderId="5" xfId="8" applyFont="1" applyFill="1" applyBorder="1" applyAlignment="1">
      <alignment horizontal="right"/>
    </xf>
    <xf numFmtId="170" fontId="35" fillId="27" borderId="4" xfId="8" applyNumberFormat="1" applyFont="1" applyFill="1" applyBorder="1" applyAlignment="1">
      <alignment horizontal="center"/>
    </xf>
    <xf numFmtId="0" fontId="35" fillId="27" borderId="5" xfId="8" applyFont="1" applyFill="1" applyBorder="1" applyAlignment="1">
      <alignment horizontal="center"/>
    </xf>
    <xf numFmtId="0" fontId="42" fillId="27" borderId="6" xfId="8" applyNumberFormat="1" applyFont="1" applyFill="1" applyBorder="1" applyAlignment="1">
      <alignment horizontal="center"/>
    </xf>
    <xf numFmtId="0" fontId="42" fillId="27" borderId="8" xfId="8" applyNumberFormat="1" applyFont="1" applyFill="1" applyBorder="1" applyAlignment="1">
      <alignment horizontal="center"/>
    </xf>
    <xf numFmtId="0" fontId="13" fillId="0" borderId="4" xfId="8" applyFont="1" applyBorder="1" applyProtection="1"/>
    <xf numFmtId="0" fontId="13" fillId="0" borderId="5" xfId="8" applyFont="1" applyBorder="1" applyProtection="1"/>
    <xf numFmtId="0" fontId="4" fillId="0" borderId="0" xfId="8" applyProtection="1"/>
    <xf numFmtId="0" fontId="16" fillId="0" borderId="0" xfId="8" applyFont="1" applyProtection="1"/>
    <xf numFmtId="0" fontId="42" fillId="0" borderId="51" xfId="128" applyFont="1" applyBorder="1"/>
    <xf numFmtId="0" fontId="42" fillId="7" borderId="51" xfId="128" applyFont="1" applyFill="1" applyBorder="1"/>
    <xf numFmtId="0" fontId="8" fillId="7" borderId="4" xfId="8" applyFont="1" applyFill="1" applyBorder="1"/>
    <xf numFmtId="10" fontId="42" fillId="7" borderId="5" xfId="11" applyNumberFormat="1" applyFont="1" applyFill="1" applyBorder="1" applyProtection="1"/>
    <xf numFmtId="10" fontId="8" fillId="11" borderId="5" xfId="11" applyNumberFormat="1" applyFont="1" applyFill="1" applyBorder="1" applyProtection="1"/>
    <xf numFmtId="0" fontId="8" fillId="0" borderId="4" xfId="8" applyFont="1" applyBorder="1" applyProtection="1"/>
    <xf numFmtId="0" fontId="4" fillId="0" borderId="5" xfId="8" applyBorder="1" applyProtection="1"/>
    <xf numFmtId="0" fontId="92" fillId="0" borderId="3" xfId="128" applyFont="1" applyBorder="1"/>
    <xf numFmtId="49" fontId="4" fillId="22" borderId="6" xfId="8" applyNumberFormat="1" applyFill="1" applyBorder="1" applyAlignment="1">
      <alignment horizontal="center"/>
    </xf>
    <xf numFmtId="9" fontId="4" fillId="22" borderId="8" xfId="8" applyNumberFormat="1" applyFill="1" applyBorder="1" applyAlignment="1">
      <alignment horizontal="center"/>
    </xf>
    <xf numFmtId="0" fontId="8" fillId="0" borderId="0" xfId="8" applyFont="1" applyAlignment="1">
      <alignment horizontal="center"/>
    </xf>
    <xf numFmtId="49" fontId="4" fillId="19" borderId="6" xfId="8" applyNumberFormat="1" applyFill="1" applyBorder="1" applyAlignment="1">
      <alignment horizontal="center"/>
    </xf>
    <xf numFmtId="49" fontId="4" fillId="19" borderId="8" xfId="8" applyNumberFormat="1" applyFill="1" applyBorder="1" applyAlignment="1">
      <alignment horizontal="center"/>
    </xf>
    <xf numFmtId="49" fontId="8" fillId="0" borderId="0" xfId="8" applyNumberFormat="1" applyFont="1" applyAlignment="1">
      <alignment horizontal="center"/>
    </xf>
    <xf numFmtId="49" fontId="4" fillId="22" borderId="8" xfId="8" applyNumberFormat="1" applyFill="1" applyBorder="1" applyAlignment="1">
      <alignment horizontal="center"/>
    </xf>
    <xf numFmtId="49" fontId="8" fillId="23" borderId="0" xfId="8" applyNumberFormat="1" applyFont="1" applyFill="1" applyAlignment="1">
      <alignment horizontal="center"/>
    </xf>
    <xf numFmtId="49" fontId="4" fillId="24" borderId="6" xfId="8" applyNumberFormat="1" applyFill="1" applyBorder="1" applyAlignment="1">
      <alignment horizontal="center"/>
    </xf>
    <xf numFmtId="49" fontId="4" fillId="24" borderId="8" xfId="8" applyNumberFormat="1" applyFill="1" applyBorder="1" applyAlignment="1">
      <alignment horizontal="center"/>
    </xf>
    <xf numFmtId="49" fontId="8" fillId="0" borderId="0" xfId="8" applyNumberFormat="1" applyFont="1"/>
    <xf numFmtId="10" fontId="8" fillId="11" borderId="86" xfId="11" applyNumberFormat="1" applyFont="1" applyFill="1" applyBorder="1" applyProtection="1"/>
    <xf numFmtId="0" fontId="8" fillId="0" borderId="4" xfId="8" applyFont="1" applyBorder="1" applyAlignment="1">
      <alignment horizontal="center"/>
    </xf>
    <xf numFmtId="0" fontId="8" fillId="0" borderId="5" xfId="8" applyFont="1" applyBorder="1"/>
    <xf numFmtId="0" fontId="8" fillId="23" borderId="4" xfId="8" applyFont="1" applyFill="1" applyBorder="1" applyAlignment="1">
      <alignment horizontal="center"/>
    </xf>
    <xf numFmtId="0" fontId="8" fillId="23" borderId="5" xfId="8" applyFont="1" applyFill="1" applyBorder="1"/>
    <xf numFmtId="0" fontId="13" fillId="0" borderId="4" xfId="8" applyFont="1" applyBorder="1"/>
    <xf numFmtId="0" fontId="13" fillId="0" borderId="5" xfId="8" applyFont="1" applyBorder="1"/>
    <xf numFmtId="0" fontId="16" fillId="0" borderId="0" xfId="8" applyFont="1"/>
    <xf numFmtId="0" fontId="89" fillId="0" borderId="3" xfId="128" applyFont="1" applyBorder="1"/>
    <xf numFmtId="0" fontId="95" fillId="0" borderId="3" xfId="128" applyFont="1" applyBorder="1"/>
    <xf numFmtId="0" fontId="15" fillId="0" borderId="3" xfId="8" applyFont="1" applyBorder="1"/>
    <xf numFmtId="0" fontId="4" fillId="23" borderId="4" xfId="8" applyFill="1" applyBorder="1"/>
    <xf numFmtId="0" fontId="4" fillId="23" borderId="5" xfId="8" applyFill="1" applyBorder="1"/>
    <xf numFmtId="0" fontId="8" fillId="0" borderId="4" xfId="8" applyFont="1" applyBorder="1" applyAlignment="1">
      <alignment horizontal="right"/>
    </xf>
    <xf numFmtId="10" fontId="8" fillId="22" borderId="5" xfId="8" applyNumberFormat="1" applyFont="1" applyFill="1" applyBorder="1" applyAlignment="1">
      <alignment horizontal="center"/>
    </xf>
    <xf numFmtId="0" fontId="48" fillId="24" borderId="5" xfId="8" applyFont="1" applyFill="1" applyBorder="1" applyAlignment="1">
      <alignment horizontal="right"/>
    </xf>
    <xf numFmtId="0" fontId="8" fillId="14" borderId="50" xfId="0" applyFont="1" applyFill="1" applyBorder="1" applyAlignment="1">
      <alignment horizontal="center"/>
    </xf>
    <xf numFmtId="0" fontId="8" fillId="0" borderId="0" xfId="0" applyFont="1" applyAlignment="1">
      <alignment horizontal="left"/>
    </xf>
    <xf numFmtId="170" fontId="8" fillId="15" borderId="1" xfId="0" applyNumberFormat="1" applyFont="1" applyFill="1" applyBorder="1" applyAlignment="1">
      <alignment horizontal="center"/>
    </xf>
    <xf numFmtId="10" fontId="8" fillId="15" borderId="4" xfId="0" applyNumberFormat="1" applyFont="1" applyFill="1" applyBorder="1" applyAlignment="1">
      <alignment horizontal="center"/>
    </xf>
    <xf numFmtId="170" fontId="0" fillId="15" borderId="5" xfId="0" applyNumberFormat="1" applyFill="1" applyBorder="1"/>
    <xf numFmtId="0" fontId="8" fillId="15" borderId="51" xfId="0" applyFont="1" applyFill="1" applyBorder="1" applyAlignment="1">
      <alignment horizontal="center"/>
    </xf>
    <xf numFmtId="0" fontId="8" fillId="15" borderId="4" xfId="0" applyFont="1" applyFill="1" applyBorder="1" applyAlignment="1">
      <alignment horizontal="center"/>
    </xf>
    <xf numFmtId="0" fontId="8" fillId="15" borderId="5" xfId="0" applyFont="1" applyFill="1" applyBorder="1" applyAlignment="1">
      <alignment horizontal="center"/>
    </xf>
    <xf numFmtId="10" fontId="8" fillId="0" borderId="0" xfId="0" applyNumberFormat="1" applyFont="1"/>
    <xf numFmtId="176" fontId="8" fillId="15" borderId="51" xfId="0" applyNumberFormat="1" applyFont="1" applyFill="1" applyBorder="1" applyAlignment="1">
      <alignment horizontal="center"/>
    </xf>
    <xf numFmtId="0" fontId="0" fillId="15" borderId="5" xfId="0" applyFill="1" applyBorder="1" applyAlignment="1">
      <alignment horizontal="center"/>
    </xf>
    <xf numFmtId="0" fontId="0" fillId="0" borderId="0" xfId="0" applyAlignment="1">
      <alignment horizontal="center"/>
    </xf>
    <xf numFmtId="0" fontId="96" fillId="6" borderId="50" xfId="0" applyFont="1" applyFill="1" applyBorder="1"/>
    <xf numFmtId="0" fontId="31" fillId="6" borderId="1" xfId="0" applyFont="1" applyFill="1" applyBorder="1"/>
    <xf numFmtId="10" fontId="31" fillId="6" borderId="3" xfId="0" applyNumberFormat="1" applyFont="1" applyFill="1" applyBorder="1"/>
    <xf numFmtId="0" fontId="4" fillId="0" borderId="51" xfId="0" applyFont="1" applyBorder="1"/>
    <xf numFmtId="166" fontId="16" fillId="28" borderId="4" xfId="0" applyNumberFormat="1" applyFont="1" applyFill="1" applyBorder="1" applyProtection="1">
      <protection locked="0"/>
    </xf>
    <xf numFmtId="10" fontId="48" fillId="28" borderId="5" xfId="0" applyNumberFormat="1" applyFont="1" applyFill="1" applyBorder="1"/>
    <xf numFmtId="0" fontId="57" fillId="0" borderId="51" xfId="0" applyFont="1" applyBorder="1"/>
    <xf numFmtId="10" fontId="8" fillId="28" borderId="5" xfId="0" applyNumberFormat="1" applyFont="1" applyFill="1" applyBorder="1"/>
    <xf numFmtId="0" fontId="4" fillId="0" borderId="53" xfId="0" applyFont="1" applyBorder="1"/>
    <xf numFmtId="0" fontId="97" fillId="17" borderId="87" xfId="0" applyFont="1" applyFill="1" applyBorder="1"/>
    <xf numFmtId="0" fontId="55" fillId="0" borderId="0" xfId="0" applyFont="1"/>
    <xf numFmtId="166" fontId="54" fillId="17" borderId="4" xfId="0" applyNumberFormat="1" applyFont="1" applyFill="1" applyBorder="1"/>
    <xf numFmtId="10" fontId="54" fillId="17" borderId="5" xfId="0" applyNumberFormat="1" applyFont="1" applyFill="1" applyBorder="1"/>
    <xf numFmtId="0" fontId="0" fillId="7" borderId="55" xfId="0" applyFill="1" applyBorder="1"/>
    <xf numFmtId="166" fontId="4" fillId="28" borderId="4" xfId="6" applyFont="1" applyFill="1" applyBorder="1"/>
    <xf numFmtId="10" fontId="0" fillId="28" borderId="5" xfId="0" applyNumberFormat="1" applyFill="1" applyBorder="1"/>
    <xf numFmtId="0" fontId="42" fillId="7" borderId="0" xfId="0" applyFont="1" applyFill="1"/>
    <xf numFmtId="0" fontId="35" fillId="7" borderId="56" xfId="0" applyFont="1" applyFill="1" applyBorder="1"/>
    <xf numFmtId="0" fontId="42" fillId="7" borderId="57" xfId="0" applyFont="1" applyFill="1" applyBorder="1"/>
    <xf numFmtId="166" fontId="16" fillId="28" borderId="58" xfId="6" applyFont="1" applyFill="1" applyBorder="1" applyProtection="1">
      <protection locked="0"/>
    </xf>
    <xf numFmtId="10" fontId="42" fillId="28" borderId="59" xfId="0" applyNumberFormat="1" applyFont="1" applyFill="1" applyBorder="1"/>
    <xf numFmtId="165" fontId="0" fillId="0" borderId="0" xfId="0" applyNumberFormat="1"/>
    <xf numFmtId="0" fontId="0" fillId="7" borderId="51" xfId="0" applyFill="1" applyBorder="1"/>
    <xf numFmtId="166" fontId="0" fillId="28" borderId="4" xfId="6" applyFont="1" applyFill="1" applyBorder="1"/>
    <xf numFmtId="0" fontId="4" fillId="7" borderId="51" xfId="0" applyFont="1" applyFill="1" applyBorder="1"/>
    <xf numFmtId="167" fontId="0" fillId="28" borderId="4" xfId="6" applyNumberFormat="1" applyFont="1" applyFill="1" applyBorder="1"/>
    <xf numFmtId="0" fontId="81" fillId="6" borderId="56" xfId="0" applyFont="1" applyFill="1" applyBorder="1"/>
    <xf numFmtId="0" fontId="8" fillId="0" borderId="57" xfId="0" applyFont="1" applyBorder="1"/>
    <xf numFmtId="166" fontId="30" fillId="6" borderId="58" xfId="6" applyFont="1" applyFill="1" applyBorder="1" applyProtection="1"/>
    <xf numFmtId="10" fontId="30" fillId="6" borderId="59" xfId="0" applyNumberFormat="1" applyFont="1" applyFill="1" applyBorder="1"/>
    <xf numFmtId="0" fontId="81" fillId="26" borderId="56" xfId="0" applyFont="1" applyFill="1" applyBorder="1"/>
    <xf numFmtId="166" fontId="81" fillId="26" borderId="58" xfId="6" applyFont="1" applyFill="1" applyBorder="1"/>
    <xf numFmtId="10" fontId="81" fillId="26" borderId="59" xfId="0" applyNumberFormat="1" applyFont="1" applyFill="1" applyBorder="1"/>
    <xf numFmtId="0" fontId="97" fillId="17" borderId="51" xfId="0" applyFont="1" applyFill="1" applyBorder="1"/>
    <xf numFmtId="0" fontId="54" fillId="0" borderId="0" xfId="0" applyFont="1"/>
    <xf numFmtId="0" fontId="0" fillId="0" borderId="51" xfId="0" applyBorder="1"/>
    <xf numFmtId="166" fontId="16" fillId="28" borderId="4" xfId="6" applyFont="1" applyFill="1" applyBorder="1" applyProtection="1">
      <protection locked="0"/>
    </xf>
    <xf numFmtId="10" fontId="4" fillId="28" borderId="5" xfId="0" applyNumberFormat="1" applyFont="1" applyFill="1" applyBorder="1"/>
    <xf numFmtId="0" fontId="0" fillId="7" borderId="0" xfId="0" applyFill="1"/>
    <xf numFmtId="0" fontId="0" fillId="0" borderId="57" xfId="0" applyBorder="1"/>
    <xf numFmtId="166" fontId="81" fillId="6" borderId="58" xfId="6" applyFont="1" applyFill="1" applyBorder="1"/>
    <xf numFmtId="10" fontId="81" fillId="6" borderId="59" xfId="6" applyNumberFormat="1" applyFont="1" applyFill="1" applyBorder="1"/>
    <xf numFmtId="0" fontId="89" fillId="7" borderId="51" xfId="0" applyFont="1" applyFill="1" applyBorder="1"/>
    <xf numFmtId="166" fontId="35" fillId="28" borderId="4" xfId="6" applyFont="1" applyFill="1" applyBorder="1"/>
    <xf numFmtId="10" fontId="35" fillId="28" borderId="5" xfId="0" applyNumberFormat="1" applyFont="1" applyFill="1" applyBorder="1"/>
    <xf numFmtId="0" fontId="54" fillId="17" borderId="51" xfId="0" applyFont="1" applyFill="1" applyBorder="1"/>
    <xf numFmtId="0" fontId="54" fillId="7" borderId="51" xfId="0" applyFont="1" applyFill="1" applyBorder="1"/>
    <xf numFmtId="0" fontId="55" fillId="7" borderId="0" xfId="0" applyFont="1" applyFill="1"/>
    <xf numFmtId="166" fontId="54" fillId="28" borderId="4" xfId="6" applyFont="1" applyFill="1" applyBorder="1"/>
    <xf numFmtId="10" fontId="54" fillId="28" borderId="5" xfId="0" applyNumberFormat="1" applyFont="1" applyFill="1" applyBorder="1"/>
    <xf numFmtId="0" fontId="54" fillId="26" borderId="51" xfId="0" applyFont="1" applyFill="1" applyBorder="1"/>
    <xf numFmtId="166" fontId="81" fillId="26" borderId="4" xfId="6" applyFont="1" applyFill="1" applyBorder="1"/>
    <xf numFmtId="10" fontId="81" fillId="26" borderId="5" xfId="0" applyNumberFormat="1" applyFont="1" applyFill="1" applyBorder="1"/>
    <xf numFmtId="0" fontId="30" fillId="6" borderId="51" xfId="0" applyFont="1" applyFill="1" applyBorder="1"/>
    <xf numFmtId="166" fontId="31" fillId="6" borderId="4" xfId="6" applyFont="1" applyFill="1" applyBorder="1"/>
    <xf numFmtId="10" fontId="31" fillId="6" borderId="5" xfId="0" applyNumberFormat="1" applyFont="1" applyFill="1" applyBorder="1"/>
    <xf numFmtId="0" fontId="30" fillId="7" borderId="51" xfId="0" applyFont="1" applyFill="1" applyBorder="1"/>
    <xf numFmtId="166" fontId="31" fillId="28" borderId="4" xfId="6" applyFont="1" applyFill="1" applyBorder="1"/>
    <xf numFmtId="10" fontId="31" fillId="28" borderId="5" xfId="0" applyNumberFormat="1" applyFont="1" applyFill="1" applyBorder="1"/>
    <xf numFmtId="0" fontId="42" fillId="7" borderId="51" xfId="0" applyFont="1" applyFill="1" applyBorder="1"/>
    <xf numFmtId="10" fontId="42" fillId="28" borderId="5" xfId="0" applyNumberFormat="1" applyFont="1" applyFill="1" applyBorder="1"/>
    <xf numFmtId="0" fontId="42" fillId="0" borderId="51" xfId="0" applyFont="1" applyBorder="1"/>
    <xf numFmtId="0" fontId="54" fillId="26" borderId="52" xfId="0" applyFont="1" applyFill="1" applyBorder="1"/>
    <xf numFmtId="166" fontId="54" fillId="26" borderId="6" xfId="6" applyFont="1" applyFill="1" applyBorder="1"/>
    <xf numFmtId="10" fontId="54" fillId="26" borderId="8" xfId="0" applyNumberFormat="1" applyFont="1" applyFill="1" applyBorder="1"/>
    <xf numFmtId="165" fontId="31" fillId="6" borderId="0" xfId="0" applyNumberFormat="1" applyFont="1" applyFill="1"/>
    <xf numFmtId="0" fontId="0" fillId="28" borderId="4" xfId="0" applyFill="1" applyBorder="1"/>
    <xf numFmtId="0" fontId="0" fillId="28" borderId="5" xfId="0" applyFill="1" applyBorder="1"/>
    <xf numFmtId="0" fontId="0" fillId="16" borderId="0" xfId="0" applyFill="1"/>
    <xf numFmtId="0" fontId="30" fillId="26" borderId="48" xfId="0" applyFont="1" applyFill="1" applyBorder="1"/>
    <xf numFmtId="166" fontId="30" fillId="26" borderId="13" xfId="0" applyNumberFormat="1" applyFont="1" applyFill="1" applyBorder="1"/>
    <xf numFmtId="9" fontId="30" fillId="26" borderId="28" xfId="0" applyNumberFormat="1" applyFont="1" applyFill="1" applyBorder="1"/>
    <xf numFmtId="10" fontId="0" fillId="0" borderId="0" xfId="0" applyNumberFormat="1"/>
    <xf numFmtId="1" fontId="35" fillId="14" borderId="51" xfId="0" applyNumberFormat="1" applyFont="1" applyFill="1" applyBorder="1" applyAlignment="1" applyProtection="1">
      <alignment horizontal="center"/>
    </xf>
    <xf numFmtId="49" fontId="8" fillId="15" borderId="50" xfId="0" applyNumberFormat="1" applyFont="1" applyFill="1" applyBorder="1" applyAlignment="1">
      <alignment horizontal="center"/>
    </xf>
    <xf numFmtId="176" fontId="8" fillId="15" borderId="52" xfId="0" applyNumberFormat="1" applyFont="1" applyFill="1" applyBorder="1" applyAlignment="1">
      <alignment horizontal="center"/>
    </xf>
    <xf numFmtId="0" fontId="48" fillId="0" borderId="0" xfId="0" applyFont="1" applyAlignment="1">
      <alignment horizontal="center"/>
    </xf>
    <xf numFmtId="0" fontId="42" fillId="0" borderId="0" xfId="0" applyFont="1" applyAlignment="1">
      <alignment horizontal="center"/>
    </xf>
    <xf numFmtId="9" fontId="48" fillId="0" borderId="0" xfId="0" applyNumberFormat="1" applyFont="1" applyAlignment="1">
      <alignment horizontal="center"/>
    </xf>
    <xf numFmtId="166" fontId="48" fillId="0" borderId="0" xfId="0" applyNumberFormat="1" applyFont="1"/>
    <xf numFmtId="166" fontId="13" fillId="0" borderId="4" xfId="127" applyNumberFormat="1" applyFont="1" applyBorder="1" applyAlignment="1" applyProtection="1">
      <alignment horizontal="right"/>
      <protection locked="0"/>
    </xf>
    <xf numFmtId="166" fontId="35" fillId="0" borderId="4" xfId="127" applyNumberFormat="1" applyFont="1" applyBorder="1" applyAlignment="1" applyProtection="1">
      <alignment horizontal="right"/>
      <protection locked="0"/>
    </xf>
    <xf numFmtId="166" fontId="54" fillId="17" borderId="13" xfId="8" applyNumberFormat="1" applyFont="1" applyFill="1" applyBorder="1" applyAlignment="1">
      <alignment horizontal="right"/>
    </xf>
    <xf numFmtId="166" fontId="8" fillId="11" borderId="4" xfId="127" applyNumberFormat="1" applyFont="1" applyFill="1" applyBorder="1" applyProtection="1"/>
    <xf numFmtId="166" fontId="13" fillId="0" borderId="4" xfId="127" applyNumberFormat="1" applyFont="1" applyBorder="1" applyAlignment="1" applyProtection="1">
      <alignment horizontal="right"/>
    </xf>
    <xf numFmtId="166" fontId="4" fillId="0" borderId="4" xfId="125" applyNumberFormat="1" applyFont="1" applyFill="1" applyBorder="1" applyAlignment="1">
      <alignment horizontal="center"/>
    </xf>
    <xf numFmtId="166" fontId="4" fillId="0" borderId="4" xfId="125" applyNumberFormat="1" applyFont="1" applyBorder="1" applyAlignment="1">
      <alignment horizontal="center"/>
    </xf>
    <xf numFmtId="166" fontId="54" fillId="17" borderId="6" xfId="125" applyNumberFormat="1" applyFont="1" applyFill="1" applyBorder="1" applyAlignment="1">
      <alignment horizontal="center"/>
    </xf>
    <xf numFmtId="166" fontId="77" fillId="0" borderId="0" xfId="125" applyNumberFormat="1" applyFont="1" applyFill="1" applyBorder="1" applyAlignment="1">
      <alignment horizontal="center"/>
    </xf>
    <xf numFmtId="166" fontId="54" fillId="17" borderId="64" xfId="125" applyNumberFormat="1" applyFont="1" applyFill="1" applyBorder="1" applyAlignment="1">
      <alignment horizontal="center"/>
    </xf>
    <xf numFmtId="166" fontId="54" fillId="7" borderId="4" xfId="125" applyNumberFormat="1" applyFont="1" applyFill="1" applyBorder="1" applyAlignment="1">
      <alignment horizontal="center"/>
    </xf>
    <xf numFmtId="166" fontId="16" fillId="0" borderId="4" xfId="125" applyNumberFormat="1" applyFont="1" applyBorder="1" applyAlignment="1" applyProtection="1">
      <alignment horizontal="center"/>
      <protection locked="0"/>
    </xf>
    <xf numFmtId="166" fontId="16" fillId="0" borderId="4" xfId="125" applyNumberFormat="1" applyFont="1" applyFill="1" applyBorder="1" applyAlignment="1" applyProtection="1">
      <alignment horizontal="center"/>
      <protection locked="0"/>
    </xf>
    <xf numFmtId="166" fontId="80" fillId="0" borderId="0" xfId="8" applyNumberFormat="1" applyFont="1" applyBorder="1" applyAlignment="1">
      <alignment horizontal="center"/>
    </xf>
    <xf numFmtId="166" fontId="30" fillId="6" borderId="6" xfId="8" applyNumberFormat="1" applyFont="1" applyFill="1" applyBorder="1" applyAlignment="1">
      <alignment horizontal="center"/>
    </xf>
    <xf numFmtId="166" fontId="30" fillId="7" borderId="0" xfId="8" applyNumberFormat="1" applyFont="1" applyFill="1" applyBorder="1" applyAlignment="1">
      <alignment horizontal="center"/>
    </xf>
    <xf numFmtId="166" fontId="30" fillId="26" borderId="1" xfId="8" applyNumberFormat="1" applyFont="1" applyFill="1" applyBorder="1" applyAlignment="1">
      <alignment horizontal="center"/>
    </xf>
    <xf numFmtId="166" fontId="30" fillId="26" borderId="6" xfId="8" applyNumberFormat="1" applyFont="1" applyFill="1" applyBorder="1" applyAlignment="1">
      <alignment horizontal="center"/>
    </xf>
    <xf numFmtId="166" fontId="4" fillId="11" borderId="4" xfId="8" applyNumberFormat="1" applyFill="1" applyBorder="1" applyAlignment="1">
      <alignment horizontal="center"/>
    </xf>
    <xf numFmtId="166" fontId="54" fillId="17" borderId="6" xfId="8" applyNumberFormat="1" applyFont="1" applyFill="1" applyBorder="1" applyAlignment="1">
      <alignment horizontal="center"/>
    </xf>
    <xf numFmtId="166" fontId="4" fillId="7" borderId="0" xfId="8" applyNumberFormat="1" applyFill="1" applyBorder="1" applyAlignment="1">
      <alignment horizontal="center"/>
    </xf>
    <xf numFmtId="166" fontId="54" fillId="6" borderId="64" xfId="8" applyNumberFormat="1" applyFont="1" applyFill="1" applyBorder="1" applyAlignment="1">
      <alignment horizontal="center"/>
    </xf>
    <xf numFmtId="166" fontId="54" fillId="11" borderId="4" xfId="8" applyNumberFormat="1" applyFont="1" applyFill="1" applyBorder="1" applyAlignment="1">
      <alignment horizontal="center"/>
    </xf>
    <xf numFmtId="166" fontId="4" fillId="0" borderId="0" xfId="8" applyNumberFormat="1" applyBorder="1" applyAlignment="1">
      <alignment horizontal="center"/>
    </xf>
    <xf numFmtId="166" fontId="13" fillId="0" borderId="64" xfId="11" applyNumberFormat="1" applyFont="1" applyBorder="1" applyAlignment="1" applyProtection="1">
      <alignment horizontal="center"/>
      <protection locked="0"/>
    </xf>
    <xf numFmtId="166" fontId="4" fillId="0" borderId="4" xfId="125" applyNumberFormat="1" applyFont="1" applyBorder="1" applyAlignment="1" applyProtection="1">
      <alignment horizontal="center"/>
    </xf>
    <xf numFmtId="166" fontId="54" fillId="17" borderId="6" xfId="125" applyNumberFormat="1" applyFont="1" applyFill="1" applyBorder="1" applyAlignment="1" applyProtection="1">
      <alignment horizontal="center"/>
    </xf>
    <xf numFmtId="166" fontId="77" fillId="0" borderId="0" xfId="125" applyNumberFormat="1" applyFont="1" applyBorder="1" applyAlignment="1" applyProtection="1">
      <alignment horizontal="center"/>
    </xf>
    <xf numFmtId="166" fontId="31" fillId="6" borderId="13" xfId="125" applyNumberFormat="1" applyFont="1" applyFill="1" applyBorder="1" applyAlignment="1" applyProtection="1">
      <alignment horizontal="center"/>
    </xf>
    <xf numFmtId="166" fontId="13" fillId="0" borderId="4" xfId="11" applyNumberFormat="1" applyFont="1" applyBorder="1" applyAlignment="1" applyProtection="1">
      <alignment horizontal="center"/>
      <protection locked="0"/>
    </xf>
    <xf numFmtId="166" fontId="54" fillId="17" borderId="61" xfId="125" applyNumberFormat="1" applyFont="1" applyFill="1" applyBorder="1" applyAlignment="1" applyProtection="1">
      <alignment horizontal="center"/>
    </xf>
    <xf numFmtId="166" fontId="4" fillId="0" borderId="4" xfId="125" applyNumberFormat="1" applyFont="1" applyFill="1" applyBorder="1" applyAlignment="1" applyProtection="1">
      <alignment horizontal="center"/>
    </xf>
    <xf numFmtId="166" fontId="30" fillId="6" borderId="61" xfId="125" applyNumberFormat="1" applyFont="1" applyFill="1" applyBorder="1" applyAlignment="1" applyProtection="1">
      <alignment horizontal="center"/>
    </xf>
    <xf numFmtId="166" fontId="4" fillId="0" borderId="0" xfId="125" applyNumberFormat="1" applyFont="1" applyFill="1" applyBorder="1" applyAlignment="1" applyProtection="1">
      <alignment horizontal="center"/>
    </xf>
    <xf numFmtId="166" fontId="77" fillId="0" borderId="0" xfId="125" applyNumberFormat="1" applyFont="1" applyFill="1" applyBorder="1" applyAlignment="1" applyProtection="1">
      <alignment horizontal="center"/>
    </xf>
    <xf numFmtId="166" fontId="0" fillId="0" borderId="0" xfId="125" applyNumberFormat="1" applyFont="1" applyBorder="1" applyAlignment="1" applyProtection="1">
      <alignment horizontal="center"/>
    </xf>
    <xf numFmtId="166" fontId="54" fillId="7" borderId="0" xfId="125" applyNumberFormat="1" applyFont="1" applyFill="1" applyBorder="1" applyAlignment="1" applyProtection="1">
      <alignment horizontal="center"/>
    </xf>
    <xf numFmtId="166" fontId="0" fillId="11" borderId="4" xfId="125" applyNumberFormat="1" applyFont="1" applyFill="1" applyBorder="1" applyAlignment="1" applyProtection="1">
      <alignment horizontal="center"/>
    </xf>
    <xf numFmtId="166" fontId="81" fillId="6" borderId="13" xfId="125" applyNumberFormat="1" applyFont="1" applyFill="1" applyBorder="1" applyAlignment="1" applyProtection="1">
      <alignment horizontal="center"/>
    </xf>
    <xf numFmtId="166" fontId="31" fillId="6" borderId="78" xfId="125" applyNumberFormat="1" applyFont="1" applyFill="1" applyBorder="1" applyAlignment="1" applyProtection="1">
      <alignment horizontal="center"/>
    </xf>
    <xf numFmtId="166" fontId="77" fillId="6" borderId="13" xfId="125" applyNumberFormat="1" applyFont="1" applyFill="1" applyBorder="1" applyAlignment="1" applyProtection="1">
      <alignment horizontal="center"/>
    </xf>
    <xf numFmtId="166" fontId="42" fillId="11" borderId="4" xfId="8" applyNumberFormat="1" applyFont="1" applyFill="1" applyBorder="1" applyAlignment="1">
      <alignment horizontal="center"/>
    </xf>
    <xf numFmtId="166" fontId="54" fillId="6" borderId="13" xfId="8" applyNumberFormat="1" applyFont="1" applyFill="1" applyBorder="1" applyAlignment="1">
      <alignment horizontal="center"/>
    </xf>
    <xf numFmtId="166" fontId="31" fillId="6" borderId="13" xfId="8" applyNumberFormat="1" applyFont="1" applyFill="1" applyBorder="1" applyAlignment="1">
      <alignment horizontal="center"/>
    </xf>
    <xf numFmtId="166" fontId="54" fillId="6" borderId="80" xfId="8" applyNumberFormat="1" applyFont="1" applyFill="1" applyBorder="1" applyAlignment="1">
      <alignment horizontal="center"/>
    </xf>
    <xf numFmtId="166" fontId="54" fillId="6" borderId="61" xfId="8" applyNumberFormat="1" applyFont="1" applyFill="1" applyBorder="1" applyAlignment="1">
      <alignment horizontal="center"/>
    </xf>
    <xf numFmtId="166" fontId="54" fillId="17" borderId="61" xfId="8" applyNumberFormat="1" applyFont="1" applyFill="1" applyBorder="1" applyAlignment="1">
      <alignment horizontal="center"/>
    </xf>
    <xf numFmtId="166" fontId="4" fillId="11" borderId="61" xfId="8" applyNumberFormat="1" applyFill="1" applyBorder="1" applyAlignment="1">
      <alignment horizontal="center"/>
    </xf>
    <xf numFmtId="166" fontId="54" fillId="7" borderId="0" xfId="8" applyNumberFormat="1" applyFont="1" applyFill="1" applyBorder="1" applyAlignment="1">
      <alignment horizontal="center"/>
    </xf>
    <xf numFmtId="166" fontId="81" fillId="6" borderId="13" xfId="126" applyNumberFormat="1" applyFont="1" applyFill="1" applyBorder="1" applyAlignment="1" applyProtection="1">
      <alignment horizontal="center"/>
    </xf>
    <xf numFmtId="166" fontId="35" fillId="0" borderId="4" xfId="127" applyNumberFormat="1" applyFont="1" applyBorder="1" applyAlignment="1" applyProtection="1">
      <alignment horizontal="right"/>
    </xf>
    <xf numFmtId="166" fontId="54" fillId="17" borderId="13" xfId="8" applyNumberFormat="1" applyFont="1" applyFill="1" applyBorder="1"/>
    <xf numFmtId="0" fontId="31" fillId="7" borderId="0" xfId="8" applyFont="1" applyFill="1"/>
    <xf numFmtId="177" fontId="4" fillId="0" borderId="0" xfId="8" applyNumberFormat="1"/>
    <xf numFmtId="0" fontId="6" fillId="0" borderId="0" xfId="8" applyFont="1"/>
    <xf numFmtId="0" fontId="66" fillId="7" borderId="0" xfId="8" applyFont="1" applyFill="1"/>
    <xf numFmtId="0" fontId="8" fillId="31" borderId="50" xfId="8" applyFont="1" applyFill="1" applyBorder="1"/>
    <xf numFmtId="0" fontId="8" fillId="31" borderId="52" xfId="8" applyFont="1" applyFill="1" applyBorder="1"/>
    <xf numFmtId="0" fontId="4" fillId="0" borderId="0" xfId="8" applyAlignment="1">
      <alignment wrapText="1"/>
    </xf>
    <xf numFmtId="0" fontId="4" fillId="6" borderId="1" xfId="8" applyFill="1" applyBorder="1"/>
    <xf numFmtId="0" fontId="4" fillId="6" borderId="2" xfId="8" applyFill="1" applyBorder="1"/>
    <xf numFmtId="0" fontId="4" fillId="6" borderId="3" xfId="8" applyFill="1" applyBorder="1"/>
    <xf numFmtId="0" fontId="4" fillId="6" borderId="4" xfId="8" applyFill="1" applyBorder="1"/>
    <xf numFmtId="0" fontId="8" fillId="32" borderId="4" xfId="8" applyFont="1" applyFill="1" applyBorder="1" applyAlignment="1">
      <alignment horizontal="center"/>
    </xf>
    <xf numFmtId="0" fontId="8" fillId="6" borderId="0" xfId="8" applyFont="1" applyFill="1" applyAlignment="1">
      <alignment horizontal="center"/>
    </xf>
    <xf numFmtId="0" fontId="8" fillId="33" borderId="0" xfId="8" applyFont="1" applyFill="1" applyAlignment="1">
      <alignment horizontal="center"/>
    </xf>
    <xf numFmtId="0" fontId="8" fillId="33" borderId="5" xfId="8" applyFont="1" applyFill="1" applyBorder="1" applyAlignment="1">
      <alignment horizontal="center"/>
    </xf>
    <xf numFmtId="0" fontId="4" fillId="6" borderId="5" xfId="8" applyFill="1" applyBorder="1" applyAlignment="1">
      <alignment horizontal="center"/>
    </xf>
    <xf numFmtId="0" fontId="4" fillId="6" borderId="0" xfId="8" applyFill="1"/>
    <xf numFmtId="0" fontId="4" fillId="6" borderId="5" xfId="8" applyFill="1" applyBorder="1"/>
    <xf numFmtId="0" fontId="8" fillId="31" borderId="84" xfId="8" applyFont="1" applyFill="1" applyBorder="1" applyAlignment="1">
      <alignment horizontal="center" vertical="center" wrapText="1"/>
    </xf>
    <xf numFmtId="0" fontId="4" fillId="6" borderId="88" xfId="8" applyFill="1" applyBorder="1" applyAlignment="1">
      <alignment vertical="center" wrapText="1"/>
    </xf>
    <xf numFmtId="0" fontId="8" fillId="31" borderId="89" xfId="8" applyFont="1" applyFill="1" applyBorder="1" applyAlignment="1">
      <alignment vertical="center" wrapText="1"/>
    </xf>
    <xf numFmtId="0" fontId="4" fillId="6" borderId="90" xfId="8" applyFill="1" applyBorder="1" applyAlignment="1">
      <alignment vertical="center" wrapText="1"/>
    </xf>
    <xf numFmtId="0" fontId="8" fillId="31" borderId="89" xfId="8" applyFont="1" applyFill="1" applyBorder="1" applyAlignment="1">
      <alignment horizontal="center" vertical="center" wrapText="1"/>
    </xf>
    <xf numFmtId="10" fontId="101" fillId="31" borderId="88" xfId="11" applyNumberFormat="1" applyFont="1" applyFill="1" applyBorder="1" applyAlignment="1">
      <alignment horizontal="center" vertical="center" wrapText="1"/>
    </xf>
    <xf numFmtId="0" fontId="8" fillId="31" borderId="91" xfId="8" applyFont="1" applyFill="1" applyBorder="1" applyAlignment="1">
      <alignment vertical="center" wrapText="1"/>
    </xf>
    <xf numFmtId="0" fontId="4" fillId="6" borderId="5" xfId="8" applyFill="1" applyBorder="1" applyAlignment="1">
      <alignment vertical="center" wrapText="1"/>
    </xf>
    <xf numFmtId="0" fontId="4" fillId="7" borderId="53" xfId="8" applyFill="1" applyBorder="1" applyAlignment="1">
      <alignment horizontal="center" vertical="center" wrapText="1"/>
    </xf>
    <xf numFmtId="0" fontId="4" fillId="6" borderId="60" xfId="8" applyFill="1" applyBorder="1" applyAlignment="1">
      <alignment vertical="center" wrapText="1"/>
    </xf>
    <xf numFmtId="0" fontId="4" fillId="23" borderId="89" xfId="129" applyFont="1" applyFill="1" applyBorder="1" applyAlignment="1">
      <alignment vertical="center" wrapText="1"/>
    </xf>
    <xf numFmtId="0" fontId="104" fillId="0" borderId="92" xfId="8" applyFont="1" applyBorder="1" applyAlignment="1">
      <alignment horizontal="center" vertical="center" wrapText="1"/>
    </xf>
    <xf numFmtId="10" fontId="101" fillId="7" borderId="94" xfId="11" applyNumberFormat="1" applyFont="1" applyFill="1" applyBorder="1" applyAlignment="1">
      <alignment horizontal="center" vertical="center" wrapText="1"/>
    </xf>
    <xf numFmtId="0" fontId="4" fillId="7" borderId="89" xfId="8" applyFill="1" applyBorder="1" applyAlignment="1">
      <alignment vertical="center" wrapText="1"/>
    </xf>
    <xf numFmtId="0" fontId="8" fillId="7" borderId="91" xfId="8" applyFont="1" applyFill="1" applyBorder="1" applyAlignment="1">
      <alignment vertical="center" wrapText="1"/>
    </xf>
    <xf numFmtId="0" fontId="4" fillId="0" borderId="87" xfId="8" applyBorder="1" applyAlignment="1">
      <alignment horizontal="center" vertical="center" wrapText="1"/>
    </xf>
    <xf numFmtId="0" fontId="4" fillId="6" borderId="95" xfId="8" applyFill="1" applyBorder="1" applyAlignment="1">
      <alignment vertical="center" wrapText="1"/>
    </xf>
    <xf numFmtId="0" fontId="4" fillId="0" borderId="92" xfId="8" applyBorder="1" applyAlignment="1">
      <alignment vertical="center" wrapText="1"/>
    </xf>
    <xf numFmtId="0" fontId="0" fillId="0" borderId="92" xfId="8" applyFont="1" applyBorder="1" applyAlignment="1">
      <alignment horizontal="center" vertical="center" wrapText="1"/>
    </xf>
    <xf numFmtId="0" fontId="4" fillId="6" borderId="92" xfId="8" applyFill="1" applyBorder="1" applyAlignment="1">
      <alignment vertical="center" wrapText="1"/>
    </xf>
    <xf numFmtId="10" fontId="101" fillId="0" borderId="97" xfId="8" applyNumberFormat="1" applyFont="1" applyBorder="1" applyAlignment="1">
      <alignment horizontal="center" vertical="center" wrapText="1"/>
    </xf>
    <xf numFmtId="0" fontId="8" fillId="0" borderId="96" xfId="8" applyFont="1" applyBorder="1" applyAlignment="1">
      <alignment vertical="center" wrapText="1"/>
    </xf>
    <xf numFmtId="0" fontId="4" fillId="6" borderId="0" xfId="8" applyFill="1" applyAlignment="1">
      <alignment horizontal="center" vertical="center" wrapText="1"/>
    </xf>
    <xf numFmtId="0" fontId="4" fillId="6" borderId="0" xfId="8" applyFill="1" applyAlignment="1">
      <alignment vertical="center" wrapText="1"/>
    </xf>
    <xf numFmtId="0" fontId="4" fillId="6" borderId="29" xfId="8" applyFill="1" applyBorder="1" applyAlignment="1">
      <alignment vertical="center" wrapText="1"/>
    </xf>
    <xf numFmtId="10" fontId="107" fillId="6" borderId="29" xfId="8" applyNumberFormat="1" applyFont="1" applyFill="1" applyBorder="1" applyAlignment="1">
      <alignment horizontal="center" vertical="center" wrapText="1"/>
    </xf>
    <xf numFmtId="10" fontId="101" fillId="6" borderId="0" xfId="8" applyNumberFormat="1" applyFont="1" applyFill="1" applyAlignment="1">
      <alignment horizontal="center" vertical="center" wrapText="1"/>
    </xf>
    <xf numFmtId="0" fontId="8" fillId="6" borderId="29" xfId="8" applyFont="1" applyFill="1" applyBorder="1" applyAlignment="1">
      <alignment vertical="center" wrapText="1"/>
    </xf>
    <xf numFmtId="0" fontId="8" fillId="31" borderId="98" xfId="8" applyFont="1" applyFill="1" applyBorder="1" applyAlignment="1">
      <alignment horizontal="center" vertical="center" wrapText="1"/>
    </xf>
    <xf numFmtId="0" fontId="4" fillId="6" borderId="89" xfId="8" applyFill="1" applyBorder="1" applyAlignment="1">
      <alignment vertical="center" wrapText="1"/>
    </xf>
    <xf numFmtId="10" fontId="101" fillId="31" borderId="88" xfId="8" applyNumberFormat="1" applyFont="1" applyFill="1" applyBorder="1" applyAlignment="1">
      <alignment horizontal="center" vertical="center" wrapText="1"/>
    </xf>
    <xf numFmtId="0" fontId="4" fillId="0" borderId="99" xfId="8" applyBorder="1" applyAlignment="1">
      <alignment horizontal="center" vertical="center" wrapText="1"/>
    </xf>
    <xf numFmtId="0" fontId="4" fillId="6" borderId="100" xfId="8" applyFill="1" applyBorder="1" applyAlignment="1">
      <alignment vertical="center" wrapText="1"/>
    </xf>
    <xf numFmtId="0" fontId="4" fillId="0" borderId="100" xfId="8" applyBorder="1" applyAlignment="1">
      <alignment vertical="center" wrapText="1"/>
    </xf>
    <xf numFmtId="0" fontId="4" fillId="6" borderId="101" xfId="8" applyFill="1" applyBorder="1" applyAlignment="1">
      <alignment vertical="center" wrapText="1"/>
    </xf>
    <xf numFmtId="0" fontId="4" fillId="0" borderId="102" xfId="8" applyBorder="1" applyAlignment="1">
      <alignment horizontal="center" vertical="center" wrapText="1"/>
    </xf>
    <xf numFmtId="10" fontId="101" fillId="0" borderId="101" xfId="8" applyNumberFormat="1" applyFont="1" applyBorder="1" applyAlignment="1">
      <alignment horizontal="center" vertical="center" wrapText="1"/>
    </xf>
    <xf numFmtId="0" fontId="8" fillId="0" borderId="103" xfId="8" applyFont="1" applyBorder="1" applyAlignment="1">
      <alignment vertical="center" wrapText="1"/>
    </xf>
    <xf numFmtId="0" fontId="4" fillId="0" borderId="16" xfId="8" applyBorder="1" applyAlignment="1">
      <alignment horizontal="center" vertical="center" wrapText="1"/>
    </xf>
    <xf numFmtId="0" fontId="48" fillId="0" borderId="29" xfId="8" applyFont="1" applyBorder="1" applyAlignment="1">
      <alignment vertical="center" wrapText="1"/>
    </xf>
    <xf numFmtId="0" fontId="35" fillId="7" borderId="51" xfId="8" applyFont="1" applyFill="1" applyBorder="1" applyAlignment="1">
      <alignment horizontal="center" vertical="center"/>
    </xf>
    <xf numFmtId="10" fontId="101" fillId="0" borderId="0" xfId="8" applyNumberFormat="1" applyFont="1" applyAlignment="1">
      <alignment horizontal="center" vertical="center" wrapText="1"/>
    </xf>
    <xf numFmtId="0" fontId="4" fillId="0" borderId="29" xfId="8" applyBorder="1" applyAlignment="1">
      <alignment vertical="center" wrapText="1"/>
    </xf>
    <xf numFmtId="0" fontId="8" fillId="0" borderId="30" xfId="8" applyFont="1" applyBorder="1" applyAlignment="1">
      <alignment vertical="center" wrapText="1"/>
    </xf>
    <xf numFmtId="0" fontId="4" fillId="6" borderId="16" xfId="8" applyFill="1" applyBorder="1" applyAlignment="1">
      <alignment horizontal="center" vertical="center" wrapText="1"/>
    </xf>
    <xf numFmtId="2" fontId="108" fillId="31" borderId="90" xfId="8" applyNumberFormat="1" applyFont="1" applyFill="1" applyBorder="1" applyAlignment="1">
      <alignment horizontal="center" vertical="center" wrapText="1"/>
    </xf>
    <xf numFmtId="0" fontId="4" fillId="7" borderId="87" xfId="8" applyFill="1" applyBorder="1" applyAlignment="1">
      <alignment horizontal="center" vertical="center" wrapText="1"/>
    </xf>
    <xf numFmtId="0" fontId="8" fillId="7" borderId="87" xfId="8" applyFont="1" applyFill="1" applyBorder="1" applyAlignment="1">
      <alignment vertical="center" wrapText="1"/>
    </xf>
    <xf numFmtId="166" fontId="108" fillId="7" borderId="95" xfId="8" applyNumberFormat="1" applyFont="1" applyFill="1" applyBorder="1" applyAlignment="1">
      <alignment horizontal="center" vertical="center" wrapText="1"/>
    </xf>
    <xf numFmtId="0" fontId="4" fillId="7" borderId="87" xfId="8" applyFill="1" applyBorder="1" applyAlignment="1">
      <alignment vertical="center" wrapText="1"/>
    </xf>
    <xf numFmtId="1" fontId="108" fillId="7" borderId="95" xfId="8" applyNumberFormat="1" applyFont="1" applyFill="1" applyBorder="1" applyAlignment="1">
      <alignment horizontal="center" vertical="center" wrapText="1"/>
    </xf>
    <xf numFmtId="0" fontId="4" fillId="0" borderId="104" xfId="8" applyBorder="1" applyAlignment="1">
      <alignment horizontal="center" vertical="center" wrapText="1"/>
    </xf>
    <xf numFmtId="0" fontId="4" fillId="0" borderId="87" xfId="8" applyBorder="1" applyAlignment="1">
      <alignment vertical="center" wrapText="1"/>
    </xf>
    <xf numFmtId="39" fontId="108" fillId="7" borderId="95" xfId="8" applyNumberFormat="1" applyFont="1" applyFill="1" applyBorder="1" applyAlignment="1">
      <alignment horizontal="center" vertical="center" wrapText="1"/>
    </xf>
    <xf numFmtId="0" fontId="4" fillId="0" borderId="76" xfId="8" applyBorder="1" applyAlignment="1">
      <alignment horizontal="center" vertical="center" wrapText="1"/>
    </xf>
    <xf numFmtId="0" fontId="4" fillId="0" borderId="95" xfId="8" applyBorder="1" applyAlignment="1">
      <alignment vertical="center" wrapText="1"/>
    </xf>
    <xf numFmtId="0" fontId="8" fillId="0" borderId="77" xfId="8" applyFont="1" applyBorder="1" applyAlignment="1">
      <alignment vertical="center" wrapText="1"/>
    </xf>
    <xf numFmtId="0" fontId="4" fillId="6" borderId="29" xfId="8" applyFill="1" applyBorder="1" applyAlignment="1">
      <alignment horizontal="center" vertical="center" wrapText="1"/>
    </xf>
    <xf numFmtId="2" fontId="107" fillId="6" borderId="38" xfId="8" applyNumberFormat="1" applyFont="1" applyFill="1" applyBorder="1" applyAlignment="1">
      <alignment horizontal="center" vertical="center" wrapText="1"/>
    </xf>
    <xf numFmtId="2" fontId="101" fillId="6" borderId="0" xfId="8" applyNumberFormat="1" applyFont="1" applyFill="1" applyAlignment="1">
      <alignment horizontal="center" vertical="center" wrapText="1"/>
    </xf>
    <xf numFmtId="0" fontId="8" fillId="6" borderId="0" xfId="8" applyFont="1" applyFill="1" applyAlignment="1">
      <alignment vertical="center" wrapText="1"/>
    </xf>
    <xf numFmtId="0" fontId="8" fillId="31" borderId="104" xfId="8" applyFont="1" applyFill="1" applyBorder="1" applyAlignment="1">
      <alignment horizontal="center" vertical="center" wrapText="1"/>
    </xf>
    <xf numFmtId="0" fontId="8" fillId="31" borderId="92" xfId="8" applyFont="1" applyFill="1" applyBorder="1" applyAlignment="1">
      <alignment vertical="center" wrapText="1"/>
    </xf>
    <xf numFmtId="0" fontId="8" fillId="31" borderId="92" xfId="8" applyFont="1" applyFill="1" applyBorder="1" applyAlignment="1">
      <alignment horizontal="center" vertical="center" wrapText="1"/>
    </xf>
    <xf numFmtId="39" fontId="101" fillId="31" borderId="95" xfId="8" applyNumberFormat="1" applyFont="1" applyFill="1" applyBorder="1" applyAlignment="1">
      <alignment horizontal="center" vertical="center" wrapText="1"/>
    </xf>
    <xf numFmtId="49" fontId="8" fillId="31" borderId="77" xfId="8" applyNumberFormat="1" applyFont="1" applyFill="1" applyBorder="1" applyAlignment="1">
      <alignment vertical="center" wrapText="1"/>
    </xf>
    <xf numFmtId="0" fontId="4" fillId="7" borderId="104" xfId="8" applyFill="1" applyBorder="1" applyAlignment="1">
      <alignment horizontal="center" vertical="center" wrapText="1"/>
    </xf>
    <xf numFmtId="0" fontId="4" fillId="7" borderId="92" xfId="8" applyFill="1" applyBorder="1" applyAlignment="1">
      <alignment vertical="center" wrapText="1"/>
    </xf>
    <xf numFmtId="0" fontId="4" fillId="7" borderId="92" xfId="8" applyFill="1" applyBorder="1" applyAlignment="1">
      <alignment horizontal="center" vertical="center" wrapText="1"/>
    </xf>
    <xf numFmtId="39" fontId="101" fillId="7" borderId="95" xfId="8" applyNumberFormat="1" applyFont="1" applyFill="1" applyBorder="1" applyAlignment="1">
      <alignment horizontal="center" vertical="center" wrapText="1"/>
    </xf>
    <xf numFmtId="49" fontId="4" fillId="7" borderId="77" xfId="8" applyNumberFormat="1" applyFill="1" applyBorder="1" applyAlignment="1">
      <alignment vertical="center" wrapText="1"/>
    </xf>
    <xf numFmtId="0" fontId="4" fillId="0" borderId="105" xfId="8" applyBorder="1" applyAlignment="1">
      <alignment horizontal="center" vertical="center" wrapText="1"/>
    </xf>
    <xf numFmtId="0" fontId="4" fillId="0" borderId="106" xfId="8" applyBorder="1" applyAlignment="1">
      <alignment vertical="center" wrapText="1"/>
    </xf>
    <xf numFmtId="0" fontId="0" fillId="0" borderId="106" xfId="8" applyFont="1" applyBorder="1" applyAlignment="1">
      <alignment horizontal="center" vertical="center" wrapText="1"/>
    </xf>
    <xf numFmtId="10" fontId="101" fillId="0" borderId="60" xfId="8" applyNumberFormat="1" applyFont="1" applyBorder="1" applyAlignment="1">
      <alignment horizontal="center" vertical="center" wrapText="1"/>
    </xf>
    <xf numFmtId="0" fontId="8" fillId="0" borderId="93" xfId="8" applyFont="1" applyBorder="1" applyAlignment="1">
      <alignment vertical="center" wrapText="1"/>
    </xf>
    <xf numFmtId="2" fontId="101" fillId="0" borderId="97" xfId="8" applyNumberFormat="1" applyFont="1" applyBorder="1" applyAlignment="1">
      <alignment horizontal="center" vertical="center" wrapText="1"/>
    </xf>
    <xf numFmtId="0" fontId="4" fillId="0" borderId="96" xfId="8" applyBorder="1" applyAlignment="1">
      <alignment vertical="center" wrapText="1"/>
    </xf>
    <xf numFmtId="0" fontId="4" fillId="6" borderId="6" xfId="8" applyFill="1" applyBorder="1"/>
    <xf numFmtId="0" fontId="4" fillId="6" borderId="7" xfId="8" applyFill="1" applyBorder="1" applyAlignment="1">
      <alignment vertical="center" wrapText="1"/>
    </xf>
    <xf numFmtId="166" fontId="101" fillId="6" borderId="7" xfId="8" applyNumberFormat="1" applyFont="1" applyFill="1" applyBorder="1" applyAlignment="1">
      <alignment vertical="center" wrapText="1"/>
    </xf>
    <xf numFmtId="0" fontId="101" fillId="6" borderId="7" xfId="8" applyFont="1" applyFill="1" applyBorder="1" applyAlignment="1">
      <alignment vertical="center" wrapText="1"/>
    </xf>
    <xf numFmtId="0" fontId="4" fillId="6" borderId="8" xfId="8" applyFill="1" applyBorder="1" applyAlignment="1">
      <alignment vertical="center" wrapText="1"/>
    </xf>
    <xf numFmtId="0" fontId="4" fillId="0" borderId="0" xfId="8" applyAlignment="1">
      <alignment vertical="center" wrapText="1"/>
    </xf>
    <xf numFmtId="0" fontId="4" fillId="0" borderId="0" xfId="8" applyProtection="1">
      <protection locked="0"/>
    </xf>
    <xf numFmtId="10" fontId="103" fillId="31" borderId="91" xfId="11" applyNumberFormat="1" applyFont="1" applyFill="1" applyBorder="1" applyAlignment="1" applyProtection="1">
      <alignment horizontal="center" vertical="center" wrapText="1"/>
      <protection locked="0"/>
    </xf>
    <xf numFmtId="10" fontId="103" fillId="7" borderId="93" xfId="11" applyNumberFormat="1" applyFont="1" applyFill="1" applyBorder="1" applyAlignment="1" applyProtection="1">
      <alignment horizontal="center" vertical="center" wrapText="1"/>
      <protection locked="0"/>
    </xf>
    <xf numFmtId="10" fontId="103" fillId="0" borderId="96" xfId="8" applyNumberFormat="1" applyFont="1" applyBorder="1" applyAlignment="1" applyProtection="1">
      <alignment horizontal="center" vertical="center" wrapText="1"/>
      <protection locked="0"/>
    </xf>
    <xf numFmtId="10" fontId="103" fillId="31" borderId="91" xfId="8" applyNumberFormat="1" applyFont="1" applyFill="1" applyBorder="1" applyAlignment="1" applyProtection="1">
      <alignment horizontal="center" vertical="center" wrapText="1"/>
      <protection locked="0"/>
    </xf>
    <xf numFmtId="10" fontId="103" fillId="0" borderId="103" xfId="8" applyNumberFormat="1" applyFont="1" applyBorder="1" applyAlignment="1" applyProtection="1">
      <alignment horizontal="center" vertical="center" wrapText="1"/>
      <protection locked="0"/>
    </xf>
    <xf numFmtId="39" fontId="103" fillId="31" borderId="91" xfId="8" applyNumberFormat="1" applyFont="1" applyFill="1" applyBorder="1" applyAlignment="1" applyProtection="1">
      <alignment horizontal="center" vertical="center" wrapText="1"/>
      <protection locked="0"/>
    </xf>
    <xf numFmtId="2" fontId="103" fillId="7" borderId="87" xfId="8" applyNumberFormat="1" applyFont="1" applyFill="1" applyBorder="1" applyAlignment="1" applyProtection="1">
      <alignment horizontal="center" vertical="center" wrapText="1"/>
      <protection locked="0"/>
    </xf>
    <xf numFmtId="1" fontId="103" fillId="7" borderId="87" xfId="8" applyNumberFormat="1" applyFont="1" applyFill="1" applyBorder="1" applyAlignment="1" applyProtection="1">
      <alignment horizontal="center" vertical="center" wrapText="1"/>
      <protection locked="0"/>
    </xf>
    <xf numFmtId="39" fontId="103" fillId="7" borderId="96" xfId="8" applyNumberFormat="1" applyFont="1" applyFill="1" applyBorder="1" applyAlignment="1" applyProtection="1">
      <alignment horizontal="center" vertical="center" wrapText="1"/>
      <protection locked="0"/>
    </xf>
    <xf numFmtId="39" fontId="103" fillId="7" borderId="77" xfId="8" applyNumberFormat="1" applyFont="1" applyFill="1" applyBorder="1" applyAlignment="1" applyProtection="1">
      <alignment horizontal="center" vertical="center" wrapText="1"/>
      <protection locked="0"/>
    </xf>
    <xf numFmtId="39" fontId="103" fillId="7" borderId="87" xfId="8" applyNumberFormat="1" applyFont="1" applyFill="1" applyBorder="1" applyAlignment="1" applyProtection="1">
      <alignment horizontal="center" vertical="center" wrapText="1"/>
      <protection locked="0"/>
    </xf>
    <xf numFmtId="39" fontId="103" fillId="31" borderId="96" xfId="8" applyNumberFormat="1" applyFont="1" applyFill="1" applyBorder="1" applyAlignment="1" applyProtection="1">
      <alignment horizontal="center" vertical="center" wrapText="1"/>
      <protection locked="0"/>
    </xf>
    <xf numFmtId="2" fontId="103" fillId="0" borderId="93" xfId="8" applyNumberFormat="1" applyFont="1" applyBorder="1" applyAlignment="1" applyProtection="1">
      <alignment horizontal="center" vertical="center" wrapText="1"/>
      <protection locked="0"/>
    </xf>
    <xf numFmtId="2" fontId="103" fillId="0" borderId="96" xfId="8" applyNumberFormat="1" applyFont="1" applyBorder="1" applyAlignment="1" applyProtection="1">
      <alignment horizontal="center" vertical="center" wrapText="1"/>
      <protection locked="0"/>
    </xf>
    <xf numFmtId="10" fontId="44" fillId="0" borderId="5" xfId="8" applyNumberFormat="1" applyFont="1" applyBorder="1" applyProtection="1">
      <protection locked="0"/>
    </xf>
    <xf numFmtId="166" fontId="0" fillId="0" borderId="0" xfId="0" applyNumberFormat="1"/>
    <xf numFmtId="0" fontId="110" fillId="0" borderId="63" xfId="8" applyFont="1" applyBorder="1"/>
    <xf numFmtId="0" fontId="59" fillId="0" borderId="63" xfId="8" applyFont="1" applyBorder="1"/>
    <xf numFmtId="166" fontId="111" fillId="0" borderId="63" xfId="8" applyNumberFormat="1" applyFont="1" applyBorder="1" applyAlignment="1">
      <alignment horizontal="center"/>
    </xf>
    <xf numFmtId="166" fontId="59" fillId="0" borderId="63" xfId="8" applyNumberFormat="1" applyFont="1" applyBorder="1"/>
    <xf numFmtId="164" fontId="59" fillId="0" borderId="63" xfId="8" applyNumberFormat="1" applyFont="1" applyBorder="1"/>
    <xf numFmtId="164" fontId="111" fillId="0" borderId="63" xfId="8" applyNumberFormat="1" applyFont="1" applyBorder="1"/>
    <xf numFmtId="0" fontId="110" fillId="0" borderId="107" xfId="8" applyFont="1" applyBorder="1"/>
    <xf numFmtId="0" fontId="59" fillId="0" borderId="107" xfId="8" applyFont="1" applyBorder="1"/>
    <xf numFmtId="166" fontId="111" fillId="0" borderId="107" xfId="8" applyNumberFormat="1" applyFont="1" applyBorder="1" applyAlignment="1">
      <alignment horizontal="center"/>
    </xf>
    <xf numFmtId="166" fontId="59" fillId="0" borderId="107" xfId="8" applyNumberFormat="1" applyFont="1" applyBorder="1"/>
    <xf numFmtId="164" fontId="59" fillId="0" borderId="107" xfId="8" applyNumberFormat="1" applyFont="1" applyBorder="1"/>
    <xf numFmtId="164" fontId="112" fillId="0" borderId="107" xfId="8" applyNumberFormat="1" applyFont="1" applyBorder="1" applyAlignment="1" applyProtection="1">
      <alignment horizontal="right"/>
      <protection locked="0"/>
    </xf>
    <xf numFmtId="164" fontId="111" fillId="0" borderId="107" xfId="8" applyNumberFormat="1" applyFont="1" applyBorder="1"/>
    <xf numFmtId="164" fontId="111" fillId="7" borderId="107" xfId="8" applyNumberFormat="1" applyFont="1" applyFill="1" applyBorder="1"/>
    <xf numFmtId="164" fontId="113" fillId="0" borderId="107" xfId="8" applyNumberFormat="1" applyFont="1" applyBorder="1" applyAlignment="1" applyProtection="1">
      <alignment horizontal="right"/>
      <protection locked="0"/>
    </xf>
    <xf numFmtId="17" fontId="110" fillId="0" borderId="107" xfId="8" applyNumberFormat="1" applyFont="1" applyBorder="1"/>
    <xf numFmtId="0" fontId="114" fillId="0" borderId="107" xfId="8" applyFont="1" applyBorder="1" applyAlignment="1">
      <alignment horizontal="center"/>
    </xf>
    <xf numFmtId="183" fontId="112" fillId="0" borderId="107" xfId="8" applyNumberFormat="1" applyFont="1" applyBorder="1" applyAlignment="1" applyProtection="1">
      <alignment horizontal="right"/>
      <protection locked="0"/>
    </xf>
    <xf numFmtId="183" fontId="113" fillId="7" borderId="107" xfId="8" applyNumberFormat="1" applyFont="1" applyFill="1" applyBorder="1" applyAlignment="1" applyProtection="1">
      <alignment horizontal="right"/>
      <protection locked="0"/>
    </xf>
    <xf numFmtId="0" fontId="6" fillId="7" borderId="0" xfId="8" applyFont="1" applyFill="1"/>
    <xf numFmtId="183" fontId="112" fillId="0" borderId="0" xfId="8" applyNumberFormat="1" applyFont="1" applyProtection="1">
      <protection locked="0"/>
    </xf>
    <xf numFmtId="0" fontId="59" fillId="0" borderId="0" xfId="8" applyFont="1" applyAlignment="1">
      <alignment horizontal="center"/>
    </xf>
    <xf numFmtId="183" fontId="111" fillId="0" borderId="0" xfId="8" applyNumberFormat="1" applyFont="1"/>
    <xf numFmtId="166" fontId="59" fillId="0" borderId="0" xfId="8" applyNumberFormat="1" applyFont="1"/>
    <xf numFmtId="0" fontId="115" fillId="7" borderId="0" xfId="8" applyFont="1" applyFill="1"/>
    <xf numFmtId="164" fontId="112" fillId="0" borderId="0" xfId="8" applyNumberFormat="1" applyFont="1" applyProtection="1">
      <protection locked="0"/>
    </xf>
    <xf numFmtId="164" fontId="111" fillId="0" borderId="0" xfId="8" applyNumberFormat="1" applyFont="1"/>
    <xf numFmtId="166" fontId="111" fillId="0" borderId="0" xfId="8" applyNumberFormat="1" applyFont="1"/>
    <xf numFmtId="164" fontId="113" fillId="0" borderId="0" xfId="8" applyNumberFormat="1" applyFont="1" applyProtection="1">
      <protection locked="0"/>
    </xf>
    <xf numFmtId="10" fontId="6" fillId="0" borderId="0" xfId="8" applyNumberFormat="1" applyFont="1" applyAlignment="1">
      <alignment horizontal="center"/>
    </xf>
    <xf numFmtId="164" fontId="59" fillId="0" borderId="0" xfId="8" applyNumberFormat="1" applyFont="1"/>
    <xf numFmtId="166" fontId="6" fillId="0" borderId="0" xfId="8" applyNumberFormat="1" applyFont="1"/>
    <xf numFmtId="164" fontId="116" fillId="0" borderId="0" xfId="8" applyNumberFormat="1" applyFont="1" applyProtection="1">
      <protection locked="0"/>
    </xf>
    <xf numFmtId="164" fontId="6" fillId="0" borderId="0" xfId="8" applyNumberFormat="1" applyFont="1"/>
    <xf numFmtId="164" fontId="112" fillId="0" borderId="63" xfId="8" applyNumberFormat="1" applyFont="1" applyBorder="1" applyProtection="1">
      <protection locked="0"/>
    </xf>
    <xf numFmtId="164" fontId="113" fillId="7" borderId="63" xfId="8" applyNumberFormat="1" applyFont="1" applyFill="1" applyBorder="1" applyProtection="1">
      <protection locked="0"/>
    </xf>
    <xf numFmtId="0" fontId="59" fillId="30" borderId="0" xfId="8" applyFont="1" applyFill="1"/>
    <xf numFmtId="164" fontId="59" fillId="30" borderId="0" xfId="8" applyNumberFormat="1" applyFont="1" applyFill="1"/>
    <xf numFmtId="164" fontId="112" fillId="30" borderId="0" xfId="8" applyNumberFormat="1" applyFont="1" applyFill="1" applyProtection="1">
      <protection locked="0"/>
    </xf>
    <xf numFmtId="0" fontId="110" fillId="0" borderId="0" xfId="8" applyFont="1"/>
    <xf numFmtId="166" fontId="111" fillId="0" borderId="0" xfId="8" applyNumberFormat="1" applyFont="1" applyAlignment="1">
      <alignment horizontal="center"/>
    </xf>
    <xf numFmtId="177" fontId="59" fillId="0" borderId="0" xfId="8" applyNumberFormat="1" applyFont="1"/>
    <xf numFmtId="0" fontId="117" fillId="0" borderId="0" xfId="8" applyFont="1"/>
    <xf numFmtId="166" fontId="6" fillId="7" borderId="107" xfId="8" applyNumberFormat="1" applyFont="1" applyFill="1" applyBorder="1"/>
    <xf numFmtId="10" fontId="6" fillId="7" borderId="0" xfId="8" applyNumberFormat="1" applyFont="1" applyFill="1" applyAlignment="1">
      <alignment horizontal="center"/>
    </xf>
    <xf numFmtId="166" fontId="59" fillId="7" borderId="107" xfId="8" applyNumberFormat="1" applyFont="1" applyFill="1" applyBorder="1"/>
    <xf numFmtId="0" fontId="59" fillId="7" borderId="0" xfId="8" applyFont="1" applyFill="1" applyAlignment="1">
      <alignment horizontal="center"/>
    </xf>
    <xf numFmtId="166" fontId="6" fillId="0" borderId="107" xfId="8" applyNumberFormat="1" applyFont="1" applyBorder="1"/>
    <xf numFmtId="166" fontId="111" fillId="0" borderId="107" xfId="8" applyNumberFormat="1" applyFont="1" applyBorder="1" applyAlignment="1">
      <alignment horizontal="right"/>
    </xf>
    <xf numFmtId="166" fontId="111" fillId="0" borderId="107" xfId="8" applyNumberFormat="1" applyFont="1" applyBorder="1"/>
    <xf numFmtId="164" fontId="111" fillId="7" borderId="107" xfId="8" applyNumberFormat="1" applyFont="1" applyFill="1" applyBorder="1"/>
    <xf numFmtId="0" fontId="6" fillId="0" borderId="0" xfId="8" applyFont="1" applyAlignment="1">
      <alignment horizontal="right"/>
    </xf>
    <xf numFmtId="0" fontId="59" fillId="29" borderId="13" xfId="8" applyFont="1" applyFill="1" applyBorder="1"/>
    <xf numFmtId="164" fontId="111" fillId="29" borderId="27" xfId="8" applyNumberFormat="1" applyFont="1" applyFill="1" applyBorder="1"/>
    <xf numFmtId="10" fontId="6" fillId="29" borderId="28" xfId="8" applyNumberFormat="1" applyFont="1" applyFill="1" applyBorder="1" applyAlignment="1">
      <alignment horizontal="center"/>
    </xf>
    <xf numFmtId="166" fontId="119" fillId="0" borderId="0" xfId="8" applyNumberFormat="1" applyFont="1"/>
    <xf numFmtId="0" fontId="120" fillId="0" borderId="0" xfId="8" applyFont="1"/>
    <xf numFmtId="166" fontId="111" fillId="29" borderId="27" xfId="8" applyNumberFormat="1" applyFont="1" applyFill="1" applyBorder="1"/>
    <xf numFmtId="164" fontId="111" fillId="2" borderId="50" xfId="8" applyNumberFormat="1" applyFont="1" applyFill="1" applyBorder="1"/>
    <xf numFmtId="164" fontId="59" fillId="2" borderId="51" xfId="8" applyNumberFormat="1" applyFont="1" applyFill="1" applyBorder="1"/>
    <xf numFmtId="164" fontId="114" fillId="2" borderId="51" xfId="8" applyNumberFormat="1" applyFont="1" applyFill="1" applyBorder="1"/>
    <xf numFmtId="0" fontId="121" fillId="0" borderId="0" xfId="8" applyFont="1" applyAlignment="1">
      <alignment horizontal="center"/>
    </xf>
    <xf numFmtId="164" fontId="122" fillId="12" borderId="48" xfId="8" applyNumberFormat="1" applyFont="1" applyFill="1" applyBorder="1"/>
    <xf numFmtId="164" fontId="59" fillId="25" borderId="0" xfId="8" applyNumberFormat="1" applyFont="1" applyFill="1"/>
    <xf numFmtId="164" fontId="111" fillId="12" borderId="28" xfId="8" applyNumberFormat="1" applyFont="1" applyFill="1" applyBorder="1"/>
    <xf numFmtId="0" fontId="58" fillId="0" borderId="0" xfId="8" applyFont="1" applyAlignment="1">
      <alignment horizontal="right"/>
    </xf>
    <xf numFmtId="165" fontId="59" fillId="0" borderId="0" xfId="8" applyNumberFormat="1" applyFont="1"/>
    <xf numFmtId="165" fontId="112" fillId="0" borderId="0" xfId="8" applyNumberFormat="1" applyFont="1" applyProtection="1">
      <protection locked="0"/>
    </xf>
    <xf numFmtId="165" fontId="59" fillId="30" borderId="0" xfId="8" applyNumberFormat="1" applyFont="1" applyFill="1"/>
    <xf numFmtId="165" fontId="112" fillId="30" borderId="0" xfId="8" applyNumberFormat="1" applyFont="1" applyFill="1" applyProtection="1">
      <protection locked="0"/>
    </xf>
    <xf numFmtId="165" fontId="111" fillId="0" borderId="0" xfId="8" applyNumberFormat="1" applyFont="1"/>
    <xf numFmtId="165" fontId="111" fillId="0" borderId="0" xfId="8" applyNumberFormat="1" applyFont="1" applyAlignment="1">
      <alignment wrapText="1"/>
    </xf>
    <xf numFmtId="165" fontId="113" fillId="0" borderId="0" xfId="8" applyNumberFormat="1" applyFont="1" applyProtection="1">
      <protection locked="0"/>
    </xf>
    <xf numFmtId="0" fontId="59" fillId="0" borderId="0" xfId="8" applyFont="1"/>
    <xf numFmtId="0" fontId="4" fillId="0" borderId="0" xfId="8" applyAlignment="1">
      <alignment horizontal="center"/>
    </xf>
    <xf numFmtId="0" fontId="123" fillId="6" borderId="0" xfId="8" applyFont="1" applyFill="1" applyAlignment="1">
      <alignment horizontal="center"/>
    </xf>
    <xf numFmtId="44" fontId="4" fillId="0" borderId="0" xfId="8" applyNumberFormat="1"/>
    <xf numFmtId="0" fontId="124" fillId="0" borderId="0" xfId="8" applyFont="1" applyAlignment="1">
      <alignment horizontal="center"/>
    </xf>
    <xf numFmtId="0" fontId="8" fillId="0" borderId="0" xfId="8" applyFont="1" applyAlignment="1">
      <alignment horizontal="center" vertical="center" wrapText="1"/>
    </xf>
    <xf numFmtId="0" fontId="127" fillId="0" borderId="0" xfId="9" applyFont="1" applyAlignment="1">
      <alignment horizontal="center" vertical="center" wrapText="1"/>
    </xf>
    <xf numFmtId="0" fontId="58" fillId="0" borderId="0" xfId="8" applyFont="1"/>
    <xf numFmtId="44" fontId="59" fillId="0" borderId="0" xfId="8" applyNumberFormat="1" applyFont="1"/>
    <xf numFmtId="10" fontId="59" fillId="0" borderId="0" xfId="8" applyNumberFormat="1" applyFont="1"/>
    <xf numFmtId="44" fontId="59" fillId="0" borderId="0" xfId="8" applyNumberFormat="1" applyFont="1" applyAlignment="1">
      <alignment horizontal="center"/>
    </xf>
    <xf numFmtId="10" fontId="59" fillId="0" borderId="0" xfId="8" applyNumberFormat="1" applyFont="1" applyAlignment="1">
      <alignment horizontal="center"/>
    </xf>
    <xf numFmtId="44" fontId="59" fillId="0" borderId="0" xfId="8" applyNumberFormat="1" applyFont="1" applyAlignment="1">
      <alignment horizontal="right"/>
    </xf>
    <xf numFmtId="44" fontId="58" fillId="0" borderId="0" xfId="8" applyNumberFormat="1" applyFont="1" applyAlignment="1">
      <alignment horizontal="center"/>
    </xf>
    <xf numFmtId="10" fontId="58" fillId="0" borderId="0" xfId="8" applyNumberFormat="1" applyFont="1" applyAlignment="1">
      <alignment horizontal="center"/>
    </xf>
    <xf numFmtId="2" fontId="58" fillId="0" borderId="0" xfId="8" applyNumberFormat="1" applyFont="1" applyAlignment="1">
      <alignment horizontal="center"/>
    </xf>
    <xf numFmtId="184" fontId="111" fillId="0" borderId="0" xfId="8" applyNumberFormat="1" applyFont="1" applyAlignment="1">
      <alignment horizontal="center"/>
    </xf>
    <xf numFmtId="185" fontId="111" fillId="0" borderId="0" xfId="8" applyNumberFormat="1" applyFont="1" applyAlignment="1">
      <alignment horizontal="center"/>
    </xf>
    <xf numFmtId="184" fontId="111" fillId="0" borderId="0" xfId="8" applyNumberFormat="1" applyFont="1" applyAlignment="1">
      <alignment horizontal="right"/>
    </xf>
    <xf numFmtId="44" fontId="111" fillId="0" borderId="0" xfId="8" applyNumberFormat="1" applyFont="1"/>
    <xf numFmtId="0" fontId="59" fillId="0" borderId="0" xfId="8" applyFont="1" applyAlignment="1">
      <alignment horizontal="right"/>
    </xf>
    <xf numFmtId="185" fontId="128" fillId="0" borderId="0" xfId="8" applyNumberFormat="1" applyFont="1" applyAlignment="1">
      <alignment horizontal="center"/>
    </xf>
    <xf numFmtId="0" fontId="59" fillId="0" borderId="1" xfId="8" applyFont="1" applyBorder="1"/>
    <xf numFmtId="0" fontId="58" fillId="0" borderId="2" xfId="8" applyFont="1" applyBorder="1"/>
    <xf numFmtId="44" fontId="111" fillId="0" borderId="2" xfId="8" applyNumberFormat="1" applyFont="1" applyBorder="1" applyAlignment="1">
      <alignment horizontal="center"/>
    </xf>
    <xf numFmtId="10" fontId="128" fillId="0" borderId="2" xfId="8" applyNumberFormat="1" applyFont="1" applyBorder="1"/>
    <xf numFmtId="44" fontId="111" fillId="0" borderId="2" xfId="8" applyNumberFormat="1" applyFont="1" applyBorder="1" applyAlignment="1">
      <alignment horizontal="right"/>
    </xf>
    <xf numFmtId="44" fontId="111" fillId="0" borderId="3" xfId="8" applyNumberFormat="1" applyFont="1" applyBorder="1"/>
    <xf numFmtId="0" fontId="20" fillId="0" borderId="0" xfId="9"/>
    <xf numFmtId="0" fontId="59" fillId="0" borderId="4" xfId="8" applyFont="1" applyBorder="1"/>
    <xf numFmtId="44" fontId="58" fillId="0" borderId="48" xfId="8" applyNumberFormat="1" applyFont="1" applyBorder="1" applyAlignment="1">
      <alignment horizontal="center"/>
    </xf>
    <xf numFmtId="10" fontId="58" fillId="0" borderId="48" xfId="8" applyNumberFormat="1" applyFont="1" applyBorder="1" applyAlignment="1">
      <alignment horizontal="center"/>
    </xf>
    <xf numFmtId="44" fontId="58" fillId="0" borderId="5" xfId="8" applyNumberFormat="1" applyFont="1" applyBorder="1" applyAlignment="1">
      <alignment horizontal="center"/>
    </xf>
    <xf numFmtId="0" fontId="128" fillId="0" borderId="0" xfId="8" applyFont="1"/>
    <xf numFmtId="0" fontId="59" fillId="0" borderId="5" xfId="8" applyFont="1" applyBorder="1"/>
    <xf numFmtId="0" fontId="58" fillId="0" borderId="0" xfId="9" applyFont="1"/>
    <xf numFmtId="44" fontId="58" fillId="0" borderId="0" xfId="9" applyNumberFormat="1" applyFont="1" applyAlignment="1">
      <alignment horizontal="center"/>
    </xf>
    <xf numFmtId="186" fontId="111" fillId="0" borderId="0" xfId="8" applyNumberFormat="1" applyFont="1" applyAlignment="1">
      <alignment horizontal="center"/>
    </xf>
    <xf numFmtId="187" fontId="128" fillId="0" borderId="0" xfId="8" applyNumberFormat="1" applyFont="1" applyAlignment="1">
      <alignment horizontal="center"/>
    </xf>
    <xf numFmtId="186" fontId="111" fillId="0" borderId="0" xfId="8" applyNumberFormat="1" applyFont="1" applyAlignment="1">
      <alignment horizontal="right"/>
    </xf>
    <xf numFmtId="44" fontId="111" fillId="0" borderId="5" xfId="8" applyNumberFormat="1" applyFont="1" applyBorder="1" applyAlignment="1">
      <alignment horizontal="center"/>
    </xf>
    <xf numFmtId="0" fontId="58" fillId="0" borderId="0" xfId="8" applyFont="1" applyAlignment="1">
      <alignment horizontal="center"/>
    </xf>
    <xf numFmtId="0" fontId="58" fillId="0" borderId="5" xfId="8" applyFont="1" applyBorder="1" applyAlignment="1">
      <alignment horizontal="center"/>
    </xf>
    <xf numFmtId="10" fontId="58" fillId="0" borderId="0" xfId="9" applyNumberFormat="1" applyFont="1" applyAlignment="1">
      <alignment horizontal="center"/>
    </xf>
    <xf numFmtId="0" fontId="59" fillId="0" borderId="109" xfId="8" applyFont="1" applyBorder="1"/>
    <xf numFmtId="0" fontId="128" fillId="0" borderId="110" xfId="8" applyFont="1" applyBorder="1"/>
    <xf numFmtId="44" fontId="58" fillId="0" borderId="110" xfId="8" applyNumberFormat="1" applyFont="1" applyBorder="1" applyAlignment="1">
      <alignment horizontal="center"/>
    </xf>
    <xf numFmtId="10" fontId="58" fillId="0" borderId="110" xfId="8" applyNumberFormat="1" applyFont="1" applyBorder="1" applyAlignment="1">
      <alignment horizontal="center"/>
    </xf>
    <xf numFmtId="0" fontId="58" fillId="0" borderId="110" xfId="8" applyFont="1" applyBorder="1" applyAlignment="1">
      <alignment horizontal="center"/>
    </xf>
    <xf numFmtId="0" fontId="58" fillId="0" borderId="111" xfId="8" applyFont="1" applyBorder="1" applyAlignment="1">
      <alignment horizontal="center"/>
    </xf>
    <xf numFmtId="0" fontId="127" fillId="0" borderId="0" xfId="9" applyFont="1" applyAlignment="1">
      <alignment horizontal="center"/>
    </xf>
    <xf numFmtId="44" fontId="59" fillId="7" borderId="0" xfId="8" applyNumberFormat="1" applyFont="1" applyFill="1" applyAlignment="1">
      <alignment horizontal="center"/>
    </xf>
    <xf numFmtId="44" fontId="59" fillId="5" borderId="0" xfId="8" applyNumberFormat="1" applyFont="1" applyFill="1" applyAlignment="1">
      <alignment horizontal="center"/>
    </xf>
    <xf numFmtId="3" fontId="0" fillId="0" borderId="0" xfId="0" applyNumberFormat="1"/>
    <xf numFmtId="1" fontId="4" fillId="0" borderId="0" xfId="0" applyNumberFormat="1" applyFont="1" applyAlignment="1">
      <alignment horizontal="center"/>
    </xf>
    <xf numFmtId="10" fontId="35" fillId="0" borderId="5" xfId="8" applyNumberFormat="1" applyFont="1" applyBorder="1" applyProtection="1"/>
    <xf numFmtId="0" fontId="133" fillId="15" borderId="5" xfId="8" applyFont="1" applyFill="1" applyBorder="1" applyAlignment="1">
      <alignment horizontal="center"/>
    </xf>
    <xf numFmtId="44" fontId="58" fillId="0" borderId="28" xfId="8" applyNumberFormat="1" applyFont="1" applyBorder="1" applyAlignment="1">
      <alignment horizontal="center"/>
    </xf>
    <xf numFmtId="44" fontId="0" fillId="0" borderId="0" xfId="0" applyNumberFormat="1"/>
    <xf numFmtId="44" fontId="13" fillId="0" borderId="4" xfId="127" applyNumberFormat="1" applyFont="1" applyBorder="1" applyAlignment="1" applyProtection="1">
      <alignment horizontal="right"/>
      <protection locked="0"/>
    </xf>
    <xf numFmtId="10" fontId="103" fillId="5" borderId="48" xfId="8" applyNumberFormat="1" applyFont="1" applyFill="1" applyBorder="1" applyAlignment="1" applyProtection="1">
      <alignment horizontal="center" vertical="center" wrapText="1"/>
      <protection locked="0"/>
    </xf>
    <xf numFmtId="0" fontId="62" fillId="11" borderId="1" xfId="0" applyFont="1" applyFill="1" applyBorder="1" applyAlignment="1" applyProtection="1">
      <alignment horizontal="center"/>
    </xf>
    <xf numFmtId="0" fontId="62" fillId="11" borderId="2" xfId="0" applyFont="1" applyFill="1" applyBorder="1" applyAlignment="1" applyProtection="1">
      <alignment horizontal="center"/>
    </xf>
    <xf numFmtId="0" fontId="62" fillId="11" borderId="3" xfId="0" applyFont="1" applyFill="1" applyBorder="1" applyAlignment="1" applyProtection="1">
      <alignment horizontal="center"/>
    </xf>
    <xf numFmtId="0" fontId="63" fillId="11" borderId="4" xfId="0" applyFont="1" applyFill="1" applyBorder="1" applyAlignment="1" applyProtection="1">
      <alignment horizontal="center"/>
    </xf>
    <xf numFmtId="0" fontId="64" fillId="11" borderId="0" xfId="0" applyFont="1" applyFill="1" applyBorder="1" applyAlignment="1" applyProtection="1">
      <alignment horizontal="center"/>
    </xf>
    <xf numFmtId="0" fontId="64" fillId="11" borderId="5" xfId="0" applyFont="1" applyFill="1" applyBorder="1" applyAlignment="1" applyProtection="1">
      <alignment horizontal="center"/>
    </xf>
    <xf numFmtId="14" fontId="32" fillId="6" borderId="13" xfId="0" applyNumberFormat="1" applyFont="1" applyFill="1" applyBorder="1" applyAlignment="1">
      <alignment horizontal="center" wrapText="1"/>
    </xf>
    <xf numFmtId="0" fontId="32"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3" fontId="8" fillId="2" borderId="7" xfId="0" applyNumberFormat="1" applyFont="1" applyFill="1" applyBorder="1" applyAlignment="1">
      <alignment horizontal="left"/>
    </xf>
    <xf numFmtId="0" fontId="0" fillId="2" borderId="7" xfId="0" applyFill="1" applyBorder="1" applyAlignment="1">
      <alignment horizontal="left"/>
    </xf>
    <xf numFmtId="0" fontId="12" fillId="4" borderId="13" xfId="0" applyFont="1" applyFill="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12" fillId="4" borderId="27" xfId="0" applyFont="1" applyFill="1" applyBorder="1" applyAlignment="1">
      <alignment horizontal="center" wrapText="1"/>
    </xf>
    <xf numFmtId="0" fontId="12" fillId="4" borderId="28" xfId="0" applyFont="1" applyFill="1" applyBorder="1" applyAlignment="1">
      <alignment horizontal="center" wrapText="1"/>
    </xf>
    <xf numFmtId="0" fontId="8" fillId="2" borderId="2" xfId="0" applyFont="1" applyFill="1" applyBorder="1" applyAlignment="1"/>
    <xf numFmtId="0" fontId="0" fillId="2" borderId="3" xfId="0" applyFill="1" applyBorder="1" applyAlignment="1"/>
    <xf numFmtId="0" fontId="12" fillId="4"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5" fillId="11" borderId="1" xfId="0" applyFont="1" applyFill="1" applyBorder="1" applyAlignment="1">
      <alignment horizontal="center"/>
    </xf>
    <xf numFmtId="0" fontId="5" fillId="11" borderId="2" xfId="0" applyFont="1" applyFill="1" applyBorder="1" applyAlignment="1">
      <alignment horizontal="center"/>
    </xf>
    <xf numFmtId="0" fontId="5" fillId="11" borderId="3" xfId="0" applyFont="1" applyFill="1" applyBorder="1" applyAlignment="1">
      <alignment horizontal="center"/>
    </xf>
    <xf numFmtId="0" fontId="6" fillId="11" borderId="4" xfId="0" applyFont="1" applyFill="1" applyBorder="1" applyAlignment="1">
      <alignment horizontal="center"/>
    </xf>
    <xf numFmtId="0" fontId="7" fillId="11" borderId="0" xfId="0" applyFont="1" applyFill="1" applyBorder="1" applyAlignment="1">
      <alignment horizontal="center"/>
    </xf>
    <xf numFmtId="0" fontId="7" fillId="11" borderId="5" xfId="0" applyFont="1" applyFill="1" applyBorder="1" applyAlignment="1">
      <alignment horizontal="center"/>
    </xf>
    <xf numFmtId="0" fontId="14" fillId="11" borderId="6" xfId="0"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14" fontId="11" fillId="3" borderId="13" xfId="0" applyNumberFormat="1" applyFont="1" applyFill="1" applyBorder="1" applyAlignment="1">
      <alignment horizontal="center" wrapText="1"/>
    </xf>
    <xf numFmtId="14" fontId="11" fillId="3" borderId="14" xfId="0" applyNumberFormat="1" applyFont="1" applyFill="1" applyBorder="1" applyAlignment="1">
      <alignment horizontal="center" wrapText="1"/>
    </xf>
    <xf numFmtId="0" fontId="11" fillId="3" borderId="13" xfId="0" applyFont="1" applyFill="1" applyBorder="1" applyAlignment="1">
      <alignment horizontal="center" wrapText="1"/>
    </xf>
    <xf numFmtId="0" fontId="11" fillId="3" borderId="14" xfId="0" applyFont="1" applyFill="1" applyBorder="1" applyAlignment="1">
      <alignment horizontal="center" wrapText="1"/>
    </xf>
    <xf numFmtId="0" fontId="5" fillId="11" borderId="1" xfId="0" applyFont="1" applyFill="1" applyBorder="1" applyAlignment="1" applyProtection="1">
      <alignment horizontal="center" wrapText="1"/>
    </xf>
    <xf numFmtId="0" fontId="5" fillId="11" borderId="2" xfId="0" applyFont="1" applyFill="1" applyBorder="1" applyAlignment="1" applyProtection="1">
      <alignment horizontal="center" wrapText="1"/>
    </xf>
    <xf numFmtId="0" fontId="0" fillId="11" borderId="3" xfId="0" applyFill="1" applyBorder="1" applyAlignment="1" applyProtection="1">
      <alignment wrapText="1"/>
    </xf>
    <xf numFmtId="0" fontId="6" fillId="11" borderId="4" xfId="0" applyFont="1" applyFill="1" applyBorder="1" applyAlignment="1" applyProtection="1">
      <alignment horizontal="center" wrapText="1"/>
    </xf>
    <xf numFmtId="0" fontId="7" fillId="11" borderId="0" xfId="0" applyFont="1" applyFill="1" applyBorder="1" applyAlignment="1" applyProtection="1">
      <alignment horizontal="center" wrapText="1"/>
    </xf>
    <xf numFmtId="0" fontId="0" fillId="11" borderId="5" xfId="0" applyFill="1" applyBorder="1" applyAlignment="1" applyProtection="1">
      <alignment wrapText="1"/>
    </xf>
    <xf numFmtId="0" fontId="8"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39" fillId="6" borderId="13" xfId="0" applyFont="1" applyFill="1" applyBorder="1" applyAlignment="1" applyProtection="1">
      <alignment horizontal="center" wrapText="1"/>
    </xf>
    <xf numFmtId="0" fontId="40" fillId="6" borderId="27" xfId="0" applyFont="1" applyFill="1" applyBorder="1" applyAlignment="1" applyProtection="1">
      <alignment horizontal="center" wrapText="1"/>
    </xf>
    <xf numFmtId="170" fontId="39" fillId="6" borderId="13" xfId="0" applyNumberFormat="1" applyFont="1" applyFill="1" applyBorder="1" applyAlignment="1" applyProtection="1">
      <alignment horizontal="center" wrapText="1"/>
    </xf>
    <xf numFmtId="0" fontId="40" fillId="6" borderId="17" xfId="0" applyFont="1" applyFill="1" applyBorder="1" applyAlignment="1" applyProtection="1">
      <alignment wrapText="1"/>
    </xf>
    <xf numFmtId="14" fontId="30" fillId="3" borderId="13" xfId="0" applyNumberFormat="1" applyFont="1" applyFill="1" applyBorder="1" applyAlignment="1" applyProtection="1">
      <alignment horizontal="center" wrapText="1"/>
    </xf>
    <xf numFmtId="14" fontId="30" fillId="3" borderId="14" xfId="0" applyNumberFormat="1" applyFont="1" applyFill="1" applyBorder="1" applyAlignment="1" applyProtection="1">
      <alignment horizontal="center" wrapText="1"/>
    </xf>
    <xf numFmtId="0" fontId="30" fillId="3" borderId="4" xfId="0" applyFont="1" applyFill="1" applyBorder="1" applyAlignment="1" applyProtection="1">
      <alignment horizontal="center" wrapText="1"/>
    </xf>
    <xf numFmtId="0" fontId="30" fillId="3" borderId="49" xfId="0" applyFont="1" applyFill="1" applyBorder="1" applyAlignment="1" applyProtection="1">
      <alignment horizontal="center" wrapText="1"/>
    </xf>
    <xf numFmtId="0" fontId="35" fillId="12" borderId="13" xfId="0" applyFont="1" applyFill="1" applyBorder="1" applyAlignment="1" applyProtection="1">
      <alignment horizontal="center" wrapText="1"/>
    </xf>
    <xf numFmtId="0" fontId="42" fillId="2" borderId="28" xfId="0" applyFont="1" applyFill="1" applyBorder="1" applyAlignment="1" applyProtection="1">
      <alignment horizontal="center" wrapText="1"/>
    </xf>
    <xf numFmtId="0" fontId="74" fillId="21" borderId="1" xfId="124" applyFont="1" applyFill="1" applyBorder="1" applyAlignment="1">
      <alignment horizontal="center" vertical="center" wrapText="1"/>
    </xf>
    <xf numFmtId="0" fontId="1" fillId="21" borderId="4" xfId="124" applyFont="1" applyFill="1" applyBorder="1" applyAlignment="1">
      <alignment horizontal="center" vertical="center" wrapText="1"/>
    </xf>
    <xf numFmtId="0" fontId="1" fillId="21" borderId="6" xfId="124" applyFont="1" applyFill="1" applyBorder="1" applyAlignment="1">
      <alignment horizontal="center" vertical="center" wrapText="1"/>
    </xf>
    <xf numFmtId="0" fontId="74" fillId="21" borderId="3" xfId="124" applyFont="1" applyFill="1" applyBorder="1" applyAlignment="1">
      <alignment horizontal="center" vertical="center" wrapText="1"/>
    </xf>
    <xf numFmtId="0" fontId="1" fillId="21" borderId="5" xfId="124" applyFont="1" applyFill="1" applyBorder="1" applyAlignment="1">
      <alignment horizontal="center" vertical="center" wrapText="1"/>
    </xf>
    <xf numFmtId="0" fontId="1" fillId="21" borderId="8" xfId="124" applyFont="1" applyFill="1" applyBorder="1" applyAlignment="1">
      <alignment horizontal="center" vertical="center" wrapText="1"/>
    </xf>
    <xf numFmtId="0" fontId="74" fillId="18" borderId="1" xfId="124" applyFont="1" applyFill="1" applyBorder="1" applyAlignment="1">
      <alignment horizontal="center" vertical="center" wrapText="1"/>
    </xf>
    <xf numFmtId="0" fontId="1" fillId="18" borderId="4" xfId="124" applyFont="1" applyFill="1" applyBorder="1" applyAlignment="1">
      <alignment horizontal="center" vertical="center" wrapText="1"/>
    </xf>
    <xf numFmtId="0" fontId="1" fillId="18" borderId="6" xfId="124" applyFont="1" applyFill="1" applyBorder="1" applyAlignment="1">
      <alignment horizontal="center" vertical="center" wrapText="1"/>
    </xf>
    <xf numFmtId="0" fontId="74" fillId="18" borderId="3" xfId="124" applyFont="1" applyFill="1" applyBorder="1" applyAlignment="1">
      <alignment horizontal="center" vertical="center" wrapText="1"/>
    </xf>
    <xf numFmtId="0" fontId="1" fillId="18" borderId="5" xfId="124" applyFont="1" applyFill="1" applyBorder="1" applyAlignment="1">
      <alignment horizontal="center" vertical="center" wrapText="1"/>
    </xf>
    <xf numFmtId="0" fontId="1" fillId="18" borderId="8" xfId="124" applyFont="1" applyFill="1" applyBorder="1" applyAlignment="1">
      <alignment horizontal="center" vertical="center" wrapText="1"/>
    </xf>
    <xf numFmtId="0" fontId="74" fillId="2" borderId="1" xfId="124" applyFont="1" applyFill="1" applyBorder="1" applyAlignment="1">
      <alignment horizontal="center" vertical="center" wrapText="1"/>
    </xf>
    <xf numFmtId="0" fontId="1" fillId="2" borderId="4" xfId="124" applyFont="1" applyFill="1" applyBorder="1" applyAlignment="1">
      <alignment horizontal="center" vertical="center" wrapText="1"/>
    </xf>
    <xf numFmtId="0" fontId="1" fillId="2" borderId="6" xfId="124" applyFont="1" applyFill="1" applyBorder="1" applyAlignment="1">
      <alignment horizontal="center" vertical="center" wrapText="1"/>
    </xf>
    <xf numFmtId="0" fontId="74" fillId="2" borderId="3" xfId="124" applyFont="1" applyFill="1" applyBorder="1" applyAlignment="1">
      <alignment horizontal="center" vertical="center" wrapText="1"/>
    </xf>
    <xf numFmtId="0" fontId="1" fillId="2" borderId="5" xfId="124" applyFont="1" applyFill="1" applyBorder="1" applyAlignment="1">
      <alignment horizontal="center" vertical="center" wrapText="1"/>
    </xf>
    <xf numFmtId="0" fontId="1" fillId="2" borderId="8" xfId="124" applyFont="1" applyFill="1" applyBorder="1" applyAlignment="1">
      <alignment horizontal="center" vertical="center" wrapText="1"/>
    </xf>
    <xf numFmtId="0" fontId="74" fillId="20" borderId="1" xfId="124" applyFont="1" applyFill="1" applyBorder="1" applyAlignment="1">
      <alignment horizontal="center" vertical="center" wrapText="1"/>
    </xf>
    <xf numFmtId="0" fontId="1" fillId="20" borderId="4" xfId="124" applyFont="1" applyFill="1" applyBorder="1" applyAlignment="1">
      <alignment horizontal="center" vertical="center" wrapText="1"/>
    </xf>
    <xf numFmtId="0" fontId="1" fillId="20" borderId="6" xfId="124" applyFont="1" applyFill="1" applyBorder="1" applyAlignment="1">
      <alignment horizontal="center" vertical="center" wrapText="1"/>
    </xf>
    <xf numFmtId="0" fontId="74" fillId="20" borderId="3" xfId="124" applyFont="1" applyFill="1" applyBorder="1" applyAlignment="1">
      <alignment horizontal="center" vertical="center" wrapText="1"/>
    </xf>
    <xf numFmtId="0" fontId="1" fillId="20" borderId="5" xfId="124" applyFont="1" applyFill="1" applyBorder="1" applyAlignment="1">
      <alignment horizontal="center" vertical="center" wrapText="1"/>
    </xf>
    <xf numFmtId="0" fontId="1" fillId="20" borderId="8" xfId="124" applyFont="1" applyFill="1" applyBorder="1" applyAlignment="1">
      <alignment horizontal="center" vertical="center" wrapText="1"/>
    </xf>
    <xf numFmtId="0" fontId="70" fillId="6" borderId="1" xfId="124" applyFont="1" applyFill="1" applyBorder="1" applyAlignment="1">
      <alignment horizontal="center" vertical="center" wrapText="1"/>
    </xf>
    <xf numFmtId="0" fontId="67" fillId="6" borderId="4" xfId="124" applyFont="1" applyFill="1" applyBorder="1" applyAlignment="1">
      <alignment horizontal="center" vertical="center" wrapText="1"/>
    </xf>
    <xf numFmtId="0" fontId="67" fillId="6" borderId="6" xfId="124" applyFont="1" applyFill="1" applyBorder="1" applyAlignment="1">
      <alignment horizontal="center" vertical="center" wrapText="1"/>
    </xf>
    <xf numFmtId="0" fontId="70" fillId="6" borderId="3" xfId="124" applyFont="1" applyFill="1" applyBorder="1" applyAlignment="1">
      <alignment horizontal="center" vertical="center" wrapText="1"/>
    </xf>
    <xf numFmtId="0" fontId="67" fillId="6" borderId="5" xfId="124" applyFont="1" applyFill="1" applyBorder="1" applyAlignment="1">
      <alignment horizontal="center" vertical="center" wrapText="1"/>
    </xf>
    <xf numFmtId="0" fontId="67" fillId="6" borderId="8" xfId="124" applyFont="1" applyFill="1" applyBorder="1" applyAlignment="1">
      <alignment horizontal="center" vertical="center" wrapText="1"/>
    </xf>
    <xf numFmtId="0" fontId="71" fillId="6" borderId="0" xfId="124" applyFont="1" applyFill="1" applyBorder="1" applyAlignment="1">
      <alignment horizontal="center" wrapText="1"/>
    </xf>
    <xf numFmtId="0" fontId="31" fillId="6" borderId="0" xfId="0" applyFont="1" applyFill="1" applyBorder="1" applyAlignment="1">
      <alignment horizontal="center" wrapText="1"/>
    </xf>
    <xf numFmtId="0" fontId="73" fillId="6" borderId="0" xfId="124" applyFont="1" applyFill="1" applyBorder="1" applyAlignment="1">
      <alignment horizontal="center" wrapText="1"/>
    </xf>
    <xf numFmtId="177" fontId="34" fillId="5" borderId="0" xfId="124" applyNumberFormat="1" applyFont="1" applyFill="1" applyBorder="1" applyAlignment="1" applyProtection="1">
      <alignment horizontal="center" wrapText="1"/>
    </xf>
    <xf numFmtId="177" fontId="42" fillId="5" borderId="0" xfId="0" applyNumberFormat="1" applyFont="1" applyFill="1" applyBorder="1" applyAlignment="1" applyProtection="1">
      <alignment horizontal="center" wrapText="1"/>
    </xf>
    <xf numFmtId="0" fontId="68" fillId="6" borderId="1" xfId="8" applyFont="1" applyFill="1" applyBorder="1" applyAlignment="1">
      <alignment horizontal="center" vertical="center" wrapText="1"/>
    </xf>
    <xf numFmtId="0" fontId="68" fillId="6" borderId="2" xfId="0" applyFont="1" applyFill="1" applyBorder="1" applyAlignment="1">
      <alignment horizontal="center" vertical="center" wrapText="1"/>
    </xf>
    <xf numFmtId="0" fontId="68" fillId="6" borderId="3" xfId="0" applyFont="1" applyFill="1" applyBorder="1" applyAlignment="1">
      <alignment horizontal="center" vertical="center" wrapText="1"/>
    </xf>
    <xf numFmtId="0" fontId="68" fillId="6" borderId="6" xfId="0" applyFont="1" applyFill="1" applyBorder="1" applyAlignment="1">
      <alignment horizontal="center" vertical="center" wrapText="1"/>
    </xf>
    <xf numFmtId="0" fontId="68" fillId="6" borderId="7" xfId="0" applyFont="1" applyFill="1" applyBorder="1" applyAlignment="1">
      <alignment horizontal="center" vertical="center" wrapText="1"/>
    </xf>
    <xf numFmtId="0" fontId="68" fillId="6" borderId="8" xfId="0" applyFont="1" applyFill="1" applyBorder="1" applyAlignment="1">
      <alignment horizontal="center" vertical="center" wrapText="1"/>
    </xf>
    <xf numFmtId="0" fontId="75" fillId="6" borderId="73" xfId="0" applyFont="1" applyFill="1" applyBorder="1" applyAlignment="1">
      <alignment horizontal="center" vertical="center" wrapText="1"/>
    </xf>
    <xf numFmtId="0" fontId="75" fillId="6" borderId="74" xfId="0" applyFont="1" applyFill="1" applyBorder="1" applyAlignment="1">
      <alignment horizontal="center" vertical="center" wrapText="1"/>
    </xf>
    <xf numFmtId="0" fontId="75" fillId="6" borderId="75" xfId="0" applyFont="1" applyFill="1" applyBorder="1" applyAlignment="1">
      <alignment horizontal="center" vertical="center" wrapText="1"/>
    </xf>
    <xf numFmtId="0" fontId="61" fillId="0" borderId="0" xfId="0" applyFont="1" applyAlignment="1">
      <alignment horizontal="center" vertical="center" wrapText="1"/>
    </xf>
    <xf numFmtId="0" fontId="74" fillId="18" borderId="4" xfId="124" applyFont="1" applyFill="1" applyBorder="1" applyAlignment="1">
      <alignment horizontal="center" vertical="center" wrapText="1"/>
    </xf>
    <xf numFmtId="0" fontId="74" fillId="18" borderId="5" xfId="124" applyFont="1" applyFill="1" applyBorder="1" applyAlignment="1">
      <alignment horizontal="center" vertical="center" wrapText="1"/>
    </xf>
    <xf numFmtId="0" fontId="69" fillId="7" borderId="5" xfId="0" applyFont="1" applyFill="1" applyBorder="1" applyAlignment="1">
      <alignment horizontal="center" vertical="center" wrapText="1"/>
    </xf>
    <xf numFmtId="0" fontId="60" fillId="2" borderId="73" xfId="0" applyFont="1" applyFill="1" applyBorder="1" applyAlignment="1">
      <alignment horizontal="center" vertical="center" wrapText="1"/>
    </xf>
    <xf numFmtId="0" fontId="60" fillId="2" borderId="74" xfId="0" applyFont="1" applyFill="1" applyBorder="1" applyAlignment="1">
      <alignment horizontal="center" vertical="center" wrapText="1"/>
    </xf>
    <xf numFmtId="0" fontId="60" fillId="2" borderId="75" xfId="0" applyFont="1" applyFill="1" applyBorder="1" applyAlignment="1">
      <alignment horizontal="center" vertical="center" wrapText="1"/>
    </xf>
    <xf numFmtId="0" fontId="60" fillId="20" borderId="73" xfId="0" applyFont="1" applyFill="1" applyBorder="1" applyAlignment="1">
      <alignment horizontal="center" vertical="center" wrapText="1"/>
    </xf>
    <xf numFmtId="0" fontId="60" fillId="20" borderId="74" xfId="0" applyFont="1" applyFill="1" applyBorder="1" applyAlignment="1">
      <alignment horizontal="center" vertical="center" wrapText="1"/>
    </xf>
    <xf numFmtId="0" fontId="60" fillId="20" borderId="75" xfId="0" applyFont="1" applyFill="1" applyBorder="1" applyAlignment="1">
      <alignment horizontal="center" vertical="center" wrapText="1"/>
    </xf>
    <xf numFmtId="0" fontId="60" fillId="18" borderId="72" xfId="0" applyFont="1" applyFill="1" applyBorder="1" applyAlignment="1">
      <alignment horizontal="center" vertical="center" wrapText="1"/>
    </xf>
    <xf numFmtId="0" fontId="76" fillId="21" borderId="73" xfId="0" applyFont="1" applyFill="1" applyBorder="1" applyAlignment="1">
      <alignment horizontal="center" vertical="center" wrapText="1"/>
    </xf>
    <xf numFmtId="0" fontId="76" fillId="21" borderId="74" xfId="0" applyFont="1" applyFill="1" applyBorder="1" applyAlignment="1">
      <alignment horizontal="center" vertical="center" wrapText="1"/>
    </xf>
    <xf numFmtId="0" fontId="76" fillId="21" borderId="75" xfId="0" applyFont="1" applyFill="1" applyBorder="1" applyAlignment="1">
      <alignment horizontal="center" vertical="center" wrapText="1"/>
    </xf>
    <xf numFmtId="0" fontId="63" fillId="7" borderId="5" xfId="0" applyFont="1" applyFill="1" applyBorder="1" applyAlignment="1">
      <alignment horizontal="center" vertical="center" wrapText="1"/>
    </xf>
    <xf numFmtId="0" fontId="58" fillId="7" borderId="51" xfId="0" applyFont="1" applyFill="1" applyBorder="1" applyAlignment="1">
      <alignment horizontal="center" vertical="center" wrapText="1"/>
    </xf>
    <xf numFmtId="0" fontId="58" fillId="7" borderId="5" xfId="0" applyFont="1" applyFill="1" applyBorder="1" applyAlignment="1">
      <alignment horizontal="center" vertical="center" wrapText="1"/>
    </xf>
    <xf numFmtId="0" fontId="6" fillId="0" borderId="50" xfId="8" applyFont="1" applyBorder="1" applyAlignment="1">
      <alignment horizontal="center" vertical="center" wrapText="1"/>
    </xf>
    <xf numFmtId="0" fontId="125" fillId="0" borderId="51" xfId="9" applyFont="1" applyBorder="1" applyAlignment="1">
      <alignment horizontal="center" vertical="center" wrapText="1"/>
    </xf>
    <xf numFmtId="0" fontId="125" fillId="0" borderId="108" xfId="9" applyFont="1" applyBorder="1" applyAlignment="1">
      <alignment horizontal="center" vertical="center" wrapText="1"/>
    </xf>
    <xf numFmtId="0" fontId="126" fillId="0" borderId="51" xfId="9" applyFont="1" applyBorder="1" applyAlignment="1">
      <alignment horizontal="center" vertical="center" wrapText="1"/>
    </xf>
    <xf numFmtId="0" fontId="126" fillId="0" borderId="108" xfId="9" applyFont="1" applyBorder="1" applyAlignment="1">
      <alignment horizontal="center" vertical="center" wrapText="1"/>
    </xf>
    <xf numFmtId="0" fontId="4" fillId="0" borderId="0" xfId="8" applyAlignment="1">
      <alignment wrapText="1"/>
    </xf>
    <xf numFmtId="0" fontId="20" fillId="0" borderId="0" xfId="9" applyAlignment="1">
      <alignment wrapText="1"/>
    </xf>
    <xf numFmtId="0" fontId="20" fillId="0" borderId="110" xfId="9" applyBorder="1" applyAlignment="1">
      <alignment wrapText="1"/>
    </xf>
    <xf numFmtId="0" fontId="85" fillId="6" borderId="1" xfId="124" applyFont="1" applyFill="1" applyBorder="1" applyAlignment="1">
      <alignment horizontal="center" vertical="center" wrapText="1"/>
    </xf>
    <xf numFmtId="0" fontId="86" fillId="6" borderId="4" xfId="124" applyFont="1" applyFill="1" applyBorder="1" applyAlignment="1">
      <alignment horizontal="center" vertical="center" wrapText="1"/>
    </xf>
    <xf numFmtId="0" fontId="86" fillId="6" borderId="6" xfId="124" applyFont="1" applyFill="1" applyBorder="1" applyAlignment="1">
      <alignment horizontal="center" vertical="center" wrapText="1"/>
    </xf>
    <xf numFmtId="0" fontId="85" fillId="6" borderId="3" xfId="124" applyFont="1" applyFill="1" applyBorder="1" applyAlignment="1">
      <alignment horizontal="center" vertical="center" wrapText="1"/>
    </xf>
    <xf numFmtId="0" fontId="86" fillId="6" borderId="5" xfId="124" applyFont="1" applyFill="1" applyBorder="1" applyAlignment="1">
      <alignment horizontal="center" vertical="center" wrapText="1"/>
    </xf>
    <xf numFmtId="0" fontId="86" fillId="6" borderId="8" xfId="124" applyFont="1" applyFill="1" applyBorder="1" applyAlignment="1">
      <alignment horizontal="center" vertical="center" wrapText="1"/>
    </xf>
    <xf numFmtId="177" fontId="48" fillId="22" borderId="6" xfId="8" applyNumberFormat="1" applyFont="1" applyFill="1" applyBorder="1" applyAlignment="1">
      <alignment horizontal="center" wrapText="1"/>
    </xf>
    <xf numFmtId="0" fontId="48" fillId="0" borderId="8" xfId="8" applyFont="1" applyBorder="1" applyAlignment="1">
      <alignment horizontal="center" wrapText="1"/>
    </xf>
    <xf numFmtId="0" fontId="30" fillId="26" borderId="1" xfId="8" applyFont="1" applyFill="1" applyBorder="1" applyAlignment="1">
      <alignment horizontal="left" wrapText="1"/>
    </xf>
    <xf numFmtId="0" fontId="30" fillId="26" borderId="3" xfId="0" applyFont="1" applyFill="1" applyBorder="1" applyAlignment="1">
      <alignment horizontal="left" wrapText="1"/>
    </xf>
    <xf numFmtId="0" fontId="30" fillId="26" borderId="6" xfId="8" applyFont="1" applyFill="1" applyBorder="1" applyAlignment="1">
      <alignment horizontal="left" vertical="center" wrapText="1"/>
    </xf>
    <xf numFmtId="0" fontId="48" fillId="26" borderId="8" xfId="0" applyFont="1" applyFill="1" applyBorder="1" applyAlignment="1">
      <alignment horizontal="left" vertical="center" wrapText="1"/>
    </xf>
    <xf numFmtId="0" fontId="82" fillId="14" borderId="1" xfId="8" applyFont="1" applyFill="1" applyBorder="1"/>
    <xf numFmtId="0" fontId="83" fillId="14" borderId="3" xfId="8" applyFont="1" applyFill="1" applyBorder="1"/>
    <xf numFmtId="0" fontId="82" fillId="14" borderId="4" xfId="8" applyFont="1" applyFill="1" applyBorder="1"/>
    <xf numFmtId="0" fontId="82" fillId="14" borderId="5" xfId="8" applyFont="1" applyFill="1" applyBorder="1"/>
    <xf numFmtId="0" fontId="82" fillId="14" borderId="6" xfId="8" applyFont="1" applyFill="1" applyBorder="1"/>
    <xf numFmtId="0" fontId="82" fillId="14" borderId="8" xfId="8" applyFont="1" applyFill="1" applyBorder="1"/>
    <xf numFmtId="49" fontId="48" fillId="22" borderId="1" xfId="8" applyNumberFormat="1" applyFont="1" applyFill="1" applyBorder="1" applyAlignment="1">
      <alignment horizontal="center" wrapText="1"/>
    </xf>
    <xf numFmtId="0" fontId="48" fillId="0" borderId="3" xfId="8" applyFont="1" applyBorder="1" applyAlignment="1">
      <alignment horizontal="center" wrapText="1"/>
    </xf>
    <xf numFmtId="1" fontId="48" fillId="22" borderId="4" xfId="8" applyNumberFormat="1" applyFont="1" applyFill="1" applyBorder="1" applyAlignment="1">
      <alignment horizontal="center" wrapText="1"/>
    </xf>
    <xf numFmtId="1" fontId="48" fillId="0" borderId="5" xfId="8" applyNumberFormat="1" applyFont="1" applyBorder="1" applyAlignment="1">
      <alignment horizontal="center" wrapText="1"/>
    </xf>
    <xf numFmtId="0" fontId="48" fillId="22" borderId="4" xfId="8" applyFont="1" applyFill="1" applyBorder="1" applyAlignment="1">
      <alignment horizontal="center" wrapText="1"/>
    </xf>
    <xf numFmtId="0" fontId="48" fillId="0" borderId="5" xfId="8" applyFont="1" applyBorder="1" applyAlignment="1">
      <alignment horizontal="center" wrapText="1"/>
    </xf>
    <xf numFmtId="0" fontId="54" fillId="17" borderId="6" xfId="8" applyFont="1" applyFill="1" applyBorder="1" applyAlignment="1">
      <alignment wrapText="1"/>
    </xf>
    <xf numFmtId="0" fontId="0" fillId="0" borderId="8" xfId="0" applyBorder="1" applyAlignment="1">
      <alignment wrapText="1"/>
    </xf>
    <xf numFmtId="0" fontId="30" fillId="6" borderId="13" xfId="8" applyFont="1" applyFill="1" applyBorder="1" applyAlignment="1">
      <alignment wrapText="1"/>
    </xf>
    <xf numFmtId="0" fontId="31" fillId="0" borderId="28" xfId="0" applyFont="1" applyBorder="1" applyAlignment="1">
      <alignment wrapText="1"/>
    </xf>
    <xf numFmtId="177" fontId="48" fillId="14" borderId="6" xfId="8" applyNumberFormat="1" applyFont="1" applyFill="1" applyBorder="1" applyAlignment="1">
      <alignment horizontal="center" wrapText="1"/>
    </xf>
    <xf numFmtId="0" fontId="48" fillId="0" borderId="8" xfId="8" applyFont="1" applyBorder="1" applyAlignment="1">
      <alignment wrapText="1"/>
    </xf>
    <xf numFmtId="0" fontId="48" fillId="11" borderId="4" xfId="8" applyFont="1" applyFill="1" applyBorder="1" applyAlignment="1">
      <alignment horizontal="right" wrapText="1"/>
    </xf>
    <xf numFmtId="0" fontId="48" fillId="11" borderId="0" xfId="8" applyFont="1" applyFill="1" applyAlignment="1">
      <alignment horizontal="right" wrapText="1"/>
    </xf>
    <xf numFmtId="0" fontId="63" fillId="14" borderId="1" xfId="8" applyFont="1" applyFill="1" applyBorder="1"/>
    <xf numFmtId="0" fontId="64" fillId="14" borderId="3" xfId="8" applyFont="1" applyFill="1" applyBorder="1"/>
    <xf numFmtId="0" fontId="63" fillId="14" borderId="4" xfId="8" applyFont="1" applyFill="1" applyBorder="1"/>
    <xf numFmtId="0" fontId="64" fillId="14" borderId="5" xfId="8" applyFont="1" applyFill="1" applyBorder="1"/>
    <xf numFmtId="0" fontId="63" fillId="14" borderId="6" xfId="8" applyFont="1" applyFill="1" applyBorder="1"/>
    <xf numFmtId="0" fontId="64" fillId="14" borderId="8" xfId="8" applyFont="1" applyFill="1" applyBorder="1"/>
    <xf numFmtId="49" fontId="48" fillId="14" borderId="1" xfId="8" applyNumberFormat="1" applyFont="1" applyFill="1" applyBorder="1" applyAlignment="1">
      <alignment horizontal="center" wrapText="1"/>
    </xf>
    <xf numFmtId="1" fontId="48" fillId="14" borderId="4" xfId="8" applyNumberFormat="1" applyFont="1" applyFill="1" applyBorder="1" applyAlignment="1">
      <alignment horizontal="center" wrapText="1"/>
    </xf>
    <xf numFmtId="0" fontId="48" fillId="14" borderId="4" xfId="8" applyFont="1" applyFill="1" applyBorder="1" applyAlignment="1">
      <alignment horizontal="center" wrapText="1"/>
    </xf>
    <xf numFmtId="177" fontId="48" fillId="0" borderId="8" xfId="0" applyNumberFormat="1" applyFont="1" applyBorder="1" applyAlignment="1">
      <alignment horizontal="center" wrapText="1"/>
    </xf>
    <xf numFmtId="0" fontId="8" fillId="14" borderId="1" xfId="8" applyFont="1" applyFill="1" applyBorder="1"/>
    <xf numFmtId="0" fontId="4" fillId="14" borderId="3" xfId="8" applyFill="1" applyBorder="1"/>
    <xf numFmtId="0" fontId="8" fillId="14" borderId="4" xfId="8" applyFont="1" applyFill="1" applyBorder="1"/>
    <xf numFmtId="0" fontId="4" fillId="14" borderId="5" xfId="8" applyFill="1" applyBorder="1"/>
    <xf numFmtId="0" fontId="8" fillId="14" borderId="6" xfId="8" applyFont="1" applyFill="1" applyBorder="1"/>
    <xf numFmtId="0" fontId="4" fillId="14" borderId="8" xfId="8" applyFill="1" applyBorder="1"/>
    <xf numFmtId="0" fontId="48" fillId="0" borderId="3" xfId="0" applyFont="1" applyBorder="1" applyAlignment="1">
      <alignment horizontal="center" wrapText="1"/>
    </xf>
    <xf numFmtId="0" fontId="48" fillId="0" borderId="5" xfId="0" applyFont="1" applyBorder="1" applyAlignment="1">
      <alignment horizontal="center" wrapText="1"/>
    </xf>
    <xf numFmtId="3" fontId="48" fillId="22" borderId="4" xfId="8" applyNumberFormat="1" applyFont="1" applyFill="1" applyBorder="1" applyAlignment="1">
      <alignment horizontal="center" wrapText="1"/>
    </xf>
    <xf numFmtId="177" fontId="4" fillId="22" borderId="6" xfId="8" applyNumberFormat="1" applyFill="1" applyBorder="1" applyAlignment="1">
      <alignment horizontal="center" wrapText="1"/>
    </xf>
    <xf numFmtId="177" fontId="0" fillId="0" borderId="8" xfId="0" applyNumberFormat="1" applyBorder="1" applyAlignment="1">
      <alignment horizontal="center" wrapText="1"/>
    </xf>
    <xf numFmtId="49" fontId="4" fillId="22" borderId="1" xfId="8" applyNumberFormat="1" applyFill="1" applyBorder="1" applyAlignment="1">
      <alignment horizontal="center" wrapText="1"/>
    </xf>
    <xf numFmtId="0" fontId="0" fillId="0" borderId="3" xfId="0" applyBorder="1" applyAlignment="1">
      <alignment horizontal="center" wrapText="1"/>
    </xf>
    <xf numFmtId="3" fontId="4" fillId="22" borderId="4" xfId="8" applyNumberFormat="1" applyFill="1" applyBorder="1" applyAlignment="1">
      <alignment horizontal="center" wrapText="1"/>
    </xf>
    <xf numFmtId="0" fontId="0" fillId="0" borderId="5" xfId="0" applyBorder="1" applyAlignment="1">
      <alignment horizontal="center" wrapText="1"/>
    </xf>
    <xf numFmtId="0" fontId="4" fillId="22" borderId="4" xfId="8" applyFill="1" applyBorder="1" applyAlignment="1">
      <alignment horizontal="center" wrapText="1"/>
    </xf>
    <xf numFmtId="0" fontId="48" fillId="22" borderId="6" xfId="8" applyFont="1" applyFill="1" applyBorder="1" applyAlignment="1">
      <alignment horizontal="center" wrapText="1"/>
    </xf>
    <xf numFmtId="0" fontId="48" fillId="0" borderId="8" xfId="0" applyFont="1" applyBorder="1" applyAlignment="1">
      <alignment horizontal="center" wrapText="1"/>
    </xf>
    <xf numFmtId="0" fontId="48" fillId="0" borderId="3" xfId="0" applyNumberFormat="1" applyFont="1" applyBorder="1" applyAlignment="1">
      <alignment horizontal="center" wrapText="1"/>
    </xf>
    <xf numFmtId="0" fontId="53" fillId="6" borderId="0" xfId="8" applyFont="1" applyFill="1" applyAlignment="1">
      <alignment horizontal="center" vertical="center" wrapText="1"/>
    </xf>
    <xf numFmtId="0" fontId="53" fillId="6" borderId="7" xfId="8" applyFont="1" applyFill="1" applyBorder="1" applyAlignment="1">
      <alignment horizontal="center" vertical="center" wrapText="1"/>
    </xf>
    <xf numFmtId="0" fontId="69" fillId="6" borderId="1" xfId="8" applyFont="1" applyFill="1" applyBorder="1" applyAlignment="1">
      <alignment horizontal="center" vertical="center" wrapText="1"/>
    </xf>
    <xf numFmtId="0" fontId="69" fillId="6" borderId="3" xfId="0" applyFont="1" applyFill="1" applyBorder="1" applyAlignment="1">
      <alignment horizontal="center" vertical="center" wrapText="1"/>
    </xf>
    <xf numFmtId="0" fontId="69" fillId="6" borderId="4" xfId="0" applyFont="1" applyFill="1" applyBorder="1" applyAlignment="1">
      <alignment horizontal="center" vertical="center" wrapText="1"/>
    </xf>
    <xf numFmtId="0" fontId="69" fillId="6" borderId="5" xfId="0" applyFont="1" applyFill="1" applyBorder="1" applyAlignment="1">
      <alignment horizontal="center" vertical="center" wrapText="1"/>
    </xf>
    <xf numFmtId="0" fontId="69" fillId="6" borderId="6" xfId="0" applyFont="1" applyFill="1" applyBorder="1" applyAlignment="1">
      <alignment horizontal="center" vertical="center" wrapText="1"/>
    </xf>
    <xf numFmtId="0" fontId="69" fillId="6" borderId="8" xfId="0" applyFont="1" applyFill="1" applyBorder="1" applyAlignment="1">
      <alignment horizontal="center" vertical="center" wrapText="1"/>
    </xf>
    <xf numFmtId="0" fontId="13" fillId="14" borderId="51" xfId="0" applyFont="1" applyFill="1" applyBorder="1" applyAlignment="1" applyProtection="1">
      <alignment horizontal="center" vertical="center" wrapText="1"/>
      <protection locked="0"/>
    </xf>
    <xf numFmtId="0" fontId="16" fillId="0" borderId="52" xfId="0" applyFont="1" applyBorder="1" applyAlignment="1" applyProtection="1">
      <alignment horizontal="center" vertical="center" wrapText="1"/>
      <protection locked="0"/>
    </xf>
    <xf numFmtId="0" fontId="58" fillId="0" borderId="0" xfId="8" applyFont="1" applyAlignment="1">
      <alignment horizontal="center" vertical="center" wrapText="1"/>
    </xf>
    <xf numFmtId="0" fontId="58" fillId="0" borderId="0" xfId="0" applyFont="1" applyAlignment="1">
      <alignment horizontal="center" vertical="center" wrapText="1"/>
    </xf>
    <xf numFmtId="0" fontId="6" fillId="0" borderId="0" xfId="8" applyFont="1" applyAlignment="1">
      <alignment horizontal="right"/>
    </xf>
    <xf numFmtId="0" fontId="6" fillId="0" borderId="107" xfId="8" applyFont="1" applyBorder="1" applyAlignment="1">
      <alignment horizontal="right"/>
    </xf>
    <xf numFmtId="0" fontId="114" fillId="29" borderId="27" xfId="8" applyFont="1" applyFill="1" applyBorder="1" applyAlignment="1">
      <alignment horizontal="right"/>
    </xf>
    <xf numFmtId="0" fontId="118" fillId="29" borderId="27" xfId="8" applyFont="1" applyFill="1" applyBorder="1" applyAlignment="1">
      <alignment horizontal="right"/>
    </xf>
    <xf numFmtId="0" fontId="66" fillId="6" borderId="13" xfId="8" applyFont="1" applyFill="1" applyBorder="1" applyAlignment="1">
      <alignment wrapText="1"/>
    </xf>
    <xf numFmtId="0" fontId="66" fillId="0" borderId="27" xfId="8" applyFont="1" applyBorder="1" applyAlignment="1">
      <alignment wrapText="1"/>
    </xf>
    <xf numFmtId="0" fontId="66" fillId="0" borderId="28" xfId="8" applyFont="1" applyBorder="1" applyAlignment="1">
      <alignment wrapText="1"/>
    </xf>
    <xf numFmtId="0" fontId="114" fillId="29" borderId="13" xfId="8" applyFont="1" applyFill="1" applyBorder="1" applyAlignment="1">
      <alignment horizontal="center" vertical="center" wrapText="1"/>
    </xf>
    <xf numFmtId="0" fontId="59" fillId="29" borderId="27" xfId="8" applyFont="1" applyFill="1" applyBorder="1" applyAlignment="1">
      <alignment horizontal="center" vertical="center" wrapText="1"/>
    </xf>
    <xf numFmtId="0" fontId="66" fillId="6" borderId="13" xfId="8" applyFont="1" applyFill="1" applyBorder="1" applyAlignment="1">
      <alignment vertical="center" wrapText="1"/>
    </xf>
    <xf numFmtId="0" fontId="59" fillId="0" borderId="27" xfId="8" applyFont="1" applyBorder="1" applyAlignment="1">
      <alignment wrapText="1"/>
    </xf>
    <xf numFmtId="0" fontId="59" fillId="0" borderId="28" xfId="8" applyFont="1" applyBorder="1" applyAlignment="1">
      <alignment wrapText="1"/>
    </xf>
    <xf numFmtId="0" fontId="6" fillId="0" borderId="63" xfId="8" applyFont="1" applyBorder="1" applyAlignment="1">
      <alignment horizontal="right"/>
    </xf>
    <xf numFmtId="0" fontId="66" fillId="4" borderId="0" xfId="8" applyFont="1" applyFill="1" applyAlignment="1">
      <alignment vertical="center" wrapText="1"/>
    </xf>
    <xf numFmtId="0" fontId="59" fillId="0" borderId="0" xfId="8" applyFont="1" applyAlignment="1">
      <alignment wrapText="1"/>
    </xf>
    <xf numFmtId="0" fontId="59" fillId="0" borderId="5" xfId="8" applyFont="1" applyBorder="1" applyAlignment="1">
      <alignment wrapText="1"/>
    </xf>
    <xf numFmtId="0" fontId="59" fillId="0" borderId="27" xfId="8" applyFont="1" applyBorder="1" applyAlignment="1">
      <alignment vertical="center" wrapText="1"/>
    </xf>
    <xf numFmtId="0" fontId="59" fillId="0" borderId="28" xfId="8" applyFont="1" applyBorder="1" applyAlignment="1">
      <alignment vertical="center" wrapText="1"/>
    </xf>
    <xf numFmtId="0" fontId="59" fillId="0" borderId="0" xfId="8" applyFont="1"/>
    <xf numFmtId="0" fontId="115" fillId="0" borderId="27" xfId="8" applyFont="1" applyBorder="1" applyAlignment="1">
      <alignment vertical="center" wrapText="1"/>
    </xf>
    <xf numFmtId="0" fontId="115" fillId="0" borderId="28" xfId="8" applyFont="1" applyBorder="1" applyAlignment="1">
      <alignment vertical="center" wrapText="1"/>
    </xf>
    <xf numFmtId="0" fontId="66" fillId="6" borderId="13" xfId="8" applyFont="1" applyFill="1" applyBorder="1" applyAlignment="1">
      <alignment horizontal="left" vertical="center" wrapText="1"/>
    </xf>
    <xf numFmtId="0" fontId="100" fillId="0" borderId="27" xfId="129" applyFont="1" applyBorder="1" applyAlignment="1">
      <alignment horizontal="left" vertical="center" wrapText="1"/>
    </xf>
    <xf numFmtId="0" fontId="100" fillId="0" borderId="28" xfId="129" applyFont="1" applyBorder="1" applyAlignment="1">
      <alignment horizontal="left" vertical="center" wrapText="1"/>
    </xf>
    <xf numFmtId="0" fontId="6" fillId="0" borderId="27" xfId="8" applyFont="1" applyBorder="1" applyAlignment="1">
      <alignment wrapText="1"/>
    </xf>
    <xf numFmtId="0" fontId="6" fillId="0" borderId="28" xfId="8" applyFont="1" applyBorder="1" applyAlignment="1">
      <alignment wrapText="1"/>
    </xf>
    <xf numFmtId="165" fontId="103" fillId="31" borderId="50" xfId="8" applyNumberFormat="1" applyFont="1" applyFill="1" applyBorder="1" applyAlignment="1" applyProtection="1">
      <alignment vertical="center" wrapText="1"/>
      <protection locked="0"/>
    </xf>
    <xf numFmtId="165" fontId="103" fillId="31" borderId="52" xfId="8" applyNumberFormat="1" applyFont="1" applyFill="1" applyBorder="1" applyAlignment="1" applyProtection="1">
      <alignment vertical="center" wrapText="1"/>
      <protection locked="0"/>
    </xf>
    <xf numFmtId="165" fontId="8" fillId="31" borderId="50" xfId="8" applyNumberFormat="1" applyFont="1" applyFill="1" applyBorder="1" applyAlignment="1">
      <alignment horizontal="center" vertical="center" wrapText="1"/>
    </xf>
    <xf numFmtId="0" fontId="99" fillId="0" borderId="52" xfId="129" applyBorder="1" applyAlignment="1">
      <alignment horizontal="center" vertical="center" wrapText="1"/>
    </xf>
    <xf numFmtId="0" fontId="8" fillId="31" borderId="50" xfId="8" applyFont="1" applyFill="1" applyBorder="1" applyAlignment="1">
      <alignment vertical="center" wrapText="1"/>
    </xf>
    <xf numFmtId="0" fontId="8" fillId="31" borderId="52" xfId="8" applyFont="1" applyFill="1" applyBorder="1" applyAlignment="1">
      <alignment vertical="center" wrapText="1"/>
    </xf>
    <xf numFmtId="0" fontId="8" fillId="33" borderId="0" xfId="8" applyFont="1" applyFill="1" applyAlignment="1">
      <alignment horizontal="center"/>
    </xf>
    <xf numFmtId="0" fontId="4" fillId="0" borderId="0" xfId="8" applyAlignment="1">
      <alignment horizontal="center"/>
    </xf>
    <xf numFmtId="166" fontId="8" fillId="14" borderId="1" xfId="8" applyNumberFormat="1" applyFont="1" applyFill="1" applyBorder="1"/>
    <xf numFmtId="0" fontId="8" fillId="14" borderId="2" xfId="8" applyFont="1" applyFill="1" applyBorder="1"/>
    <xf numFmtId="0" fontId="8" fillId="14" borderId="3" xfId="8" applyFont="1" applyFill="1" applyBorder="1"/>
    <xf numFmtId="0" fontId="42" fillId="14" borderId="0" xfId="8" applyFont="1" applyFill="1"/>
    <xf numFmtId="0" fontId="42" fillId="14" borderId="5" xfId="8" applyFont="1" applyFill="1" applyBorder="1"/>
    <xf numFmtId="0" fontId="6" fillId="14" borderId="6" xfId="8" applyFont="1" applyFill="1" applyBorder="1"/>
    <xf numFmtId="0" fontId="4" fillId="14" borderId="7" xfId="8" applyFill="1" applyBorder="1"/>
    <xf numFmtId="0" fontId="4" fillId="31" borderId="52" xfId="8" applyFill="1" applyBorder="1" applyAlignment="1">
      <alignment vertical="center" wrapText="1"/>
    </xf>
    <xf numFmtId="0" fontId="8" fillId="31" borderId="50" xfId="8" applyFont="1" applyFill="1" applyBorder="1" applyAlignment="1">
      <alignment horizontal="center" vertical="center" wrapText="1"/>
    </xf>
    <xf numFmtId="0" fontId="8" fillId="31" borderId="52" xfId="8" applyFont="1" applyFill="1" applyBorder="1" applyAlignment="1">
      <alignment horizontal="center" vertical="center" wrapText="1"/>
    </xf>
    <xf numFmtId="0" fontId="13" fillId="14" borderId="51" xfId="0" applyFont="1" applyFill="1" applyBorder="1" applyAlignment="1">
      <alignment horizontal="center" vertical="center" wrapText="1"/>
    </xf>
    <xf numFmtId="0" fontId="16" fillId="0" borderId="52" xfId="0" applyFont="1" applyBorder="1" applyAlignment="1">
      <alignment horizontal="center" vertical="center" wrapText="1"/>
    </xf>
    <xf numFmtId="0" fontId="96" fillId="6" borderId="13" xfId="0" applyFont="1" applyFill="1" applyBorder="1" applyAlignment="1">
      <alignment wrapText="1"/>
    </xf>
    <xf numFmtId="0" fontId="0" fillId="0" borderId="27" xfId="0" applyBorder="1" applyAlignment="1">
      <alignment wrapText="1"/>
    </xf>
    <xf numFmtId="0" fontId="0" fillId="0" borderId="28" xfId="0" applyBorder="1" applyAlignment="1">
      <alignment wrapText="1"/>
    </xf>
    <xf numFmtId="0" fontId="4" fillId="0" borderId="0" xfId="0" applyFont="1" applyAlignment="1">
      <alignment wrapText="1"/>
    </xf>
    <xf numFmtId="0" fontId="0" fillId="0" borderId="0" xfId="0" applyAlignment="1">
      <alignment wrapText="1"/>
    </xf>
  </cellXfs>
  <cellStyles count="130">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Normal 3 3" xfId="129" xr:uid="{81F69733-A6A8-844B-8555-A2FD030605FF}"/>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bookair/Library/Mobile%20Documents/com~apple~CloudDocs/COURS%20ME&#769;RICI/Hiver%202021/Finance%20gaganante%20(430-853-ME)/Resto%20A%20+/S%20-%20E&#769;tats%20financiers%20Resto%20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État des Résultats"/>
      <sheetName val="Bilan (2)"/>
      <sheetName val="Tableau de trésorerie"/>
      <sheetName val="Ind. de performance"/>
    </sheetNames>
    <sheetDataSet>
      <sheetData sheetId="0">
        <row r="14">
          <cell r="E14">
            <v>0</v>
          </cell>
        </row>
        <row r="41">
          <cell r="C41" t="str">
            <v xml:space="preserve"> Amortissements </v>
          </cell>
        </row>
      </sheetData>
      <sheetData sheetId="1">
        <row r="16">
          <cell r="E16">
            <v>0</v>
          </cell>
        </row>
        <row r="19">
          <cell r="E19">
            <v>1500</v>
          </cell>
        </row>
        <row r="44">
          <cell r="E44">
            <v>58980</v>
          </cell>
        </row>
      </sheetData>
      <sheetData sheetId="2" refreshError="1"/>
      <sheetData sheetId="3"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rimag.com/Cout-direct-d-exploitation-GL-7400-7499"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rimag.com/Musique-Divertissement-GL-7500-7599"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rimag.com/Marketing-Communication-marketing-GL-7600-7699"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www.hrimag.com/Services-publics-GL-7700-7799"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hyperlink" Target="https://www.hrimag.com/Entretien-Reparations-GL-7900-7999"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occupation-GL-7300-73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tabSelected="1" zoomScale="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1117" t="str">
        <f>'État des Résultats'!C2</f>
        <v>Chez Les Petites Gâteries &amp; Cie.</v>
      </c>
      <c r="C2" s="1118"/>
      <c r="D2" s="1118"/>
      <c r="E2" s="1118"/>
      <c r="F2" s="1118"/>
      <c r="G2" s="1118"/>
      <c r="H2" s="1118"/>
      <c r="I2" s="1118"/>
      <c r="J2" s="1118"/>
      <c r="K2" s="1118"/>
      <c r="L2" s="1118"/>
      <c r="M2" s="1118"/>
      <c r="N2" s="1118"/>
      <c r="O2" s="1119"/>
    </row>
    <row r="3" spans="2:16" ht="16" x14ac:dyDescent="0.2">
      <c r="B3" s="1120" t="str">
        <f>'État des Résultats'!C3</f>
        <v xml:space="preserve">États des résultats </v>
      </c>
      <c r="C3" s="1121"/>
      <c r="D3" s="1121"/>
      <c r="E3" s="1121"/>
      <c r="F3" s="1121"/>
      <c r="G3" s="1121"/>
      <c r="H3" s="1121"/>
      <c r="I3" s="1121"/>
      <c r="J3" s="1121"/>
      <c r="K3" s="1121"/>
      <c r="L3" s="1121"/>
      <c r="M3" s="1121"/>
      <c r="N3" s="1121"/>
      <c r="O3" s="1122"/>
    </row>
    <row r="4" spans="2:16" ht="17" thickBot="1" x14ac:dyDescent="0.25">
      <c r="B4" s="1120" t="str">
        <f>'État des Résultats'!C4</f>
        <v>Pour la période du 1er janvier 2021 au 31 décembre 2021</v>
      </c>
      <c r="C4" s="1121"/>
      <c r="D4" s="1121"/>
      <c r="E4" s="1121"/>
      <c r="F4" s="1121"/>
      <c r="G4" s="1121"/>
      <c r="H4" s="1121"/>
      <c r="I4" s="1121"/>
      <c r="J4" s="1121"/>
      <c r="K4" s="1121"/>
      <c r="L4" s="1121"/>
      <c r="M4" s="1121"/>
      <c r="N4" s="1121"/>
      <c r="O4" s="1122"/>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8" t="s">
        <v>55</v>
      </c>
      <c r="E6" s="288" t="s">
        <v>56</v>
      </c>
      <c r="F6" s="288" t="s">
        <v>57</v>
      </c>
      <c r="G6" s="288" t="s">
        <v>58</v>
      </c>
      <c r="H6" s="288" t="s">
        <v>59</v>
      </c>
      <c r="I6" s="288" t="s">
        <v>60</v>
      </c>
      <c r="J6" s="288" t="s">
        <v>61</v>
      </c>
      <c r="K6" s="288" t="s">
        <v>62</v>
      </c>
      <c r="L6" s="288" t="s">
        <v>63</v>
      </c>
      <c r="M6" s="288" t="s">
        <v>64</v>
      </c>
      <c r="N6" s="288" t="s">
        <v>65</v>
      </c>
      <c r="O6" s="289" t="s">
        <v>66</v>
      </c>
    </row>
    <row r="7" spans="2:16" ht="15" thickTop="1" thickBot="1" x14ac:dyDescent="0.2">
      <c r="B7" s="1123" t="s">
        <v>26</v>
      </c>
      <c r="C7" s="1124"/>
      <c r="D7" s="73">
        <v>1</v>
      </c>
      <c r="E7" s="74">
        <f t="shared" ref="E7:O7" si="0">+D7</f>
        <v>1</v>
      </c>
      <c r="F7" s="75">
        <f t="shared" si="0"/>
        <v>1</v>
      </c>
      <c r="G7" s="75">
        <f t="shared" si="0"/>
        <v>1</v>
      </c>
      <c r="H7" s="75">
        <f t="shared" si="0"/>
        <v>1</v>
      </c>
      <c r="I7" s="75">
        <f t="shared" si="0"/>
        <v>1</v>
      </c>
      <c r="J7" s="75">
        <f t="shared" si="0"/>
        <v>1</v>
      </c>
      <c r="K7" s="75">
        <f t="shared" si="0"/>
        <v>1</v>
      </c>
      <c r="L7" s="75">
        <f t="shared" si="0"/>
        <v>1</v>
      </c>
      <c r="M7" s="75">
        <f t="shared" si="0"/>
        <v>1</v>
      </c>
      <c r="N7" s="75">
        <f t="shared" si="0"/>
        <v>1</v>
      </c>
      <c r="O7" s="76">
        <f t="shared" si="0"/>
        <v>1</v>
      </c>
    </row>
    <row r="8" spans="2:16" ht="15" thickTop="1" thickBot="1" x14ac:dyDescent="0.2">
      <c r="B8" s="1125" t="s">
        <v>27</v>
      </c>
      <c r="C8" s="1126"/>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42">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QBU9e3bb8tgeeL/rdJ+rF7CL0LA8y7hk5WYAtHsgB5ZEmuZVMsL2zqABMSE+fxcE6yyGYso4fq+CeiJJH+Fm/Q==" saltValue="RsGSyNivvund42k6QoJdPw==" spinCount="100000" sheet="1" objects="1" scenarios="1"/>
  <mergeCells count="5">
    <mergeCell ref="B2:O2"/>
    <mergeCell ref="B3:O3"/>
    <mergeCell ref="B7:C7"/>
    <mergeCell ref="B8:C8"/>
    <mergeCell ref="B4:O4"/>
  </mergeCells>
  <phoneticPr fontId="46"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zoomScale="125" zoomScaleNormal="125" zoomScalePageLayoutView="125" workbookViewId="0">
      <selection activeCell="A26" sqref="A26:A27"/>
    </sheetView>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9.5" style="161" bestFit="1" customWidth="1"/>
    <col min="34" max="34" width="0.83203125" style="161" customWidth="1"/>
    <col min="35" max="35" width="14.33203125" style="161" customWidth="1"/>
    <col min="36" max="36" width="9.5" style="161" bestFit="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82" t="str">
        <f>'État des Résultats'!C2</f>
        <v>Chez Les Petites Gâteries &amp; Cie.</v>
      </c>
      <c r="C2" s="1283"/>
      <c r="AS2" s="1240" t="s">
        <v>42</v>
      </c>
      <c r="AT2" s="367"/>
      <c r="AU2" s="367"/>
      <c r="AV2" s="367"/>
      <c r="AW2" s="367"/>
      <c r="AX2" s="367"/>
      <c r="AY2" s="367"/>
      <c r="AZ2" s="367"/>
      <c r="BA2" s="367"/>
      <c r="BB2" s="367"/>
      <c r="BC2" s="1243" t="s">
        <v>43</v>
      </c>
    </row>
    <row r="3" spans="2:56" ht="20" customHeight="1" x14ac:dyDescent="0.2">
      <c r="B3" s="1284" t="str">
        <f>'État des Résultats'!C3</f>
        <v xml:space="preserve">États des résultats </v>
      </c>
      <c r="C3" s="1285"/>
      <c r="AS3" s="1241"/>
      <c r="AT3" s="368"/>
      <c r="AU3" s="368"/>
      <c r="AV3" s="368"/>
      <c r="AW3" s="368"/>
      <c r="AX3" s="368"/>
      <c r="AY3" s="368"/>
      <c r="AZ3" s="368"/>
      <c r="BA3" s="368"/>
      <c r="BB3" s="368"/>
      <c r="BC3" s="1244"/>
    </row>
    <row r="4" spans="2:56" ht="22" thickBot="1" x14ac:dyDescent="0.3">
      <c r="B4" s="1286" t="str">
        <f>'État des Résultats'!C4</f>
        <v>Pour la période du 1er janvier 2021 au 31 décembre 2021</v>
      </c>
      <c r="C4" s="1287"/>
      <c r="AS4" s="1241"/>
      <c r="AT4" s="369" t="str">
        <f>'Formule pour le calcul D'!BA103</f>
        <v>Coût annuel</v>
      </c>
      <c r="AU4" s="369" t="s">
        <v>44</v>
      </c>
      <c r="AV4" s="369" t="str">
        <f>'Formule pour le calcul D'!BC103</f>
        <v>Achalandage annuelle</v>
      </c>
      <c r="AW4" s="369" t="s">
        <v>45</v>
      </c>
      <c r="AX4" s="369" t="s">
        <v>46</v>
      </c>
      <c r="AY4" s="369" t="str">
        <f>'Formule pour le calcul D'!BF103</f>
        <v>Um/A</v>
      </c>
      <c r="AZ4" s="369" t="s">
        <v>45</v>
      </c>
      <c r="BA4" s="369" t="str">
        <f>'Formule pour le calcul D'!BH103</f>
        <v>CmO</v>
      </c>
      <c r="BB4" s="369" t="s">
        <v>49</v>
      </c>
      <c r="BC4" s="1244"/>
    </row>
    <row r="5" spans="2:56" ht="21" thickTop="1" thickBot="1" x14ac:dyDescent="0.3">
      <c r="AS5" s="1241"/>
      <c r="AT5" s="370" t="s">
        <v>2</v>
      </c>
      <c r="AU5" s="371"/>
      <c r="AV5" s="370"/>
      <c r="AW5" s="371"/>
      <c r="AX5" s="371"/>
      <c r="AY5" s="371"/>
      <c r="AZ5" s="371"/>
      <c r="BA5" s="371"/>
      <c r="BB5" s="371"/>
      <c r="BC5" s="1244"/>
    </row>
    <row r="6" spans="2:56" ht="27" thickTop="1" x14ac:dyDescent="0.3">
      <c r="B6" s="1258" t="str">
        <f>'État des Résultats'!C6</f>
        <v>Nb de places</v>
      </c>
      <c r="C6" s="1288"/>
      <c r="E6" s="638" t="str">
        <f>'Coût marchandises vendues'!D6</f>
        <v>Coût / place / jour</v>
      </c>
      <c r="F6" s="639">
        <f>+E34/$B$7/'Calendrier 2021'!D8</f>
        <v>59.324731182795695</v>
      </c>
      <c r="G6" s="170"/>
      <c r="H6" s="638" t="str">
        <f>+E6</f>
        <v>Coût / place / jour</v>
      </c>
      <c r="I6" s="639">
        <f>+H34/$B$7/'Calendrier 2021'!E8</f>
        <v>65.080282738095235</v>
      </c>
      <c r="J6" s="170"/>
      <c r="K6" s="638" t="str">
        <f>+H6</f>
        <v>Coût / place / jour</v>
      </c>
      <c r="L6" s="639">
        <f>+K34/$B$7/'Calendrier 2021'!F8</f>
        <v>60.739045698924727</v>
      </c>
      <c r="M6" s="170"/>
      <c r="N6" s="638" t="str">
        <f>+K6</f>
        <v>Coût / place / jour</v>
      </c>
      <c r="O6" s="639">
        <f>+N34/$B$7/'Calendrier 2021'!G8</f>
        <v>62.993680555555549</v>
      </c>
      <c r="P6" s="423"/>
      <c r="Q6" s="638" t="str">
        <f>+N6</f>
        <v>Coût / place / jour</v>
      </c>
      <c r="R6" s="639">
        <f>+Q34/$B$7/'Calendrier 2021'!H8</f>
        <v>62.44086021505376</v>
      </c>
      <c r="S6" s="423"/>
      <c r="T6" s="638" t="str">
        <f>+Q6</f>
        <v>Coût / place / jour</v>
      </c>
      <c r="U6" s="639">
        <f>+T34/$B$7/'Calendrier 2021'!I8</f>
        <v>65.116388888888892</v>
      </c>
      <c r="V6" s="170"/>
      <c r="W6" s="638" t="str">
        <f>+T6</f>
        <v>Coût / place / jour</v>
      </c>
      <c r="X6" s="639">
        <f>+W34/$B$7/'Calendrier 2021'!J8</f>
        <v>63.799529569892471</v>
      </c>
      <c r="Y6" s="170"/>
      <c r="Z6" s="638" t="str">
        <f>+W6</f>
        <v>Coût / place / jour</v>
      </c>
      <c r="AA6" s="639">
        <f>+Z34/$B$7/'Calendrier 2021'!K8</f>
        <v>64.091666666666654</v>
      </c>
      <c r="AB6" s="170"/>
      <c r="AC6" s="638" t="str">
        <f>+Z6</f>
        <v>Coût / place / jour</v>
      </c>
      <c r="AD6" s="639">
        <f>+AC34/$B$7/'Calendrier 2021'!L8</f>
        <v>64.244305555555556</v>
      </c>
      <c r="AE6" s="170"/>
      <c r="AF6" s="638" t="str">
        <f>+AC6</f>
        <v>Coût / place / jour</v>
      </c>
      <c r="AG6" s="639">
        <f>+AF34/$B$7/'Calendrier 2021'!M8</f>
        <v>62.190456989247316</v>
      </c>
      <c r="AH6" s="170"/>
      <c r="AI6" s="638" t="str">
        <f>+AF6</f>
        <v>Coût / place / jour</v>
      </c>
      <c r="AJ6" s="639">
        <f>+AI34/$B$7/'Calendrier 2021'!N8</f>
        <v>62.768472222222222</v>
      </c>
      <c r="AK6" s="170"/>
      <c r="AL6" s="638" t="str">
        <f>+AI6</f>
        <v>Coût / place / jour</v>
      </c>
      <c r="AM6" s="639">
        <f>+AL34/$B$7/'Calendrier 2021'!O8</f>
        <v>62.86747311827957</v>
      </c>
      <c r="AN6" s="170"/>
      <c r="AO6" s="170"/>
      <c r="AP6" s="640" t="str">
        <f>+AL6</f>
        <v>Coût / place / jour</v>
      </c>
      <c r="AQ6" s="641">
        <f>+AP34/$B$7/'% Occupation'!P9</f>
        <v>62.945205479452056</v>
      </c>
      <c r="AS6" s="1241"/>
      <c r="AT6" s="630" t="str">
        <f>'Formule pour le calcul D'!BA105</f>
        <v xml:space="preserve">C </v>
      </c>
      <c r="AU6" s="373"/>
      <c r="AV6" s="372" t="str">
        <f>'Formule pour le calcul D'!BC105</f>
        <v>A</v>
      </c>
      <c r="AW6" s="373"/>
      <c r="AX6" s="373"/>
      <c r="AY6" s="372" t="str">
        <f>AY4</f>
        <v>Um/A</v>
      </c>
      <c r="AZ6" s="373"/>
      <c r="BA6" s="372" t="str">
        <f>BA4</f>
        <v>CmO</v>
      </c>
      <c r="BB6" s="373"/>
      <c r="BC6" s="1244"/>
    </row>
    <row r="7" spans="2:56" ht="21" x14ac:dyDescent="0.25">
      <c r="B7" s="1290">
        <f>'État des Résultats'!C7</f>
        <v>1</v>
      </c>
      <c r="C7" s="1289"/>
      <c r="E7" s="425">
        <f>+E34/$AP34</f>
        <v>8.0046427276024665E-2</v>
      </c>
      <c r="F7" s="642"/>
      <c r="H7" s="425">
        <f>+H34/$AP34</f>
        <v>7.9314381574174836E-2</v>
      </c>
      <c r="I7" s="642"/>
      <c r="K7" s="425">
        <f>+K34/$AP34</f>
        <v>8.1954751541530646E-2</v>
      </c>
      <c r="L7" s="426"/>
      <c r="N7" s="425">
        <f>+N34/$AP34</f>
        <v>8.2255077983315189E-2</v>
      </c>
      <c r="O7" s="426"/>
      <c r="P7" s="643"/>
      <c r="Q7" s="425">
        <f>+Q34/$AP34</f>
        <v>8.4250997461008337E-2</v>
      </c>
      <c r="R7" s="426"/>
      <c r="S7" s="643"/>
      <c r="T7" s="425">
        <f>+T34/$AP34</f>
        <v>8.5026840768951756E-2</v>
      </c>
      <c r="U7" s="426"/>
      <c r="W7" s="425">
        <f>+W34/$AP34</f>
        <v>8.6084240116068189E-2</v>
      </c>
      <c r="X7" s="426"/>
      <c r="Z7" s="425">
        <f>+Z34/$AP34</f>
        <v>8.6478418570910404E-2</v>
      </c>
      <c r="AA7" s="426"/>
      <c r="AC7" s="425">
        <f>+AC34/$AP34</f>
        <v>8.3888103010518675E-2</v>
      </c>
      <c r="AD7" s="426"/>
      <c r="AF7" s="425">
        <f>+AF34/$AP34</f>
        <v>8.3913130214000722E-2</v>
      </c>
      <c r="AG7" s="426"/>
      <c r="AI7" s="425">
        <f>+AI34/$AP34</f>
        <v>8.1961008342401151E-2</v>
      </c>
      <c r="AJ7" s="426"/>
      <c r="AL7" s="425">
        <f>+AL34/$AP34</f>
        <v>8.4826623141095389E-2</v>
      </c>
      <c r="AM7" s="426"/>
      <c r="AP7" s="644">
        <f>+AP34/$AP34</f>
        <v>1</v>
      </c>
      <c r="AQ7" s="645" t="s">
        <v>136</v>
      </c>
      <c r="AS7" s="1241"/>
      <c r="AT7" s="631">
        <f>AP34</f>
        <v>22975</v>
      </c>
      <c r="AU7" s="369" t="s">
        <v>44</v>
      </c>
      <c r="AV7" s="632">
        <f>'Formule pour le calcul D'!G114</f>
        <v>52000</v>
      </c>
      <c r="AW7" s="369" t="s">
        <v>45</v>
      </c>
      <c r="AX7" s="369" t="s">
        <v>46</v>
      </c>
      <c r="AY7" s="633">
        <f>'Formule pour le calcul D'!J106</f>
        <v>2</v>
      </c>
      <c r="AZ7" s="369" t="s">
        <v>45</v>
      </c>
      <c r="BA7" s="634">
        <f>AT7/AV7/AY7</f>
        <v>0.22091346153846153</v>
      </c>
      <c r="BB7" s="369" t="s">
        <v>49</v>
      </c>
      <c r="BC7" s="1244"/>
    </row>
    <row r="8" spans="2:56" ht="17" thickBot="1" x14ac:dyDescent="0.25">
      <c r="B8" s="1262" t="s">
        <v>260</v>
      </c>
      <c r="C8" s="1289"/>
      <c r="E8" s="647" t="str">
        <f>'État des Résultats'!E8</f>
        <v>Pér.01</v>
      </c>
      <c r="F8" s="646" t="str">
        <f>'État des Résultats'!F8</f>
        <v>(%)</v>
      </c>
      <c r="G8" s="383"/>
      <c r="H8" s="647" t="str">
        <f>'État des Résultats'!H8</f>
        <v>Pér.02</v>
      </c>
      <c r="I8" s="646" t="str">
        <f>F8</f>
        <v>(%)</v>
      </c>
      <c r="J8" s="383"/>
      <c r="K8" s="647" t="str">
        <f>'État des Résultats'!K8</f>
        <v>Pér.03</v>
      </c>
      <c r="L8" s="646" t="str">
        <f>I8</f>
        <v>(%)</v>
      </c>
      <c r="M8" s="383"/>
      <c r="N8" s="647" t="str">
        <f>'État des Résultats'!N8</f>
        <v>Pér.04</v>
      </c>
      <c r="O8" s="646" t="str">
        <f>L8</f>
        <v>(%)</v>
      </c>
      <c r="P8" s="427"/>
      <c r="Q8" s="647" t="str">
        <f>'État des Résultats'!Q8</f>
        <v>Pér.05</v>
      </c>
      <c r="R8" s="646" t="str">
        <f>O8</f>
        <v>(%)</v>
      </c>
      <c r="S8" s="427"/>
      <c r="T8" s="647" t="str">
        <f>'État des Résultats'!T8</f>
        <v>Pér.06</v>
      </c>
      <c r="U8" s="646" t="str">
        <f>R8</f>
        <v>(%)</v>
      </c>
      <c r="V8" s="383"/>
      <c r="W8" s="647" t="str">
        <f>'État des Résultats'!W8</f>
        <v>Pér.07</v>
      </c>
      <c r="X8" s="646" t="str">
        <f>U8</f>
        <v>(%)</v>
      </c>
      <c r="Y8" s="383"/>
      <c r="Z8" s="647" t="str">
        <f>'État des Résultats'!Z8</f>
        <v>Pér.08</v>
      </c>
      <c r="AA8" s="646" t="str">
        <f>X8</f>
        <v>(%)</v>
      </c>
      <c r="AB8" s="383"/>
      <c r="AC8" s="647" t="str">
        <f>'État des Résultats'!AC8</f>
        <v>Pér.09</v>
      </c>
      <c r="AD8" s="646" t="str">
        <f>AA8</f>
        <v>(%)</v>
      </c>
      <c r="AE8" s="383"/>
      <c r="AF8" s="647" t="str">
        <f>'État des Résultats'!AF8</f>
        <v>Pér.10</v>
      </c>
      <c r="AG8" s="646" t="str">
        <f>AD8</f>
        <v>(%)</v>
      </c>
      <c r="AH8" s="383"/>
      <c r="AI8" s="647" t="str">
        <f>'État des Résultats'!AI8</f>
        <v>Pér.11</v>
      </c>
      <c r="AJ8" s="646" t="str">
        <f>AG8</f>
        <v>(%)</v>
      </c>
      <c r="AK8" s="383"/>
      <c r="AL8" s="647" t="str">
        <f>'État des Résultats'!AL8</f>
        <v>Pér.12</v>
      </c>
      <c r="AM8" s="646" t="str">
        <f>AJ8</f>
        <v>(%)</v>
      </c>
      <c r="AN8" s="648" t="s">
        <v>2</v>
      </c>
      <c r="AO8" s="383"/>
      <c r="AP8" s="649" t="str">
        <f>'État des Résultats'!AP8</f>
        <v>Total</v>
      </c>
      <c r="AQ8" s="646" t="str">
        <f>AM8</f>
        <v>(%)</v>
      </c>
      <c r="AS8" s="1242"/>
      <c r="AT8" s="374"/>
      <c r="AU8" s="374"/>
      <c r="AV8" s="374"/>
      <c r="AW8" s="374"/>
      <c r="AX8" s="374"/>
      <c r="AY8" s="374"/>
      <c r="AZ8" s="374"/>
      <c r="BA8" s="374"/>
      <c r="BB8" s="374"/>
      <c r="BC8" s="1245"/>
    </row>
    <row r="9" spans="2:56" ht="15" thickTop="1" thickBot="1" x14ac:dyDescent="0.2">
      <c r="B9" s="1246">
        <f>AP34/$B$7</f>
        <v>22975</v>
      </c>
      <c r="C9" s="1281"/>
      <c r="E9" s="665" t="str">
        <f>'État des Résultats'!E9</f>
        <v>Janvier 2021</v>
      </c>
      <c r="F9" s="666"/>
      <c r="G9" s="293"/>
      <c r="H9" s="667" t="str">
        <f>'État des Résultats'!H9</f>
        <v>Février 2021</v>
      </c>
      <c r="I9" s="668"/>
      <c r="J9" s="293"/>
      <c r="K9" s="667" t="str">
        <f>'État des Résultats'!K9</f>
        <v>Mars 2021</v>
      </c>
      <c r="L9" s="668"/>
      <c r="M9" s="293"/>
      <c r="N9" s="665" t="str">
        <f>'État des Résultats'!N9</f>
        <v>Avril 2021</v>
      </c>
      <c r="O9" s="666"/>
      <c r="P9" s="669"/>
      <c r="Q9" s="665" t="str">
        <f>'État des Résultats'!Q9</f>
        <v>Mai 2021</v>
      </c>
      <c r="R9" s="666"/>
      <c r="S9" s="669"/>
      <c r="T9" s="667" t="str">
        <f>'État des Résultats'!T9</f>
        <v>Juin 2021</v>
      </c>
      <c r="U9" s="668"/>
      <c r="V9" s="293"/>
      <c r="W9" s="667" t="str">
        <f>'État des Résultats'!W9</f>
        <v>Juillet 2021</v>
      </c>
      <c r="X9" s="668"/>
      <c r="Y9" s="293"/>
      <c r="Z9" s="667" t="str">
        <f>'État des Résultats'!Z9</f>
        <v>Août 2021</v>
      </c>
      <c r="AA9" s="668"/>
      <c r="AB9" s="293"/>
      <c r="AC9" s="667" t="str">
        <f>'État des Résultats'!AC9</f>
        <v>Septembre 2021</v>
      </c>
      <c r="AD9" s="668"/>
      <c r="AE9" s="293"/>
      <c r="AF9" s="667" t="str">
        <f>'État des Résultats'!AF9</f>
        <v>Octobre 2021</v>
      </c>
      <c r="AG9" s="668"/>
      <c r="AH9" s="293"/>
      <c r="AI9" s="667" t="str">
        <f>'État des Résultats'!AI9</f>
        <v>Novembre 2021</v>
      </c>
      <c r="AJ9" s="668"/>
      <c r="AK9" s="293"/>
      <c r="AL9" s="667" t="str">
        <f>'État des Résultats'!AL9</f>
        <v>Décembre 2021</v>
      </c>
      <c r="AM9" s="668"/>
      <c r="AN9" s="293"/>
      <c r="AO9" s="293"/>
      <c r="AP9" s="670" t="str">
        <f>'État des Résultats'!AP9</f>
        <v>Année</v>
      </c>
      <c r="AQ9" s="671"/>
      <c r="AR9" s="672"/>
      <c r="AS9" s="672"/>
      <c r="AT9" s="329"/>
      <c r="AU9" s="329"/>
      <c r="AV9" s="329"/>
      <c r="AW9" s="329"/>
      <c r="AX9" s="329"/>
      <c r="AY9" s="329"/>
      <c r="AZ9" s="650"/>
    </row>
    <row r="10" spans="2:56" ht="15" thickTop="1" thickBot="1" x14ac:dyDescent="0.2">
      <c r="D10" s="251"/>
      <c r="G10" s="389"/>
      <c r="J10" s="389"/>
      <c r="M10" s="389"/>
      <c r="P10" s="434"/>
      <c r="S10" s="434"/>
      <c r="V10" s="389"/>
      <c r="Y10" s="187"/>
      <c r="AB10" s="389"/>
      <c r="AE10" s="389"/>
      <c r="AH10" s="389"/>
      <c r="AK10" s="389"/>
      <c r="AN10" s="389"/>
      <c r="AO10" s="389"/>
      <c r="AR10" s="170"/>
      <c r="AS10" s="170"/>
      <c r="AT10" s="170"/>
    </row>
    <row r="11" spans="2:56" ht="20" customHeight="1" thickTop="1" x14ac:dyDescent="0.2">
      <c r="B11" s="651"/>
      <c r="C11" s="692" t="s">
        <v>261</v>
      </c>
      <c r="E11" s="651"/>
      <c r="F11" s="652"/>
      <c r="H11" s="651"/>
      <c r="I11" s="652"/>
      <c r="K11" s="651"/>
      <c r="L11" s="652"/>
      <c r="N11" s="651"/>
      <c r="O11" s="652"/>
      <c r="Q11" s="651"/>
      <c r="R11" s="652"/>
      <c r="T11" s="651"/>
      <c r="U11" s="652"/>
      <c r="W11" s="651"/>
      <c r="X11" s="652"/>
      <c r="Z11" s="651"/>
      <c r="AA11" s="652"/>
      <c r="AC11" s="651"/>
      <c r="AD11" s="652"/>
      <c r="AF11" s="651"/>
      <c r="AG11" s="652"/>
      <c r="AI11" s="651"/>
      <c r="AJ11" s="652"/>
      <c r="AL11" s="651"/>
      <c r="AM11" s="652"/>
      <c r="AP11" s="614"/>
      <c r="AQ11" s="616"/>
      <c r="AR11" s="187"/>
      <c r="AS11" s="187"/>
      <c r="AT11" s="187"/>
      <c r="AU11" s="187"/>
      <c r="AV11" s="187"/>
      <c r="AW11" s="187"/>
      <c r="AX11" s="187"/>
      <c r="AY11" s="187"/>
      <c r="AZ11" s="187"/>
      <c r="BA11" s="187"/>
      <c r="BB11" s="187"/>
      <c r="BC11" s="187"/>
      <c r="BD11" s="187"/>
    </row>
    <row r="12" spans="2:56" x14ac:dyDescent="0.15">
      <c r="B12" s="190"/>
      <c r="C12" s="653"/>
      <c r="E12" s="190"/>
      <c r="F12" s="392"/>
      <c r="H12" s="190"/>
      <c r="I12" s="392"/>
      <c r="K12" s="190"/>
      <c r="L12" s="392"/>
      <c r="N12" s="190"/>
      <c r="O12" s="392"/>
      <c r="Q12" s="190"/>
      <c r="R12" s="392"/>
      <c r="T12" s="190"/>
      <c r="U12" s="392"/>
      <c r="W12" s="190"/>
      <c r="X12" s="392"/>
      <c r="Z12" s="190"/>
      <c r="AA12" s="392"/>
      <c r="AC12" s="190"/>
      <c r="AD12" s="392"/>
      <c r="AF12" s="190"/>
      <c r="AG12" s="392"/>
      <c r="AI12" s="190"/>
      <c r="AJ12" s="392"/>
      <c r="AL12" s="190"/>
      <c r="AM12" s="191"/>
      <c r="AP12" s="193"/>
      <c r="AQ12" s="495"/>
      <c r="AR12" s="187"/>
      <c r="AS12" s="187"/>
      <c r="AT12" s="187"/>
      <c r="AU12" s="187"/>
      <c r="AV12" s="187"/>
      <c r="AW12" s="187"/>
      <c r="AX12" s="187"/>
      <c r="AY12" s="187"/>
      <c r="AZ12" s="187"/>
      <c r="BA12" s="187"/>
      <c r="BB12" s="187"/>
      <c r="BC12" s="187"/>
      <c r="BD12" s="187"/>
    </row>
    <row r="13" spans="2:56" x14ac:dyDescent="0.15">
      <c r="B13" s="687">
        <v>7402</v>
      </c>
      <c r="C13" s="420" t="s">
        <v>262</v>
      </c>
      <c r="E13" s="812">
        <f>(0.5/100)*'État des Résultats'!E14</f>
        <v>182.46666666666667</v>
      </c>
      <c r="F13" s="655">
        <f>E13/'État des Résultats'!E$14</f>
        <v>5.0000000000000001E-3</v>
      </c>
      <c r="H13" s="812">
        <f>(0.5/100)*'État des Résultats'!H14</f>
        <v>176.86041666666668</v>
      </c>
      <c r="I13" s="655">
        <f>H13/'État des Résultats'!H$14</f>
        <v>5.0000000000000001E-3</v>
      </c>
      <c r="K13" s="812">
        <f>(0.5/100)*'État des Résultats'!K14</f>
        <v>197.08125000000001</v>
      </c>
      <c r="L13" s="655">
        <f>K13/'État des Résultats'!K$14</f>
        <v>5.0000000000000001E-3</v>
      </c>
      <c r="N13" s="812">
        <f>(0.5/100)*'État des Résultats'!N14</f>
        <v>199.38124999999999</v>
      </c>
      <c r="O13" s="655">
        <f>N13/'État des Résultats'!N$14</f>
        <v>5.0000000000000001E-3</v>
      </c>
      <c r="Q13" s="812">
        <f>(0.5/100)*'État des Résultats'!Q14</f>
        <v>214.66666666666669</v>
      </c>
      <c r="R13" s="655">
        <f>Q13/'État des Résultats'!Q$14</f>
        <v>5.0000000000000001E-3</v>
      </c>
      <c r="T13" s="812">
        <f>(0.5/100)*'État des Résultats'!T14</f>
        <v>220.60833333333335</v>
      </c>
      <c r="U13" s="655">
        <f>T13/'État des Résultats'!T$14</f>
        <v>5.0000000000000001E-3</v>
      </c>
      <c r="W13" s="812">
        <f>(0.5/100)*'État des Résultats'!W14</f>
        <v>228.70625000000001</v>
      </c>
      <c r="X13" s="655">
        <f>W13/'État des Résultats'!W$14</f>
        <v>5.0000000000000001E-3</v>
      </c>
      <c r="Z13" s="812">
        <f>(0.5/100)*'État des Résultats'!Z14</f>
        <v>231.72499999999999</v>
      </c>
      <c r="AA13" s="655">
        <f>Z13/'État des Résultats'!Z$14</f>
        <v>5.0000000000000001E-3</v>
      </c>
      <c r="AC13" s="812">
        <f>(0.5/100)*'État des Résultats'!AC14</f>
        <v>211.88750000000002</v>
      </c>
      <c r="AD13" s="655">
        <f>AC13/'État des Résultats'!AC$14</f>
        <v>5.0000000000000001E-3</v>
      </c>
      <c r="AF13" s="812">
        <f>(0.5/100)*'État des Résultats'!AF14</f>
        <v>212.07916666666668</v>
      </c>
      <c r="AG13" s="655">
        <f>AF13/'État des Résultats'!AF$14</f>
        <v>5.0000000000000001E-3</v>
      </c>
      <c r="AI13" s="812">
        <f>(0.5/100)*'État des Résultats'!AI14</f>
        <v>197.12916666666669</v>
      </c>
      <c r="AJ13" s="655">
        <f>AI13/'État des Résultats'!AI$14</f>
        <v>5.0000000000000001E-3</v>
      </c>
      <c r="AL13" s="812">
        <f>(0.5/100)*'État des Résultats'!AL14</f>
        <v>219.07500000000002</v>
      </c>
      <c r="AM13" s="655">
        <f>AL13/'État des Résultats'!AL$14</f>
        <v>5.0000000000000001E-3</v>
      </c>
      <c r="AP13" s="815">
        <f>SUM(+$AL13+$AI13+$AF13+$AC13+$Z13+$W13+$T13+$Q13+$N13+$K13+$H13+$E13)</f>
        <v>2491.666666666667</v>
      </c>
      <c r="AQ13" s="657">
        <f>+AP13/'État des Résultats'!$AP$14</f>
        <v>5.000000000000001E-3</v>
      </c>
    </row>
    <row r="14" spans="2:56" x14ac:dyDescent="0.15">
      <c r="B14" s="687">
        <v>7404</v>
      </c>
      <c r="C14" s="420" t="s">
        <v>263</v>
      </c>
      <c r="E14" s="816">
        <v>0</v>
      </c>
      <c r="F14" s="655">
        <f>E14/'État des Résultats'!E$14</f>
        <v>0</v>
      </c>
      <c r="H14" s="816">
        <v>0</v>
      </c>
      <c r="I14" s="655">
        <f>H14/'État des Résultats'!H$14</f>
        <v>0</v>
      </c>
      <c r="K14" s="816">
        <v>0</v>
      </c>
      <c r="L14" s="655">
        <f>K14/'État des Résultats'!K$14</f>
        <v>0</v>
      </c>
      <c r="N14" s="816">
        <v>0</v>
      </c>
      <c r="O14" s="655">
        <f>N14/'État des Résultats'!N$14</f>
        <v>0</v>
      </c>
      <c r="Q14" s="816">
        <v>0</v>
      </c>
      <c r="R14" s="655">
        <f>Q14/'État des Résultats'!Q$14</f>
        <v>0</v>
      </c>
      <c r="T14" s="816">
        <v>0</v>
      </c>
      <c r="U14" s="655">
        <f>T14/'État des Résultats'!T$14</f>
        <v>0</v>
      </c>
      <c r="W14" s="816">
        <v>0</v>
      </c>
      <c r="X14" s="655">
        <f>W14/'État des Résultats'!W$14</f>
        <v>0</v>
      </c>
      <c r="Z14" s="816">
        <v>0</v>
      </c>
      <c r="AA14" s="655">
        <f>Z14/'État des Résultats'!Z$14</f>
        <v>0</v>
      </c>
      <c r="AC14" s="816">
        <v>0</v>
      </c>
      <c r="AD14" s="655">
        <f>AC14/'État des Résultats'!AC$14</f>
        <v>0</v>
      </c>
      <c r="AF14" s="816">
        <v>0</v>
      </c>
      <c r="AG14" s="655">
        <f>AF14/'État des Résultats'!AF$14</f>
        <v>0</v>
      </c>
      <c r="AI14" s="816">
        <v>0</v>
      </c>
      <c r="AJ14" s="655">
        <f>AI14/'État des Résultats'!AI$14</f>
        <v>0</v>
      </c>
      <c r="AL14" s="816">
        <v>0</v>
      </c>
      <c r="AM14" s="655">
        <f>AL14/'État des Résultats'!AL$14</f>
        <v>0</v>
      </c>
      <c r="AP14" s="815">
        <f>SUM(+$AL14+$AI14+$AF14+$AC14+$Z14+$W14+$T14+$Q14+$N14+$K14+$H14+$E14)</f>
        <v>0</v>
      </c>
      <c r="AQ14" s="657">
        <f>+AP14/'État des Résultats'!$AP$14</f>
        <v>0</v>
      </c>
    </row>
    <row r="15" spans="2:56" x14ac:dyDescent="0.15">
      <c r="B15" s="654">
        <v>7406</v>
      </c>
      <c r="C15" s="392" t="s">
        <v>264</v>
      </c>
      <c r="E15" s="812">
        <v>0</v>
      </c>
      <c r="F15" s="655">
        <f>E15/'État des Résultats'!E$14</f>
        <v>0</v>
      </c>
      <c r="G15" s="659" t="s">
        <v>2</v>
      </c>
      <c r="H15" s="812">
        <v>0</v>
      </c>
      <c r="I15" s="655">
        <f>H15/'État des Résultats'!H$14</f>
        <v>0</v>
      </c>
      <c r="K15" s="812">
        <v>0</v>
      </c>
      <c r="L15" s="655">
        <f>K15/'État des Résultats'!K$14</f>
        <v>0</v>
      </c>
      <c r="N15" s="812">
        <v>0</v>
      </c>
      <c r="O15" s="655">
        <f>N15/'État des Résultats'!N$14</f>
        <v>0</v>
      </c>
      <c r="Q15" s="812">
        <v>0</v>
      </c>
      <c r="R15" s="655">
        <f>Q15/'État des Résultats'!Q$14</f>
        <v>0</v>
      </c>
      <c r="T15" s="812">
        <v>0</v>
      </c>
      <c r="U15" s="655">
        <f>T15/'État des Résultats'!T$14</f>
        <v>0</v>
      </c>
      <c r="W15" s="812">
        <v>0</v>
      </c>
      <c r="X15" s="655">
        <f>W15/'État des Résultats'!W$14</f>
        <v>0</v>
      </c>
      <c r="Z15" s="812">
        <v>0</v>
      </c>
      <c r="AA15" s="655">
        <f>Z15/'État des Résultats'!Z$14</f>
        <v>0</v>
      </c>
      <c r="AC15" s="812">
        <v>0</v>
      </c>
      <c r="AD15" s="655">
        <f>AC15/'État des Résultats'!AC$14</f>
        <v>0</v>
      </c>
      <c r="AF15" s="812">
        <v>0</v>
      </c>
      <c r="AG15" s="655">
        <f>AF15/'État des Résultats'!AF$14</f>
        <v>0</v>
      </c>
      <c r="AI15" s="812">
        <v>0</v>
      </c>
      <c r="AJ15" s="655">
        <f>AI15/'État des Résultats'!AI$14</f>
        <v>0</v>
      </c>
      <c r="AL15" s="812">
        <v>0</v>
      </c>
      <c r="AM15" s="655">
        <f>AL15/'État des Résultats'!AL$14</f>
        <v>0</v>
      </c>
      <c r="AP15" s="815">
        <f t="shared" ref="AP15:AP32" si="0">SUM(+$AL15+$AI15+$AF15+$AC15+$Z15+$W15+$T15+$Q15+$N15+$K15+$H15+$E15)</f>
        <v>0</v>
      </c>
      <c r="AQ15" s="657">
        <f>+AP15/'État des Résultats'!$AP$14</f>
        <v>0</v>
      </c>
    </row>
    <row r="16" spans="2:56" x14ac:dyDescent="0.15">
      <c r="B16" s="654">
        <v>7408</v>
      </c>
      <c r="C16" s="392" t="s">
        <v>265</v>
      </c>
      <c r="E16" s="812">
        <v>0</v>
      </c>
      <c r="F16" s="655">
        <f>E16/'État des Résultats'!E$14</f>
        <v>0</v>
      </c>
      <c r="H16" s="812">
        <v>0</v>
      </c>
      <c r="I16" s="655">
        <f>H16/'État des Résultats'!H$14</f>
        <v>0</v>
      </c>
      <c r="K16" s="812">
        <v>0</v>
      </c>
      <c r="L16" s="655">
        <f>K16/'État des Résultats'!K$14</f>
        <v>0</v>
      </c>
      <c r="N16" s="812">
        <v>0</v>
      </c>
      <c r="O16" s="655">
        <f>N16/'État des Résultats'!N$14</f>
        <v>0</v>
      </c>
      <c r="Q16" s="812">
        <v>0</v>
      </c>
      <c r="R16" s="655">
        <f>Q16/'État des Résultats'!Q$14</f>
        <v>0</v>
      </c>
      <c r="T16" s="812">
        <v>0</v>
      </c>
      <c r="U16" s="655">
        <f>T16/'État des Résultats'!T$14</f>
        <v>0</v>
      </c>
      <c r="W16" s="812">
        <v>0</v>
      </c>
      <c r="X16" s="655">
        <f>W16/'État des Résultats'!W$14</f>
        <v>0</v>
      </c>
      <c r="Z16" s="812">
        <v>0</v>
      </c>
      <c r="AA16" s="655">
        <f>Z16/'État des Résultats'!Z$14</f>
        <v>0</v>
      </c>
      <c r="AC16" s="812">
        <v>0</v>
      </c>
      <c r="AD16" s="655">
        <f>AC16/'État des Résultats'!AC$14</f>
        <v>0</v>
      </c>
      <c r="AF16" s="812">
        <v>0</v>
      </c>
      <c r="AG16" s="655">
        <f>AF16/'État des Résultats'!AF$14</f>
        <v>0</v>
      </c>
      <c r="AI16" s="812">
        <v>0</v>
      </c>
      <c r="AJ16" s="655">
        <f>AI16/'État des Résultats'!AI$14</f>
        <v>0</v>
      </c>
      <c r="AL16" s="812">
        <v>0</v>
      </c>
      <c r="AM16" s="655">
        <f>AL16/'État des Résultats'!AL$14</f>
        <v>0</v>
      </c>
      <c r="AP16" s="815">
        <f t="shared" si="0"/>
        <v>0</v>
      </c>
      <c r="AQ16" s="657">
        <f>+AP16/'État des Résultats'!$AP$14</f>
        <v>0</v>
      </c>
    </row>
    <row r="17" spans="2:45" x14ac:dyDescent="0.15">
      <c r="B17" s="654">
        <v>7410</v>
      </c>
      <c r="C17" s="392" t="s">
        <v>266</v>
      </c>
      <c r="E17" s="812">
        <f>0.01*'État des Résultats'!E14</f>
        <v>364.93333333333334</v>
      </c>
      <c r="F17" s="655">
        <f>E17/'État des Résultats'!E$14</f>
        <v>0.01</v>
      </c>
      <c r="H17" s="812">
        <f>0.01*'État des Résultats'!H14</f>
        <v>353.72083333333336</v>
      </c>
      <c r="I17" s="655">
        <f>H17/'État des Résultats'!H$14</f>
        <v>0.01</v>
      </c>
      <c r="K17" s="812">
        <f>0.01*'État des Résultats'!K14</f>
        <v>394.16250000000002</v>
      </c>
      <c r="L17" s="655">
        <f>K17/'État des Résultats'!K$14</f>
        <v>0.01</v>
      </c>
      <c r="N17" s="812">
        <f>0.01*'État des Résultats'!N14</f>
        <v>398.76249999999999</v>
      </c>
      <c r="O17" s="655">
        <f>N17/'État des Résultats'!N$14</f>
        <v>0.01</v>
      </c>
      <c r="Q17" s="812">
        <f>0.01*'État des Résultats'!Q14</f>
        <v>429.33333333333337</v>
      </c>
      <c r="R17" s="655">
        <f>Q17/'État des Résultats'!Q$14</f>
        <v>0.01</v>
      </c>
      <c r="T17" s="812">
        <f>0.01*'État des Résultats'!T14</f>
        <v>441.2166666666667</v>
      </c>
      <c r="U17" s="655">
        <f>T17/'État des Résultats'!T$14</f>
        <v>0.01</v>
      </c>
      <c r="W17" s="812">
        <f>0.01*'État des Résultats'!W14</f>
        <v>457.41250000000002</v>
      </c>
      <c r="X17" s="655">
        <f>W17/'État des Résultats'!W$14</f>
        <v>0.01</v>
      </c>
      <c r="Z17" s="812">
        <f>0.01*'État des Résultats'!Z14</f>
        <v>463.45</v>
      </c>
      <c r="AA17" s="655">
        <f>Z17/'État des Résultats'!Z$14</f>
        <v>0.01</v>
      </c>
      <c r="AC17" s="812">
        <f>0.01*'État des Résultats'!AC14</f>
        <v>423.77500000000003</v>
      </c>
      <c r="AD17" s="655">
        <f>AC17/'État des Résultats'!AC$14</f>
        <v>0.01</v>
      </c>
      <c r="AF17" s="812">
        <f>0.01*'État des Résultats'!AF14</f>
        <v>424.15833333333336</v>
      </c>
      <c r="AG17" s="655">
        <f>AF17/'État des Résultats'!AF$14</f>
        <v>0.01</v>
      </c>
      <c r="AI17" s="812">
        <f>0.01*'État des Résultats'!AI14</f>
        <v>394.25833333333338</v>
      </c>
      <c r="AJ17" s="655">
        <f>AI17/'État des Résultats'!AI$14</f>
        <v>0.01</v>
      </c>
      <c r="AL17" s="812">
        <f>0.01*'État des Résultats'!AL14</f>
        <v>438.15000000000003</v>
      </c>
      <c r="AM17" s="655">
        <f>AL17/'État des Résultats'!AL$14</f>
        <v>0.01</v>
      </c>
      <c r="AP17" s="815">
        <f t="shared" si="0"/>
        <v>4983.3333333333339</v>
      </c>
      <c r="AQ17" s="657">
        <f>+AP17/'État des Résultats'!$AP$14</f>
        <v>1.0000000000000002E-2</v>
      </c>
    </row>
    <row r="18" spans="2:45" x14ac:dyDescent="0.15">
      <c r="B18" s="654">
        <v>7412</v>
      </c>
      <c r="C18" s="392" t="s">
        <v>267</v>
      </c>
      <c r="E18" s="812">
        <v>0</v>
      </c>
      <c r="F18" s="655">
        <f>E18/'État des Résultats'!E$14</f>
        <v>0</v>
      </c>
      <c r="H18" s="812">
        <v>0</v>
      </c>
      <c r="I18" s="655">
        <f>H18/'État des Résultats'!H$14</f>
        <v>0</v>
      </c>
      <c r="K18" s="812">
        <v>0</v>
      </c>
      <c r="L18" s="655">
        <f>K18/'État des Résultats'!K$14</f>
        <v>0</v>
      </c>
      <c r="N18" s="812">
        <v>0</v>
      </c>
      <c r="O18" s="655">
        <f>N18/'État des Résultats'!N$14</f>
        <v>0</v>
      </c>
      <c r="Q18" s="812">
        <v>0</v>
      </c>
      <c r="R18" s="655">
        <f>Q18/'État des Résultats'!Q$14</f>
        <v>0</v>
      </c>
      <c r="T18" s="812">
        <v>0</v>
      </c>
      <c r="U18" s="655">
        <f>T18/'État des Résultats'!T$14</f>
        <v>0</v>
      </c>
      <c r="W18" s="812">
        <v>0</v>
      </c>
      <c r="X18" s="655">
        <f>W18/'État des Résultats'!W$14</f>
        <v>0</v>
      </c>
      <c r="Z18" s="812">
        <v>0</v>
      </c>
      <c r="AA18" s="655">
        <f>Z18/'État des Résultats'!Z$14</f>
        <v>0</v>
      </c>
      <c r="AC18" s="812">
        <v>0</v>
      </c>
      <c r="AD18" s="655">
        <f>AC18/'État des Résultats'!AC$14</f>
        <v>0</v>
      </c>
      <c r="AF18" s="812">
        <v>0</v>
      </c>
      <c r="AG18" s="655">
        <f>AF18/'État des Résultats'!AF$14</f>
        <v>0</v>
      </c>
      <c r="AI18" s="812">
        <v>0</v>
      </c>
      <c r="AJ18" s="655">
        <f>AI18/'État des Résultats'!AI$14</f>
        <v>0</v>
      </c>
      <c r="AL18" s="812">
        <v>0</v>
      </c>
      <c r="AM18" s="655">
        <f>AL18/'État des Résultats'!AL$14</f>
        <v>0</v>
      </c>
      <c r="AP18" s="815">
        <f t="shared" si="0"/>
        <v>0</v>
      </c>
      <c r="AQ18" s="657">
        <f>+AP18/'État des Résultats'!$AP$14</f>
        <v>0</v>
      </c>
      <c r="AS18" s="209"/>
    </row>
    <row r="19" spans="2:45" x14ac:dyDescent="0.15">
      <c r="B19" s="654">
        <v>7414</v>
      </c>
      <c r="C19" s="392" t="s">
        <v>268</v>
      </c>
      <c r="E19" s="812">
        <v>0</v>
      </c>
      <c r="F19" s="655">
        <f>E19/'État des Résultats'!E$14</f>
        <v>0</v>
      </c>
      <c r="H19" s="812">
        <v>0</v>
      </c>
      <c r="I19" s="655">
        <f>H19/'État des Résultats'!H$14</f>
        <v>0</v>
      </c>
      <c r="K19" s="812">
        <v>0</v>
      </c>
      <c r="L19" s="655">
        <f>K19/'État des Résultats'!K$14</f>
        <v>0</v>
      </c>
      <c r="N19" s="812">
        <v>0</v>
      </c>
      <c r="O19" s="655">
        <f>N19/'État des Résultats'!N$14</f>
        <v>0</v>
      </c>
      <c r="Q19" s="812">
        <v>0</v>
      </c>
      <c r="R19" s="655">
        <f>Q19/'État des Résultats'!Q$14</f>
        <v>0</v>
      </c>
      <c r="T19" s="812">
        <v>0</v>
      </c>
      <c r="U19" s="655">
        <f>T19/'État des Résultats'!T$14</f>
        <v>0</v>
      </c>
      <c r="W19" s="812">
        <v>0</v>
      </c>
      <c r="X19" s="655">
        <f>W19/'État des Résultats'!W$14</f>
        <v>0</v>
      </c>
      <c r="Z19" s="812">
        <v>0</v>
      </c>
      <c r="AA19" s="655">
        <f>Z19/'État des Résultats'!Z$14</f>
        <v>0</v>
      </c>
      <c r="AC19" s="812">
        <v>0</v>
      </c>
      <c r="AD19" s="655">
        <f>AC19/'État des Résultats'!AC$14</f>
        <v>0</v>
      </c>
      <c r="AF19" s="812">
        <v>0</v>
      </c>
      <c r="AG19" s="655">
        <f>AF19/'État des Résultats'!AF$14</f>
        <v>0</v>
      </c>
      <c r="AI19" s="812">
        <v>0</v>
      </c>
      <c r="AJ19" s="655">
        <f>AI19/'État des Résultats'!AI$14</f>
        <v>0</v>
      </c>
      <c r="AL19" s="812">
        <v>0</v>
      </c>
      <c r="AM19" s="655">
        <f>AL19/'État des Résultats'!AL$14</f>
        <v>0</v>
      </c>
      <c r="AP19" s="815">
        <f t="shared" si="0"/>
        <v>0</v>
      </c>
      <c r="AQ19" s="657">
        <f>+AP19/'État des Résultats'!$AP$14</f>
        <v>0</v>
      </c>
    </row>
    <row r="20" spans="2:45" x14ac:dyDescent="0.15">
      <c r="B20" s="654">
        <v>7416</v>
      </c>
      <c r="C20" s="392" t="s">
        <v>269</v>
      </c>
      <c r="E20" s="812">
        <v>0</v>
      </c>
      <c r="F20" s="655">
        <f>E20/'État des Résultats'!E$14</f>
        <v>0</v>
      </c>
      <c r="H20" s="812">
        <v>0</v>
      </c>
      <c r="I20" s="655">
        <f>H20/'État des Résultats'!H$14</f>
        <v>0</v>
      </c>
      <c r="K20" s="812">
        <v>0</v>
      </c>
      <c r="L20" s="655">
        <f>K20/'État des Résultats'!K$14</f>
        <v>0</v>
      </c>
      <c r="N20" s="812">
        <v>0</v>
      </c>
      <c r="O20" s="655">
        <f>N20/'État des Résultats'!N$14</f>
        <v>0</v>
      </c>
      <c r="Q20" s="812">
        <v>0</v>
      </c>
      <c r="R20" s="655">
        <f>Q20/'État des Résultats'!Q$14</f>
        <v>0</v>
      </c>
      <c r="T20" s="812">
        <v>0</v>
      </c>
      <c r="U20" s="655">
        <f>T20/'État des Résultats'!T$14</f>
        <v>0</v>
      </c>
      <c r="W20" s="812">
        <v>0</v>
      </c>
      <c r="X20" s="655">
        <f>W20/'État des Résultats'!W$14</f>
        <v>0</v>
      </c>
      <c r="Z20" s="812">
        <v>0</v>
      </c>
      <c r="AA20" s="655">
        <f>Z20/'État des Résultats'!Z$14</f>
        <v>0</v>
      </c>
      <c r="AC20" s="812">
        <v>0</v>
      </c>
      <c r="AD20" s="655">
        <f>AC20/'État des Résultats'!AC$14</f>
        <v>0</v>
      </c>
      <c r="AF20" s="812">
        <v>0</v>
      </c>
      <c r="AG20" s="655">
        <f>AF20/'État des Résultats'!AF$14</f>
        <v>0</v>
      </c>
      <c r="AI20" s="812">
        <v>0</v>
      </c>
      <c r="AJ20" s="655">
        <f>AI20/'État des Résultats'!AI$14</f>
        <v>0</v>
      </c>
      <c r="AL20" s="812">
        <v>0</v>
      </c>
      <c r="AM20" s="655">
        <f>AL20/'État des Résultats'!AL$14</f>
        <v>0</v>
      </c>
      <c r="AP20" s="815">
        <f t="shared" si="0"/>
        <v>0</v>
      </c>
      <c r="AQ20" s="657">
        <f>+AP20/'État des Résultats'!$AP$14</f>
        <v>0</v>
      </c>
    </row>
    <row r="21" spans="2:45" x14ac:dyDescent="0.15">
      <c r="B21" s="687">
        <v>7418</v>
      </c>
      <c r="C21" s="420" t="s">
        <v>270</v>
      </c>
      <c r="E21" s="812">
        <v>0</v>
      </c>
      <c r="F21" s="655">
        <f>E21/'État des Résultats'!E$14</f>
        <v>0</v>
      </c>
      <c r="H21" s="812">
        <v>0</v>
      </c>
      <c r="I21" s="655">
        <f>H21/'État des Résultats'!H$14</f>
        <v>0</v>
      </c>
      <c r="K21" s="812">
        <v>0</v>
      </c>
      <c r="L21" s="655">
        <f>K21/'État des Résultats'!K$14</f>
        <v>0</v>
      </c>
      <c r="N21" s="812">
        <v>0</v>
      </c>
      <c r="O21" s="655">
        <f>N21/'État des Résultats'!N$14</f>
        <v>0</v>
      </c>
      <c r="Q21" s="812">
        <v>0</v>
      </c>
      <c r="R21" s="655">
        <f>Q21/'État des Résultats'!Q$14</f>
        <v>0</v>
      </c>
      <c r="T21" s="812">
        <v>0</v>
      </c>
      <c r="U21" s="655">
        <f>T21/'État des Résultats'!T$14</f>
        <v>0</v>
      </c>
      <c r="W21" s="812">
        <v>0</v>
      </c>
      <c r="X21" s="655">
        <f>W21/'État des Résultats'!W$14</f>
        <v>0</v>
      </c>
      <c r="Z21" s="812">
        <v>0</v>
      </c>
      <c r="AA21" s="655">
        <f>Z21/'État des Résultats'!Z$14</f>
        <v>0</v>
      </c>
      <c r="AC21" s="812">
        <v>0</v>
      </c>
      <c r="AD21" s="655">
        <f>AC21/'État des Résultats'!AC$14</f>
        <v>0</v>
      </c>
      <c r="AF21" s="812">
        <v>0</v>
      </c>
      <c r="AG21" s="655">
        <f>AF21/'État des Résultats'!AF$14</f>
        <v>0</v>
      </c>
      <c r="AI21" s="812">
        <v>0</v>
      </c>
      <c r="AJ21" s="655">
        <f>AI21/'État des Résultats'!AI$14</f>
        <v>0</v>
      </c>
      <c r="AL21" s="812">
        <v>0</v>
      </c>
      <c r="AM21" s="655">
        <f>AL21/'État des Résultats'!AL$14</f>
        <v>0</v>
      </c>
      <c r="AP21" s="815">
        <f t="shared" si="0"/>
        <v>0</v>
      </c>
      <c r="AQ21" s="657">
        <f>+AP21/'État des Résultats'!$AP$14</f>
        <v>0</v>
      </c>
    </row>
    <row r="22" spans="2:45" x14ac:dyDescent="0.15">
      <c r="B22" s="654">
        <v>7420</v>
      </c>
      <c r="C22" s="392" t="s">
        <v>271</v>
      </c>
      <c r="E22" s="812">
        <v>0</v>
      </c>
      <c r="F22" s="655">
        <f>E22/'État des Résultats'!E$14</f>
        <v>0</v>
      </c>
      <c r="H22" s="812">
        <v>0</v>
      </c>
      <c r="I22" s="655">
        <f>H22/'État des Résultats'!H$14</f>
        <v>0</v>
      </c>
      <c r="K22" s="812">
        <v>0</v>
      </c>
      <c r="L22" s="655">
        <f>K22/'État des Résultats'!K$14</f>
        <v>0</v>
      </c>
      <c r="N22" s="812">
        <v>0</v>
      </c>
      <c r="O22" s="655">
        <f>N22/'État des Résultats'!N$14</f>
        <v>0</v>
      </c>
      <c r="Q22" s="812">
        <v>0</v>
      </c>
      <c r="R22" s="655">
        <f>Q22/'État des Résultats'!Q$14</f>
        <v>0</v>
      </c>
      <c r="T22" s="812">
        <v>0</v>
      </c>
      <c r="U22" s="655">
        <f>T22/'État des Résultats'!T$14</f>
        <v>0</v>
      </c>
      <c r="W22" s="812">
        <v>0</v>
      </c>
      <c r="X22" s="655">
        <f>W22/'État des Résultats'!W$14</f>
        <v>0</v>
      </c>
      <c r="Z22" s="812">
        <v>0</v>
      </c>
      <c r="AA22" s="655">
        <f>Z22/'État des Résultats'!Z$14</f>
        <v>0</v>
      </c>
      <c r="AC22" s="812">
        <v>0</v>
      </c>
      <c r="AD22" s="655">
        <f>AC22/'État des Résultats'!AC$14</f>
        <v>0</v>
      </c>
      <c r="AF22" s="812">
        <v>0</v>
      </c>
      <c r="AG22" s="655">
        <f>AF22/'État des Résultats'!AF$14</f>
        <v>0</v>
      </c>
      <c r="AI22" s="812">
        <v>0</v>
      </c>
      <c r="AJ22" s="655">
        <f>AI22/'État des Résultats'!AI$14</f>
        <v>0</v>
      </c>
      <c r="AL22" s="812">
        <v>0</v>
      </c>
      <c r="AM22" s="655">
        <f>AL22/'État des Résultats'!AL$14</f>
        <v>0</v>
      </c>
      <c r="AP22" s="815">
        <f t="shared" si="0"/>
        <v>0</v>
      </c>
      <c r="AQ22" s="657">
        <f>+AP22/'État des Résultats'!$AP$14</f>
        <v>0</v>
      </c>
    </row>
    <row r="23" spans="2:45" x14ac:dyDescent="0.15">
      <c r="B23" s="687">
        <v>7422</v>
      </c>
      <c r="C23" s="420" t="s">
        <v>272</v>
      </c>
      <c r="E23" s="812">
        <f>(5500/12)</f>
        <v>458.33333333333331</v>
      </c>
      <c r="F23" s="655">
        <f>E23/'État des Résultats'!E$14</f>
        <v>1.2559371574716842E-2</v>
      </c>
      <c r="H23" s="812">
        <f>(5500/12)</f>
        <v>458.33333333333331</v>
      </c>
      <c r="I23" s="655">
        <f>H23/'État des Résultats'!H$14</f>
        <v>1.2957487660937884E-2</v>
      </c>
      <c r="K23" s="812">
        <f>(5500/12)</f>
        <v>458.33333333333331</v>
      </c>
      <c r="L23" s="655">
        <f>K23/'État des Résultats'!K$14</f>
        <v>1.1628029894607764E-2</v>
      </c>
      <c r="N23" s="812">
        <f>(5500/12)</f>
        <v>458.33333333333331</v>
      </c>
      <c r="O23" s="655">
        <f>N23/'État des Résultats'!N$14</f>
        <v>1.1493892563451511E-2</v>
      </c>
      <c r="Q23" s="812">
        <f>(5500/12)</f>
        <v>458.33333333333331</v>
      </c>
      <c r="R23" s="655">
        <f>Q23/'État des Résultats'!Q$14</f>
        <v>1.0675465838509316E-2</v>
      </c>
      <c r="T23" s="812">
        <f>(5500/12)</f>
        <v>458.33333333333331</v>
      </c>
      <c r="U23" s="655">
        <f>T23/'État des Résultats'!T$14</f>
        <v>1.0387942431911757E-2</v>
      </c>
      <c r="W23" s="812">
        <f>(5500/12)</f>
        <v>458.33333333333331</v>
      </c>
      <c r="X23" s="655">
        <f>W23/'État des Résultats'!W$14</f>
        <v>1.0020131354812851E-2</v>
      </c>
      <c r="Z23" s="812">
        <f>(5500/12)</f>
        <v>458.33333333333331</v>
      </c>
      <c r="AA23" s="655">
        <f>Z23/'État des Résultats'!Z$14</f>
        <v>9.8895961448556106E-3</v>
      </c>
      <c r="AC23" s="812">
        <f>(5500/12)</f>
        <v>458.33333333333331</v>
      </c>
      <c r="AD23" s="655">
        <f>AC23/'État des Résultats'!AC$14</f>
        <v>1.0815487778498809E-2</v>
      </c>
      <c r="AF23" s="812">
        <f>(5500/12)</f>
        <v>458.33333333333331</v>
      </c>
      <c r="AG23" s="655">
        <f>AF23/'État des Résultats'!AF$14</f>
        <v>1.0805713275309926E-2</v>
      </c>
      <c r="AI23" s="812">
        <f>(5500/12)</f>
        <v>458.33333333333331</v>
      </c>
      <c r="AJ23" s="655">
        <f>AI23/'État des Résultats'!AI$14</f>
        <v>1.1625203441060217E-2</v>
      </c>
      <c r="AL23" s="812">
        <f>(5500/12)</f>
        <v>458.33333333333331</v>
      </c>
      <c r="AM23" s="655">
        <f>AL23/'État des Résultats'!AL$14</f>
        <v>1.0460648940621552E-2</v>
      </c>
      <c r="AP23" s="815">
        <f t="shared" si="0"/>
        <v>5499.9999999999991</v>
      </c>
      <c r="AQ23" s="657">
        <f>+AP23/'État des Résultats'!$AP$14</f>
        <v>1.1036789297658861E-2</v>
      </c>
    </row>
    <row r="24" spans="2:45" x14ac:dyDescent="0.15">
      <c r="B24" s="654">
        <v>7424</v>
      </c>
      <c r="C24" s="392" t="s">
        <v>273</v>
      </c>
      <c r="E24" s="812">
        <v>0</v>
      </c>
      <c r="F24" s="655">
        <f>E24/'État des Résultats'!E$14</f>
        <v>0</v>
      </c>
      <c r="H24" s="812">
        <v>0</v>
      </c>
      <c r="I24" s="655">
        <f>H24/'État des Résultats'!H$14</f>
        <v>0</v>
      </c>
      <c r="K24" s="812">
        <v>0</v>
      </c>
      <c r="L24" s="655">
        <f>K24/'État des Résultats'!K$14</f>
        <v>0</v>
      </c>
      <c r="N24" s="812">
        <v>0</v>
      </c>
      <c r="O24" s="655">
        <f>N24/'État des Résultats'!N$14</f>
        <v>0</v>
      </c>
      <c r="Q24" s="812">
        <v>0</v>
      </c>
      <c r="R24" s="655">
        <f>Q24/'État des Résultats'!Q$14</f>
        <v>0</v>
      </c>
      <c r="T24" s="812">
        <v>0</v>
      </c>
      <c r="U24" s="655">
        <f>T24/'État des Résultats'!T$14</f>
        <v>0</v>
      </c>
      <c r="W24" s="812">
        <v>0</v>
      </c>
      <c r="X24" s="655">
        <f>W24/'État des Résultats'!W$14</f>
        <v>0</v>
      </c>
      <c r="Z24" s="812">
        <v>0</v>
      </c>
      <c r="AA24" s="655">
        <f>Z24/'État des Résultats'!Z$14</f>
        <v>0</v>
      </c>
      <c r="AC24" s="812">
        <v>0</v>
      </c>
      <c r="AD24" s="655">
        <f>AC24/'État des Résultats'!AC$14</f>
        <v>0</v>
      </c>
      <c r="AF24" s="812">
        <v>0</v>
      </c>
      <c r="AG24" s="655">
        <f>AF24/'État des Résultats'!AF$14</f>
        <v>0</v>
      </c>
      <c r="AI24" s="812">
        <v>0</v>
      </c>
      <c r="AJ24" s="655">
        <f>AI24/'État des Résultats'!AI$14</f>
        <v>0</v>
      </c>
      <c r="AL24" s="812">
        <v>0</v>
      </c>
      <c r="AM24" s="655">
        <f>AL24/'État des Résultats'!AL$14</f>
        <v>0</v>
      </c>
      <c r="AP24" s="815">
        <f t="shared" si="0"/>
        <v>0</v>
      </c>
      <c r="AQ24" s="657">
        <f>+AP24/'État des Résultats'!$AP$14</f>
        <v>0</v>
      </c>
    </row>
    <row r="25" spans="2:45" x14ac:dyDescent="0.15">
      <c r="B25" s="654">
        <v>7426</v>
      </c>
      <c r="C25" s="392" t="s">
        <v>274</v>
      </c>
      <c r="E25" s="812">
        <v>0</v>
      </c>
      <c r="F25" s="655">
        <f>E25/'État des Résultats'!E$14</f>
        <v>0</v>
      </c>
      <c r="H25" s="812">
        <v>0</v>
      </c>
      <c r="I25" s="655">
        <f>H25/'État des Résultats'!H$14</f>
        <v>0</v>
      </c>
      <c r="K25" s="812">
        <v>0</v>
      </c>
      <c r="L25" s="655">
        <f>K25/'État des Résultats'!K$14</f>
        <v>0</v>
      </c>
      <c r="N25" s="812">
        <v>0</v>
      </c>
      <c r="O25" s="655">
        <f>N25/'État des Résultats'!N$14</f>
        <v>0</v>
      </c>
      <c r="Q25" s="812">
        <v>0</v>
      </c>
      <c r="R25" s="655">
        <f>Q25/'État des Résultats'!Q$14</f>
        <v>0</v>
      </c>
      <c r="T25" s="812">
        <v>0</v>
      </c>
      <c r="U25" s="655">
        <f>T25/'État des Résultats'!T$14</f>
        <v>0</v>
      </c>
      <c r="W25" s="812">
        <v>0</v>
      </c>
      <c r="X25" s="655">
        <f>W25/'État des Résultats'!W$14</f>
        <v>0</v>
      </c>
      <c r="Z25" s="812">
        <v>0</v>
      </c>
      <c r="AA25" s="655">
        <f>Z25/'État des Résultats'!Z$14</f>
        <v>0</v>
      </c>
      <c r="AC25" s="812">
        <v>0</v>
      </c>
      <c r="AD25" s="655">
        <f>AC25/'État des Résultats'!AC$14</f>
        <v>0</v>
      </c>
      <c r="AF25" s="812">
        <v>0</v>
      </c>
      <c r="AG25" s="655">
        <f>AF25/'État des Résultats'!AF$14</f>
        <v>0</v>
      </c>
      <c r="AI25" s="812">
        <v>0</v>
      </c>
      <c r="AJ25" s="655">
        <f>AI25/'État des Résultats'!AI$14</f>
        <v>0</v>
      </c>
      <c r="AL25" s="812">
        <v>0</v>
      </c>
      <c r="AM25" s="655">
        <f>AL25/'État des Résultats'!AL$14</f>
        <v>0</v>
      </c>
      <c r="AP25" s="815">
        <f t="shared" si="0"/>
        <v>0</v>
      </c>
      <c r="AQ25" s="657">
        <f>+AP25/'État des Résultats'!$AP$14</f>
        <v>0</v>
      </c>
    </row>
    <row r="26" spans="2:45" x14ac:dyDescent="0.15">
      <c r="B26" s="687">
        <v>7428</v>
      </c>
      <c r="C26" s="420" t="s">
        <v>275</v>
      </c>
      <c r="E26" s="812">
        <v>0</v>
      </c>
      <c r="F26" s="655">
        <f>E26/'État des Résultats'!E$14</f>
        <v>0</v>
      </c>
      <c r="H26" s="812">
        <v>0</v>
      </c>
      <c r="I26" s="655">
        <f>H26/'État des Résultats'!H$14</f>
        <v>0</v>
      </c>
      <c r="K26" s="812">
        <v>0</v>
      </c>
      <c r="L26" s="655">
        <f>K26/'État des Résultats'!K$14</f>
        <v>0</v>
      </c>
      <c r="N26" s="812">
        <v>0</v>
      </c>
      <c r="O26" s="655">
        <f>N26/'État des Résultats'!N$14</f>
        <v>0</v>
      </c>
      <c r="Q26" s="812">
        <v>0</v>
      </c>
      <c r="R26" s="655">
        <f>Q26/'État des Résultats'!Q$14</f>
        <v>0</v>
      </c>
      <c r="T26" s="812">
        <v>0</v>
      </c>
      <c r="U26" s="655">
        <f>T26/'État des Résultats'!T$14</f>
        <v>0</v>
      </c>
      <c r="W26" s="812">
        <v>0</v>
      </c>
      <c r="X26" s="655">
        <f>W26/'État des Résultats'!W$14</f>
        <v>0</v>
      </c>
      <c r="Z26" s="812">
        <v>0</v>
      </c>
      <c r="AA26" s="655">
        <f>Z26/'État des Résultats'!Z$14</f>
        <v>0</v>
      </c>
      <c r="AC26" s="812">
        <v>0</v>
      </c>
      <c r="AD26" s="655">
        <f>AC26/'État des Résultats'!AC$14</f>
        <v>0</v>
      </c>
      <c r="AF26" s="812">
        <v>0</v>
      </c>
      <c r="AG26" s="655">
        <f>AF26/'État des Résultats'!AF$14</f>
        <v>0</v>
      </c>
      <c r="AI26" s="812">
        <v>0</v>
      </c>
      <c r="AJ26" s="655">
        <f>AI26/'État des Résultats'!AI$14</f>
        <v>0</v>
      </c>
      <c r="AL26" s="812">
        <v>0</v>
      </c>
      <c r="AM26" s="655">
        <f>AL26/'État des Résultats'!AL$14</f>
        <v>0</v>
      </c>
      <c r="AP26" s="815">
        <f t="shared" si="0"/>
        <v>0</v>
      </c>
      <c r="AQ26" s="657">
        <f>+AP26/'État des Résultats'!$AP$14</f>
        <v>0</v>
      </c>
    </row>
    <row r="27" spans="2:45" x14ac:dyDescent="0.15">
      <c r="B27" s="654">
        <v>7430</v>
      </c>
      <c r="C27" s="392" t="s">
        <v>276</v>
      </c>
      <c r="E27" s="812">
        <v>0</v>
      </c>
      <c r="F27" s="655">
        <f>E27/'État des Résultats'!E$14</f>
        <v>0</v>
      </c>
      <c r="H27" s="812">
        <v>0</v>
      </c>
      <c r="I27" s="655">
        <f>H27/'État des Résultats'!H$14</f>
        <v>0</v>
      </c>
      <c r="K27" s="812">
        <v>0</v>
      </c>
      <c r="L27" s="655">
        <f>K27/'État des Résultats'!K$14</f>
        <v>0</v>
      </c>
      <c r="N27" s="812">
        <v>0</v>
      </c>
      <c r="O27" s="655">
        <f>N27/'État des Résultats'!N$14</f>
        <v>0</v>
      </c>
      <c r="Q27" s="812">
        <v>0</v>
      </c>
      <c r="R27" s="655">
        <f>Q27/'État des Résultats'!Q$14</f>
        <v>0</v>
      </c>
      <c r="T27" s="812">
        <v>0</v>
      </c>
      <c r="U27" s="655">
        <f>T27/'État des Résultats'!T$14</f>
        <v>0</v>
      </c>
      <c r="W27" s="812">
        <v>0</v>
      </c>
      <c r="X27" s="655">
        <f>W27/'État des Résultats'!W$14</f>
        <v>0</v>
      </c>
      <c r="Z27" s="812">
        <v>0</v>
      </c>
      <c r="AA27" s="655">
        <f>Z27/'État des Résultats'!Z$14</f>
        <v>0</v>
      </c>
      <c r="AC27" s="812">
        <v>0</v>
      </c>
      <c r="AD27" s="655">
        <f>AC27/'État des Résultats'!AC$14</f>
        <v>0</v>
      </c>
      <c r="AF27" s="812">
        <v>0</v>
      </c>
      <c r="AG27" s="655">
        <f>AF27/'État des Résultats'!AF$14</f>
        <v>0</v>
      </c>
      <c r="AI27" s="812">
        <v>0</v>
      </c>
      <c r="AJ27" s="655">
        <f>AI27/'État des Résultats'!AI$14</f>
        <v>0</v>
      </c>
      <c r="AL27" s="812">
        <v>0</v>
      </c>
      <c r="AM27" s="655">
        <f>AL27/'État des Résultats'!AL$14</f>
        <v>0</v>
      </c>
      <c r="AP27" s="815">
        <f t="shared" si="0"/>
        <v>0</v>
      </c>
      <c r="AQ27" s="657">
        <f>+AP27/'État des Résultats'!$AP$14</f>
        <v>0</v>
      </c>
    </row>
    <row r="28" spans="2:45" x14ac:dyDescent="0.15">
      <c r="B28" s="654">
        <v>7432</v>
      </c>
      <c r="C28" s="392" t="s">
        <v>277</v>
      </c>
      <c r="E28" s="812">
        <v>0</v>
      </c>
      <c r="F28" s="655">
        <f>E28/'État des Résultats'!E$14</f>
        <v>0</v>
      </c>
      <c r="H28" s="812">
        <v>0</v>
      </c>
      <c r="I28" s="655">
        <f>H28/'État des Résultats'!H$14</f>
        <v>0</v>
      </c>
      <c r="K28" s="812">
        <v>0</v>
      </c>
      <c r="L28" s="655">
        <f>K28/'État des Résultats'!K$14</f>
        <v>0</v>
      </c>
      <c r="N28" s="812">
        <v>0</v>
      </c>
      <c r="O28" s="655">
        <f>N28/'État des Résultats'!N$14</f>
        <v>0</v>
      </c>
      <c r="Q28" s="812">
        <v>0</v>
      </c>
      <c r="R28" s="655">
        <f>Q28/'État des Résultats'!Q$14</f>
        <v>0</v>
      </c>
      <c r="T28" s="812">
        <v>0</v>
      </c>
      <c r="U28" s="655">
        <f>T28/'État des Résultats'!T$14</f>
        <v>0</v>
      </c>
      <c r="W28" s="812">
        <v>0</v>
      </c>
      <c r="X28" s="655">
        <f>W28/'État des Résultats'!W$14</f>
        <v>0</v>
      </c>
      <c r="Z28" s="812">
        <v>0</v>
      </c>
      <c r="AA28" s="655">
        <f>Z28/'État des Résultats'!Z$14</f>
        <v>0</v>
      </c>
      <c r="AC28" s="812">
        <v>0</v>
      </c>
      <c r="AD28" s="655">
        <f>AC28/'État des Résultats'!AC$14</f>
        <v>0</v>
      </c>
      <c r="AF28" s="812">
        <v>0</v>
      </c>
      <c r="AG28" s="655">
        <f>AF28/'État des Résultats'!AF$14</f>
        <v>0</v>
      </c>
      <c r="AI28" s="812">
        <v>0</v>
      </c>
      <c r="AJ28" s="655">
        <f>AI28/'État des Résultats'!AI$14</f>
        <v>0</v>
      </c>
      <c r="AL28" s="812">
        <v>0</v>
      </c>
      <c r="AM28" s="655">
        <f>AL28/'État des Résultats'!AL$14</f>
        <v>0</v>
      </c>
      <c r="AP28" s="815">
        <f t="shared" si="0"/>
        <v>0</v>
      </c>
      <c r="AQ28" s="657">
        <f>+AP28/'État des Résultats'!$AP$14</f>
        <v>0</v>
      </c>
    </row>
    <row r="29" spans="2:45" x14ac:dyDescent="0.15">
      <c r="B29" s="654">
        <v>7436</v>
      </c>
      <c r="C29" s="392" t="s">
        <v>278</v>
      </c>
      <c r="E29" s="812">
        <v>0</v>
      </c>
      <c r="F29" s="655">
        <f>E29/'État des Résultats'!E$14</f>
        <v>0</v>
      </c>
      <c r="H29" s="812">
        <v>0</v>
      </c>
      <c r="I29" s="655">
        <f>H29/'État des Résultats'!H$14</f>
        <v>0</v>
      </c>
      <c r="K29" s="812">
        <v>0</v>
      </c>
      <c r="L29" s="655">
        <f>K29/'État des Résultats'!K$14</f>
        <v>0</v>
      </c>
      <c r="N29" s="812">
        <v>0</v>
      </c>
      <c r="O29" s="655">
        <f>N29/'État des Résultats'!N$14</f>
        <v>0</v>
      </c>
      <c r="Q29" s="812">
        <v>0</v>
      </c>
      <c r="R29" s="655">
        <f>Q29/'État des Résultats'!Q$14</f>
        <v>0</v>
      </c>
      <c r="T29" s="812">
        <v>0</v>
      </c>
      <c r="U29" s="655">
        <f>T29/'État des Résultats'!T$14</f>
        <v>0</v>
      </c>
      <c r="W29" s="812">
        <v>0</v>
      </c>
      <c r="X29" s="655">
        <f>W29/'État des Résultats'!W$14</f>
        <v>0</v>
      </c>
      <c r="Z29" s="812">
        <v>0</v>
      </c>
      <c r="AA29" s="655">
        <f>Z29/'État des Résultats'!Z$14</f>
        <v>0</v>
      </c>
      <c r="AC29" s="812">
        <v>0</v>
      </c>
      <c r="AD29" s="655">
        <f>AC29/'État des Résultats'!AC$14</f>
        <v>0</v>
      </c>
      <c r="AF29" s="812">
        <v>0</v>
      </c>
      <c r="AG29" s="655">
        <f>AF29/'État des Résultats'!AF$14</f>
        <v>0</v>
      </c>
      <c r="AI29" s="812">
        <v>0</v>
      </c>
      <c r="AJ29" s="655">
        <f>AI29/'État des Résultats'!AI$14</f>
        <v>0</v>
      </c>
      <c r="AL29" s="812">
        <v>0</v>
      </c>
      <c r="AM29" s="655">
        <f>AL29/'État des Résultats'!AL$14</f>
        <v>0</v>
      </c>
      <c r="AP29" s="815">
        <f t="shared" si="0"/>
        <v>0</v>
      </c>
      <c r="AQ29" s="657">
        <f>+AP29/'État des Résultats'!$AP$14</f>
        <v>0</v>
      </c>
    </row>
    <row r="30" spans="2:45" x14ac:dyDescent="0.15">
      <c r="B30" s="687">
        <v>7438</v>
      </c>
      <c r="C30" s="420" t="s">
        <v>279</v>
      </c>
      <c r="E30" s="812">
        <f>(4000/12)</f>
        <v>333.33333333333331</v>
      </c>
      <c r="F30" s="655">
        <f>E30/'État des Résultats'!E$14</f>
        <v>9.1340884179758851E-3</v>
      </c>
      <c r="H30" s="812">
        <f>(4000/12)</f>
        <v>333.33333333333331</v>
      </c>
      <c r="I30" s="655">
        <f>H30/'État des Résultats'!H$14</f>
        <v>9.4236273897730077E-3</v>
      </c>
      <c r="K30" s="812">
        <f>(4000/12)</f>
        <v>333.33333333333331</v>
      </c>
      <c r="L30" s="655">
        <f>K30/'État des Résultats'!K$14</f>
        <v>8.4567490142601932E-3</v>
      </c>
      <c r="N30" s="812">
        <f>(4000/12)</f>
        <v>333.33333333333331</v>
      </c>
      <c r="O30" s="655">
        <f>N30/'État des Résultats'!N$14</f>
        <v>8.3591945916010983E-3</v>
      </c>
      <c r="Q30" s="812">
        <f>(4000/12)</f>
        <v>333.33333333333331</v>
      </c>
      <c r="R30" s="655">
        <f>Q30/'État des Résultats'!Q$14</f>
        <v>7.7639751552795021E-3</v>
      </c>
      <c r="T30" s="812">
        <f>(4000/12)</f>
        <v>333.33333333333331</v>
      </c>
      <c r="U30" s="655">
        <f>T30/'État des Résultats'!T$14</f>
        <v>7.5548672232085504E-3</v>
      </c>
      <c r="W30" s="812">
        <f>(4000/12)</f>
        <v>333.33333333333331</v>
      </c>
      <c r="X30" s="655">
        <f>W30/'État des Résultats'!W$14</f>
        <v>7.2873682580457096E-3</v>
      </c>
      <c r="Z30" s="812">
        <f>(4000/12)</f>
        <v>333.33333333333331</v>
      </c>
      <c r="AA30" s="655">
        <f>Z30/'État des Résultats'!Z$14</f>
        <v>7.1924335598949904E-3</v>
      </c>
      <c r="AC30" s="812">
        <f>(4000/12)</f>
        <v>333.33333333333331</v>
      </c>
      <c r="AD30" s="655">
        <f>AC30/'État des Résultats'!AC$14</f>
        <v>7.8658092934536794E-3</v>
      </c>
      <c r="AF30" s="812">
        <f>(4000/12)</f>
        <v>333.33333333333331</v>
      </c>
      <c r="AG30" s="655">
        <f>AF30/'État des Résultats'!AF$14</f>
        <v>7.8587005638617643E-3</v>
      </c>
      <c r="AI30" s="812">
        <f>(4000/12)</f>
        <v>333.33333333333331</v>
      </c>
      <c r="AJ30" s="655">
        <f>AI30/'État des Résultats'!AI$14</f>
        <v>8.4546934116801579E-3</v>
      </c>
      <c r="AL30" s="812">
        <f>(4000/12)</f>
        <v>333.33333333333331</v>
      </c>
      <c r="AM30" s="655">
        <f>AL30/'État des Résultats'!AL$14</f>
        <v>7.6077446840884019E-3</v>
      </c>
      <c r="AP30" s="815">
        <f t="shared" si="0"/>
        <v>4000.0000000000005</v>
      </c>
      <c r="AQ30" s="657">
        <f>+AP30/'État des Résultats'!$AP$14</f>
        <v>8.0267558528428103E-3</v>
      </c>
    </row>
    <row r="31" spans="2:45" x14ac:dyDescent="0.15">
      <c r="B31" s="654">
        <v>7440</v>
      </c>
      <c r="C31" s="392" t="s">
        <v>280</v>
      </c>
      <c r="E31" s="812">
        <v>0</v>
      </c>
      <c r="F31" s="655">
        <f>E31/'État des Résultats'!E$14</f>
        <v>0</v>
      </c>
      <c r="H31" s="812">
        <v>0</v>
      </c>
      <c r="I31" s="655">
        <f>H31/'État des Résultats'!H$14</f>
        <v>0</v>
      </c>
      <c r="K31" s="812">
        <v>0</v>
      </c>
      <c r="L31" s="655">
        <f>K31/'État des Résultats'!K$14</f>
        <v>0</v>
      </c>
      <c r="N31" s="812">
        <v>0</v>
      </c>
      <c r="O31" s="655">
        <f>N31/'État des Résultats'!N$14</f>
        <v>0</v>
      </c>
      <c r="Q31" s="812">
        <v>0</v>
      </c>
      <c r="R31" s="655">
        <f>Q31/'État des Résultats'!Q$14</f>
        <v>0</v>
      </c>
      <c r="T31" s="812">
        <v>0</v>
      </c>
      <c r="U31" s="655">
        <f>T31/'État des Résultats'!T$14</f>
        <v>0</v>
      </c>
      <c r="W31" s="812">
        <v>0</v>
      </c>
      <c r="X31" s="655">
        <f>W31/'État des Résultats'!W$14</f>
        <v>0</v>
      </c>
      <c r="Z31" s="812">
        <v>0</v>
      </c>
      <c r="AA31" s="655">
        <f>Z31/'État des Résultats'!Z$14</f>
        <v>0</v>
      </c>
      <c r="AC31" s="812">
        <v>0</v>
      </c>
      <c r="AD31" s="655">
        <f>AC31/'État des Résultats'!AC$14</f>
        <v>0</v>
      </c>
      <c r="AF31" s="812">
        <v>0</v>
      </c>
      <c r="AG31" s="655">
        <f>AF31/'État des Résultats'!AF$14</f>
        <v>0</v>
      </c>
      <c r="AI31" s="812">
        <v>0</v>
      </c>
      <c r="AJ31" s="655">
        <f>AI31/'État des Résultats'!AI$14</f>
        <v>0</v>
      </c>
      <c r="AL31" s="812">
        <v>0</v>
      </c>
      <c r="AM31" s="655">
        <f>AL31/'État des Résultats'!AL$14</f>
        <v>0</v>
      </c>
      <c r="AP31" s="815">
        <f t="shared" si="0"/>
        <v>0</v>
      </c>
      <c r="AQ31" s="657">
        <f>+AP31/'État des Résultats'!$AP$14</f>
        <v>0</v>
      </c>
    </row>
    <row r="32" spans="2:45" x14ac:dyDescent="0.15">
      <c r="B32" s="654">
        <v>7499</v>
      </c>
      <c r="C32" s="392" t="s">
        <v>281</v>
      </c>
      <c r="E32" s="812">
        <v>500</v>
      </c>
      <c r="F32" s="655">
        <f>E32/'État des Résultats'!E$14</f>
        <v>1.3701132626963828E-2</v>
      </c>
      <c r="H32" s="812">
        <v>500</v>
      </c>
      <c r="I32" s="655">
        <f>H32/'État des Résultats'!H$14</f>
        <v>1.4135441084659512E-2</v>
      </c>
      <c r="K32" s="812">
        <v>500</v>
      </c>
      <c r="L32" s="655">
        <f>K32/'État des Résultats'!K$14</f>
        <v>1.268512352139029E-2</v>
      </c>
      <c r="N32" s="812">
        <v>500</v>
      </c>
      <c r="O32" s="655">
        <f>N32/'État des Résultats'!N$14</f>
        <v>1.2538791887401649E-2</v>
      </c>
      <c r="Q32" s="812">
        <v>500</v>
      </c>
      <c r="R32" s="655">
        <f>Q32/'État des Résultats'!Q$14</f>
        <v>1.1645962732919254E-2</v>
      </c>
      <c r="T32" s="812">
        <v>500</v>
      </c>
      <c r="U32" s="655">
        <f>T32/'État des Résultats'!T$14</f>
        <v>1.1332300834812827E-2</v>
      </c>
      <c r="W32" s="812">
        <v>500</v>
      </c>
      <c r="X32" s="655">
        <f>W32/'État des Résultats'!W$14</f>
        <v>1.0931052387068565E-2</v>
      </c>
      <c r="Z32" s="812">
        <v>500</v>
      </c>
      <c r="AA32" s="655">
        <f>Z32/'État des Résultats'!Z$14</f>
        <v>1.0788650339842486E-2</v>
      </c>
      <c r="AC32" s="812">
        <v>500</v>
      </c>
      <c r="AD32" s="655">
        <f>AC32/'État des Résultats'!AC$14</f>
        <v>1.1798713940180521E-2</v>
      </c>
      <c r="AF32" s="812">
        <v>500</v>
      </c>
      <c r="AG32" s="655">
        <f>AF32/'État des Résultats'!AF$14</f>
        <v>1.1788050845792647E-2</v>
      </c>
      <c r="AI32" s="812">
        <v>500</v>
      </c>
      <c r="AJ32" s="655">
        <f>AI32/'État des Résultats'!AI$14</f>
        <v>1.2682040117520237E-2</v>
      </c>
      <c r="AL32" s="812">
        <v>500</v>
      </c>
      <c r="AM32" s="655">
        <f>AL32/'État des Résultats'!AL$14</f>
        <v>1.1411617026132604E-2</v>
      </c>
      <c r="AP32" s="815">
        <f t="shared" si="0"/>
        <v>6000</v>
      </c>
      <c r="AQ32" s="657">
        <f>+AP32/'État des Résultats'!$AP$14</f>
        <v>1.2040133779264214E-2</v>
      </c>
    </row>
    <row r="33" spans="2:69" ht="14" thickBot="1" x14ac:dyDescent="0.2">
      <c r="B33" s="690"/>
      <c r="C33" s="691"/>
      <c r="D33" s="683"/>
      <c r="E33" s="816"/>
      <c r="F33" s="688"/>
      <c r="G33" s="683"/>
      <c r="H33" s="816"/>
      <c r="I33" s="688"/>
      <c r="J33" s="683"/>
      <c r="K33" s="816"/>
      <c r="L33" s="688"/>
      <c r="M33" s="683"/>
      <c r="N33" s="816"/>
      <c r="O33" s="688"/>
      <c r="P33" s="683"/>
      <c r="Q33" s="816"/>
      <c r="R33" s="688"/>
      <c r="S33" s="683"/>
      <c r="T33" s="816"/>
      <c r="U33" s="688"/>
      <c r="V33" s="683"/>
      <c r="W33" s="816"/>
      <c r="X33" s="688"/>
      <c r="Y33" s="683"/>
      <c r="Z33" s="816"/>
      <c r="AA33" s="688"/>
      <c r="AB33" s="683"/>
      <c r="AC33" s="816"/>
      <c r="AD33" s="688"/>
      <c r="AE33" s="683"/>
      <c r="AF33" s="816"/>
      <c r="AG33" s="688"/>
      <c r="AH33" s="683"/>
      <c r="AI33" s="816"/>
      <c r="AJ33" s="688"/>
      <c r="AK33" s="683"/>
      <c r="AL33" s="816"/>
      <c r="AM33" s="688"/>
      <c r="AN33" s="683"/>
      <c r="AO33" s="683"/>
      <c r="AP33" s="815"/>
      <c r="AQ33" s="689"/>
      <c r="AR33" s="683"/>
      <c r="AS33" s="683"/>
      <c r="AT33" s="683"/>
      <c r="AU33" s="683"/>
      <c r="AV33" s="683"/>
      <c r="AW33" s="683"/>
      <c r="AX33" s="683"/>
      <c r="AY33" s="683"/>
    </row>
    <row r="34" spans="2:69" ht="15" thickTop="1" thickBot="1" x14ac:dyDescent="0.2">
      <c r="B34" s="470">
        <v>7400</v>
      </c>
      <c r="C34" s="471" t="s">
        <v>282</v>
      </c>
      <c r="D34" s="213"/>
      <c r="E34" s="814">
        <f>SUM(E13:E32)</f>
        <v>1839.0666666666666</v>
      </c>
      <c r="F34" s="663">
        <f>SUM(F13:F32)</f>
        <v>5.0394592619656557E-2</v>
      </c>
      <c r="G34" s="213"/>
      <c r="H34" s="814">
        <f>SUM(H13:H32)</f>
        <v>1822.2479166666667</v>
      </c>
      <c r="I34" s="663">
        <f>SUM(I13:I32)</f>
        <v>5.1516556135370407E-2</v>
      </c>
      <c r="J34" s="213"/>
      <c r="K34" s="814">
        <f>SUM(K13:K32)</f>
        <v>1882.9104166666666</v>
      </c>
      <c r="L34" s="663">
        <f>SUM(L13:L32)</f>
        <v>4.7769902430258249E-2</v>
      </c>
      <c r="M34" s="213"/>
      <c r="N34" s="814">
        <f>SUM(N13:N32)</f>
        <v>1889.8104166666665</v>
      </c>
      <c r="O34" s="663">
        <f>SUM(O13:O32)</f>
        <v>4.739187904245426E-2</v>
      </c>
      <c r="P34" s="213"/>
      <c r="Q34" s="814">
        <f>SUM(Q13:Q32)</f>
        <v>1935.6666666666665</v>
      </c>
      <c r="R34" s="663">
        <f>SUM(R13:R32)</f>
        <v>4.5085403726708072E-2</v>
      </c>
      <c r="S34" s="213"/>
      <c r="T34" s="814">
        <f>SUM(T13:T32)</f>
        <v>1953.4916666666666</v>
      </c>
      <c r="U34" s="663">
        <f>SUM(U13:U32)</f>
        <v>4.4275110489933135E-2</v>
      </c>
      <c r="V34" s="213"/>
      <c r="W34" s="814">
        <f>SUM(W13:W32)</f>
        <v>1977.7854166666666</v>
      </c>
      <c r="X34" s="663">
        <f>SUM(X13:X32)</f>
        <v>4.3238551999927127E-2</v>
      </c>
      <c r="Y34" s="213"/>
      <c r="Z34" s="814">
        <f>SUM(Z13:Z32)</f>
        <v>1986.8416666666665</v>
      </c>
      <c r="AA34" s="663">
        <f>SUM(AA13:AA32)</f>
        <v>4.2870680044593087E-2</v>
      </c>
      <c r="AB34" s="213"/>
      <c r="AC34" s="814">
        <f>SUM(AC13:AC32)</f>
        <v>1927.3291666666667</v>
      </c>
      <c r="AD34" s="663">
        <f>SUM(AD13:AD32)</f>
        <v>4.5480011012133004E-2</v>
      </c>
      <c r="AE34" s="213"/>
      <c r="AF34" s="814">
        <f>SUM(AF13:AF32)</f>
        <v>1927.9041666666667</v>
      </c>
      <c r="AG34" s="663">
        <f>SUM(AG13:AG32)</f>
        <v>4.5452464684964333E-2</v>
      </c>
      <c r="AH34" s="213"/>
      <c r="AI34" s="814">
        <f>SUM(AI13:AI32)</f>
        <v>1883.0541666666666</v>
      </c>
      <c r="AJ34" s="663">
        <f>SUM(AJ13:AJ32)</f>
        <v>4.7761936970260613E-2</v>
      </c>
      <c r="AK34" s="213"/>
      <c r="AL34" s="814">
        <f>SUM(AL13:AL32)</f>
        <v>1948.8916666666667</v>
      </c>
      <c r="AM34" s="663">
        <f>SUM(AM13:AM32)</f>
        <v>4.4480010650842554E-2</v>
      </c>
      <c r="AN34" s="213"/>
      <c r="AO34" s="213"/>
      <c r="AP34" s="814">
        <f>SUM(AP13:AP32)</f>
        <v>22975</v>
      </c>
      <c r="AQ34" s="663">
        <f>SUM(AQ13:AQ32)</f>
        <v>4.6103678929765884E-2</v>
      </c>
      <c r="AR34" s="213"/>
      <c r="AS34" s="213"/>
      <c r="AT34" s="213"/>
      <c r="AU34" s="251"/>
    </row>
    <row r="35" spans="2:69" ht="14" thickTop="1" x14ac:dyDescent="0.15">
      <c r="L35" s="315"/>
      <c r="O35" s="315"/>
      <c r="R35" s="315"/>
      <c r="U35" s="315"/>
      <c r="X35" s="315"/>
      <c r="AA35" s="315"/>
      <c r="AD35" s="315"/>
      <c r="AG35" s="315"/>
      <c r="AJ35" s="315"/>
      <c r="AM35" s="315"/>
      <c r="AQ35" s="315"/>
    </row>
    <row r="36" spans="2:69" x14ac:dyDescent="0.15">
      <c r="R36" s="315"/>
      <c r="U36" s="315"/>
      <c r="X36" s="315"/>
      <c r="AD36" s="315"/>
      <c r="AG36" s="315"/>
      <c r="AJ36" s="315"/>
      <c r="AM36" s="315"/>
    </row>
    <row r="37" spans="2:69" x14ac:dyDescent="0.15">
      <c r="U37" s="315"/>
      <c r="AG37" s="315"/>
      <c r="AJ37" s="315"/>
      <c r="AM37" s="315"/>
    </row>
    <row r="38" spans="2:69" x14ac:dyDescent="0.15">
      <c r="C38" s="161" t="s">
        <v>2</v>
      </c>
      <c r="E38" s="161" t="s">
        <v>2</v>
      </c>
      <c r="G38" s="161" t="s">
        <v>2</v>
      </c>
      <c r="H38" s="161" t="s">
        <v>2</v>
      </c>
      <c r="U38" s="315"/>
      <c r="AG38" s="315"/>
      <c r="AJ38" s="315"/>
      <c r="AM38" s="315"/>
    </row>
    <row r="39" spans="2:69" x14ac:dyDescent="0.15">
      <c r="H39" s="161" t="s">
        <v>2</v>
      </c>
      <c r="AG39" s="315"/>
      <c r="AJ39" s="315"/>
      <c r="AM39" s="315"/>
    </row>
    <row r="40" spans="2:69" x14ac:dyDescent="0.15">
      <c r="H40" s="161" t="s">
        <v>2</v>
      </c>
      <c r="AM40" s="315"/>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664"/>
    </row>
  </sheetData>
  <sheetProtection algorithmName="SHA-512" hashValue="yverKb3yjKFx4Ckz//tTGfhJdYJ8py5A+NDitZCOTCir1Pd4mM/OnlLMQ/KqsFfc496vQvMQwSanD7NRVjVYzQ==" saltValue="rPH3eJDbxTjkH/LctKWoDA=="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3 H13 K13 N13 Q13 T13 W13 Z13 AC13 AF13 AI13 AL13 E17 H17 K17 N17 Q17 T17 W17 Z17 AC17 AF17 AI17 AL17 E23 H23 K23 N23 Q23 T23 W23 Z23 AC23 AF23 AI23 AL23 E30 H30 K30 N30 Q30 T30 W30 Z30 AC30 AF30 AI30 AL30"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4539-1901-724F-A92C-C69BFDD687E5}">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82" t="str">
        <f>'Coût marchandises vendues'!B2</f>
        <v>Chez Les Petites Gâteries &amp; Cie.</v>
      </c>
      <c r="C2" s="1283"/>
      <c r="AS2" s="1240" t="s">
        <v>42</v>
      </c>
      <c r="AT2" s="367"/>
      <c r="AU2" s="367"/>
      <c r="AV2" s="367"/>
      <c r="AW2" s="367"/>
      <c r="AX2" s="367"/>
      <c r="AY2" s="367"/>
      <c r="AZ2" s="367"/>
      <c r="BA2" s="367"/>
      <c r="BB2" s="367"/>
      <c r="BC2" s="1243" t="s">
        <v>43</v>
      </c>
    </row>
    <row r="3" spans="2:56" ht="20" customHeight="1" x14ac:dyDescent="0.2">
      <c r="B3" s="1284" t="str">
        <f>'Coût marchandises vendues'!B3</f>
        <v xml:space="preserve">États des résultats </v>
      </c>
      <c r="C3" s="1285"/>
      <c r="AS3" s="1241"/>
      <c r="AT3" s="368"/>
      <c r="AU3" s="368"/>
      <c r="AV3" s="368"/>
      <c r="AW3" s="368"/>
      <c r="AX3" s="368"/>
      <c r="AY3" s="368"/>
      <c r="AZ3" s="368"/>
      <c r="BA3" s="368"/>
      <c r="BB3" s="368"/>
      <c r="BC3" s="1244"/>
    </row>
    <row r="4" spans="2:56" ht="20" customHeight="1" thickBot="1" x14ac:dyDescent="0.3">
      <c r="B4" s="1286" t="str">
        <f>'Coût marchandises vendues'!B4</f>
        <v>Pour la période du 1er janvier 2021 au 31 décembre 2021</v>
      </c>
      <c r="C4" s="1287"/>
      <c r="AS4" s="1241"/>
      <c r="AT4" s="369" t="str">
        <f>'Formule pour le calcul D'!BA103</f>
        <v>Coût annuel</v>
      </c>
      <c r="AU4" s="369" t="s">
        <v>44</v>
      </c>
      <c r="AV4" s="369" t="str">
        <f>'Formule pour le calcul D'!BC103</f>
        <v>Achalandage annuelle</v>
      </c>
      <c r="AW4" s="369" t="s">
        <v>45</v>
      </c>
      <c r="AX4" s="369" t="s">
        <v>46</v>
      </c>
      <c r="AY4" s="369" t="str">
        <f>'Formule pour le calcul D'!BF103</f>
        <v>Um/A</v>
      </c>
      <c r="AZ4" s="369" t="s">
        <v>45</v>
      </c>
      <c r="BA4" s="369" t="str">
        <f>'Formule pour le calcul D'!BH103</f>
        <v>CmO</v>
      </c>
      <c r="BB4" s="369" t="s">
        <v>49</v>
      </c>
      <c r="BC4" s="1244"/>
    </row>
    <row r="5" spans="2:56" ht="21" thickTop="1" thickBot="1" x14ac:dyDescent="0.3">
      <c r="AS5" s="1241"/>
      <c r="AT5" s="370" t="s">
        <v>2</v>
      </c>
      <c r="AU5" s="371"/>
      <c r="AV5" s="370"/>
      <c r="AW5" s="371"/>
      <c r="AX5" s="371"/>
      <c r="AY5" s="371"/>
      <c r="AZ5" s="371"/>
      <c r="BA5" s="371"/>
      <c r="BB5" s="371"/>
      <c r="BC5" s="1244"/>
    </row>
    <row r="6" spans="2:56" ht="27" thickTop="1" x14ac:dyDescent="0.3">
      <c r="B6" s="1293" t="str">
        <f>'État des Résultats'!C6</f>
        <v>Nb de places</v>
      </c>
      <c r="C6" s="1294"/>
      <c r="E6" s="638" t="str">
        <f>'Coût d''occupation '!E6</f>
        <v>Coût / place / jour</v>
      </c>
      <c r="F6" s="639">
        <f>+E24/$B$7/31</f>
        <v>3.225806451612903</v>
      </c>
      <c r="G6" s="170"/>
      <c r="H6" s="638" t="str">
        <f>+E6</f>
        <v>Coût / place / jour</v>
      </c>
      <c r="I6" s="639">
        <f>+H24/$B$7/28</f>
        <v>3.5714285714285716</v>
      </c>
      <c r="J6" s="170"/>
      <c r="K6" s="638" t="str">
        <f>+H6</f>
        <v>Coût / place / jour</v>
      </c>
      <c r="L6" s="639">
        <f>+K24/$B$7/31</f>
        <v>3.225806451612903</v>
      </c>
      <c r="M6" s="170"/>
      <c r="N6" s="638" t="str">
        <f>+K6</f>
        <v>Coût / place / jour</v>
      </c>
      <c r="O6" s="639">
        <f>+N24/$B$7/30</f>
        <v>3.3333333333333335</v>
      </c>
      <c r="P6" s="423"/>
      <c r="Q6" s="638" t="str">
        <f>+N6</f>
        <v>Coût / place / jour</v>
      </c>
      <c r="R6" s="639">
        <f>+Q24/$B$7/31</f>
        <v>3.225806451612903</v>
      </c>
      <c r="S6" s="423"/>
      <c r="T6" s="638" t="str">
        <f>+Q6</f>
        <v>Coût / place / jour</v>
      </c>
      <c r="U6" s="639">
        <f>+T24/$B$7/30</f>
        <v>3.3333333333333335</v>
      </c>
      <c r="V6" s="170"/>
      <c r="W6" s="638" t="str">
        <f>+T6</f>
        <v>Coût / place / jour</v>
      </c>
      <c r="X6" s="639">
        <f>+W24/$B$7/31</f>
        <v>3.225806451612903</v>
      </c>
      <c r="Y6" s="170"/>
      <c r="Z6" s="638" t="str">
        <f>+W6</f>
        <v>Coût / place / jour</v>
      </c>
      <c r="AA6" s="639">
        <f>+Z24/$B$7/31</f>
        <v>3.225806451612903</v>
      </c>
      <c r="AB6" s="170"/>
      <c r="AC6" s="638" t="str">
        <f>+Z6</f>
        <v>Coût / place / jour</v>
      </c>
      <c r="AD6" s="639">
        <f>+AC24/$B$7/30</f>
        <v>3.3333333333333335</v>
      </c>
      <c r="AE6" s="170"/>
      <c r="AF6" s="638" t="str">
        <f>+AC6</f>
        <v>Coût / place / jour</v>
      </c>
      <c r="AG6" s="639">
        <f>+AF24/$B$7/31</f>
        <v>3.225806451612903</v>
      </c>
      <c r="AH6" s="170"/>
      <c r="AI6" s="638" t="str">
        <f>+AF6</f>
        <v>Coût / place / jour</v>
      </c>
      <c r="AJ6" s="639">
        <f>+AI24/$B$7/30</f>
        <v>3.3333333333333335</v>
      </c>
      <c r="AK6" s="170"/>
      <c r="AL6" s="638" t="str">
        <f>+AI6</f>
        <v>Coût / place / jour</v>
      </c>
      <c r="AM6" s="639">
        <f>+AL24/$B$7/31</f>
        <v>3.225806451612903</v>
      </c>
      <c r="AN6" s="170"/>
      <c r="AO6" s="170"/>
      <c r="AP6" s="640" t="str">
        <f>+AL6</f>
        <v>Coût / place / jour</v>
      </c>
      <c r="AQ6" s="641">
        <f>+AP24/$B$7/365</f>
        <v>3.2876712328767121</v>
      </c>
      <c r="AS6" s="1241"/>
      <c r="AT6" s="630" t="str">
        <f>'Formule pour le calcul D'!BA105</f>
        <v xml:space="preserve">C </v>
      </c>
      <c r="AU6" s="373"/>
      <c r="AV6" s="372" t="str">
        <f>'Formule pour le calcul D'!BC105</f>
        <v>A</v>
      </c>
      <c r="AW6" s="373"/>
      <c r="AX6" s="373"/>
      <c r="AY6" s="372" t="str">
        <f>AY4</f>
        <v>Um/A</v>
      </c>
      <c r="AZ6" s="373"/>
      <c r="BA6" s="372" t="str">
        <f>BA4</f>
        <v>CmO</v>
      </c>
      <c r="BB6" s="373"/>
      <c r="BC6" s="1244"/>
    </row>
    <row r="7" spans="2:56" ht="21" x14ac:dyDescent="0.25">
      <c r="B7" s="1295">
        <f>'État des Résultats'!C7</f>
        <v>1</v>
      </c>
      <c r="C7" s="1296"/>
      <c r="E7" s="425">
        <f>+E24/$AP24</f>
        <v>8.3333333333333329E-2</v>
      </c>
      <c r="F7" s="642"/>
      <c r="H7" s="425">
        <f>+H24/$AP24</f>
        <v>8.3333333333333329E-2</v>
      </c>
      <c r="I7" s="642"/>
      <c r="K7" s="425">
        <f>+K24/$AP24</f>
        <v>8.3333333333333329E-2</v>
      </c>
      <c r="L7" s="426"/>
      <c r="N7" s="425">
        <f>+N24/$AP24</f>
        <v>8.3333333333333329E-2</v>
      </c>
      <c r="O7" s="426"/>
      <c r="P7" s="643"/>
      <c r="Q7" s="425">
        <f>+Q24/$AP24</f>
        <v>8.3333333333333329E-2</v>
      </c>
      <c r="R7" s="426"/>
      <c r="S7" s="643"/>
      <c r="T7" s="425">
        <f>+T24/$AP24</f>
        <v>8.3333333333333329E-2</v>
      </c>
      <c r="U7" s="426"/>
      <c r="W7" s="425">
        <f>+W24/$AP24</f>
        <v>8.3333333333333329E-2</v>
      </c>
      <c r="X7" s="426"/>
      <c r="Z7" s="425">
        <f>+Z24/$AP24</f>
        <v>8.3333333333333329E-2</v>
      </c>
      <c r="AA7" s="426"/>
      <c r="AC7" s="425">
        <f>+AC24/$AP24</f>
        <v>8.3333333333333329E-2</v>
      </c>
      <c r="AD7" s="426"/>
      <c r="AF7" s="425">
        <f>+AF24/$AP24</f>
        <v>8.3333333333333329E-2</v>
      </c>
      <c r="AG7" s="426"/>
      <c r="AI7" s="425">
        <f>+AI24/$AP24</f>
        <v>8.3333333333333329E-2</v>
      </c>
      <c r="AJ7" s="426"/>
      <c r="AL7" s="425">
        <f>+AL24/$AP24</f>
        <v>8.3333333333333329E-2</v>
      </c>
      <c r="AM7" s="426"/>
      <c r="AP7" s="644">
        <f>+AP24/$AP24</f>
        <v>1</v>
      </c>
      <c r="AQ7" s="645" t="s">
        <v>136</v>
      </c>
      <c r="AS7" s="1241"/>
      <c r="AT7" s="631">
        <f>AP24</f>
        <v>1200</v>
      </c>
      <c r="AU7" s="369" t="s">
        <v>44</v>
      </c>
      <c r="AV7" s="632">
        <f>'Formule pour le calcul D'!G114</f>
        <v>52000</v>
      </c>
      <c r="AW7" s="369" t="s">
        <v>45</v>
      </c>
      <c r="AX7" s="369" t="s">
        <v>46</v>
      </c>
      <c r="AY7" s="633">
        <f>'Formule pour le calcul D'!J106</f>
        <v>2</v>
      </c>
      <c r="AZ7" s="369" t="s">
        <v>45</v>
      </c>
      <c r="BA7" s="634">
        <f>AT7/AV7/AY7</f>
        <v>1.1538461538461539E-2</v>
      </c>
      <c r="BB7" s="369" t="s">
        <v>49</v>
      </c>
      <c r="BC7" s="1244"/>
    </row>
    <row r="8" spans="2:56" ht="17" thickBot="1" x14ac:dyDescent="0.25">
      <c r="B8" s="1297" t="s">
        <v>283</v>
      </c>
      <c r="C8" s="1296"/>
      <c r="E8" s="647" t="str">
        <f>'État des Résultats'!E8</f>
        <v>Pér.01</v>
      </c>
      <c r="F8" s="646" t="s">
        <v>138</v>
      </c>
      <c r="G8" s="383"/>
      <c r="H8" s="647" t="str">
        <f>'État des Résultats'!H8</f>
        <v>Pér.02</v>
      </c>
      <c r="I8" s="646" t="s">
        <v>138</v>
      </c>
      <c r="J8" s="383"/>
      <c r="K8" s="647" t="str">
        <f>'État des Résultats'!K8</f>
        <v>Pér.03</v>
      </c>
      <c r="L8" s="646" t="s">
        <v>138</v>
      </c>
      <c r="M8" s="383"/>
      <c r="N8" s="647" t="str">
        <f>'État des Résultats'!N8</f>
        <v>Pér.04</v>
      </c>
      <c r="O8" s="646" t="s">
        <v>138</v>
      </c>
      <c r="P8" s="427"/>
      <c r="Q8" s="647" t="str">
        <f>'État des Résultats'!Q8</f>
        <v>Pér.05</v>
      </c>
      <c r="R8" s="646" t="s">
        <v>138</v>
      </c>
      <c r="S8" s="427"/>
      <c r="T8" s="647" t="str">
        <f>'État des Résultats'!T8</f>
        <v>Pér.06</v>
      </c>
      <c r="U8" s="646" t="s">
        <v>138</v>
      </c>
      <c r="V8" s="383"/>
      <c r="W8" s="647" t="str">
        <f>'État des Résultats'!W8</f>
        <v>Pér.07</v>
      </c>
      <c r="X8" s="646" t="s">
        <v>138</v>
      </c>
      <c r="Y8" s="383"/>
      <c r="Z8" s="647" t="str">
        <f>'État des Résultats'!Z8</f>
        <v>Pér.08</v>
      </c>
      <c r="AA8" s="646" t="s">
        <v>138</v>
      </c>
      <c r="AB8" s="383"/>
      <c r="AC8" s="647" t="str">
        <f>'État des Résultats'!AC8</f>
        <v>Pér.09</v>
      </c>
      <c r="AD8" s="646" t="s">
        <v>138</v>
      </c>
      <c r="AE8" s="383"/>
      <c r="AF8" s="647" t="str">
        <f>'État des Résultats'!AF8</f>
        <v>Pér.10</v>
      </c>
      <c r="AG8" s="646" t="s">
        <v>138</v>
      </c>
      <c r="AH8" s="383"/>
      <c r="AI8" s="647" t="str">
        <f>'État des Résultats'!AI8</f>
        <v>Pér.11</v>
      </c>
      <c r="AJ8" s="646" t="s">
        <v>138</v>
      </c>
      <c r="AK8" s="383"/>
      <c r="AL8" s="647" t="str">
        <f>'État des Résultats'!AL8</f>
        <v>Pér.12</v>
      </c>
      <c r="AM8" s="646" t="s">
        <v>138</v>
      </c>
      <c r="AN8" s="648" t="s">
        <v>2</v>
      </c>
      <c r="AO8" s="383"/>
      <c r="AP8" s="649" t="str">
        <f>'État des Résultats'!AP8</f>
        <v>Total</v>
      </c>
      <c r="AQ8" s="646" t="s">
        <v>138</v>
      </c>
      <c r="AS8" s="1242"/>
      <c r="AT8" s="374"/>
      <c r="AU8" s="374"/>
      <c r="AV8" s="374"/>
      <c r="AW8" s="374"/>
      <c r="AX8" s="374"/>
      <c r="AY8" s="374"/>
      <c r="AZ8" s="374"/>
      <c r="BA8" s="374"/>
      <c r="BB8" s="374"/>
      <c r="BC8" s="1245"/>
    </row>
    <row r="9" spans="2:56" ht="15" thickTop="1" thickBot="1" x14ac:dyDescent="0.2">
      <c r="B9" s="1291">
        <f>AP24/$B$7</f>
        <v>1200</v>
      </c>
      <c r="C9" s="1292"/>
      <c r="E9" s="693" t="s">
        <v>284</v>
      </c>
      <c r="F9" s="694"/>
      <c r="G9" s="695"/>
      <c r="H9" s="696" t="s">
        <v>285</v>
      </c>
      <c r="I9" s="697"/>
      <c r="J9" s="698"/>
      <c r="K9" s="696" t="s">
        <v>286</v>
      </c>
      <c r="L9" s="697"/>
      <c r="M9" s="698"/>
      <c r="N9" s="693" t="s">
        <v>287</v>
      </c>
      <c r="O9" s="699"/>
      <c r="P9" s="700"/>
      <c r="Q9" s="693" t="s">
        <v>288</v>
      </c>
      <c r="R9" s="699"/>
      <c r="S9" s="700"/>
      <c r="T9" s="696" t="s">
        <v>289</v>
      </c>
      <c r="U9" s="697"/>
      <c r="V9" s="698"/>
      <c r="W9" s="696" t="s">
        <v>290</v>
      </c>
      <c r="X9" s="697"/>
      <c r="Y9" s="698"/>
      <c r="Z9" s="696" t="s">
        <v>291</v>
      </c>
      <c r="AA9" s="697"/>
      <c r="AB9" s="698"/>
      <c r="AC9" s="696" t="s">
        <v>292</v>
      </c>
      <c r="AD9" s="697"/>
      <c r="AE9" s="698"/>
      <c r="AF9" s="696" t="s">
        <v>293</v>
      </c>
      <c r="AG9" s="697"/>
      <c r="AH9" s="698"/>
      <c r="AI9" s="696" t="s">
        <v>294</v>
      </c>
      <c r="AJ9" s="697"/>
      <c r="AK9" s="698"/>
      <c r="AL9" s="696" t="s">
        <v>295</v>
      </c>
      <c r="AM9" s="697"/>
      <c r="AN9" s="698"/>
      <c r="AO9" s="698"/>
      <c r="AP9" s="701" t="s">
        <v>296</v>
      </c>
      <c r="AQ9" s="702"/>
      <c r="AR9" s="703"/>
      <c r="AS9" s="703"/>
      <c r="AT9" s="650"/>
      <c r="AU9" s="650"/>
      <c r="AV9" s="650"/>
      <c r="AW9" s="650"/>
      <c r="AX9" s="650"/>
      <c r="AY9" s="650"/>
      <c r="AZ9" s="650"/>
    </row>
    <row r="10" spans="2:56" ht="15" thickTop="1" thickBot="1" x14ac:dyDescent="0.2">
      <c r="D10" s="251"/>
      <c r="G10" s="389"/>
      <c r="J10" s="389"/>
      <c r="M10" s="389"/>
      <c r="P10" s="434"/>
      <c r="S10" s="434"/>
      <c r="V10" s="389"/>
      <c r="Y10" s="187"/>
      <c r="AB10" s="389"/>
      <c r="AE10" s="389"/>
      <c r="AH10" s="389"/>
      <c r="AK10" s="389"/>
      <c r="AN10" s="389"/>
      <c r="AO10" s="389"/>
      <c r="AR10" s="170"/>
      <c r="AS10" s="170"/>
      <c r="AT10" s="170"/>
    </row>
    <row r="11" spans="2:56" ht="14" thickTop="1" x14ac:dyDescent="0.15">
      <c r="B11" s="651"/>
      <c r="C11" s="712" t="s">
        <v>297</v>
      </c>
      <c r="E11" s="651"/>
      <c r="F11" s="652"/>
      <c r="H11" s="651"/>
      <c r="I11" s="652"/>
      <c r="K11" s="651"/>
      <c r="L11" s="652"/>
      <c r="N11" s="651"/>
      <c r="O11" s="652"/>
      <c r="Q11" s="651"/>
      <c r="R11" s="652"/>
      <c r="T11" s="651"/>
      <c r="U11" s="652"/>
      <c r="W11" s="651"/>
      <c r="X11" s="652"/>
      <c r="Z11" s="651"/>
      <c r="AA11" s="652"/>
      <c r="AC11" s="651"/>
      <c r="AD11" s="652"/>
      <c r="AF11" s="651"/>
      <c r="AG11" s="652"/>
      <c r="AI11" s="651"/>
      <c r="AJ11" s="652"/>
      <c r="AL11" s="651"/>
      <c r="AM11" s="652"/>
      <c r="AP11" s="614"/>
      <c r="AQ11" s="616"/>
      <c r="AR11" s="187"/>
      <c r="AS11" s="187"/>
      <c r="AT11" s="187"/>
      <c r="AU11" s="187"/>
      <c r="AV11" s="187"/>
      <c r="AW11" s="187"/>
      <c r="AX11" s="187"/>
      <c r="AY11" s="187"/>
      <c r="AZ11" s="187"/>
      <c r="BA11" s="187"/>
      <c r="BB11" s="187"/>
      <c r="BC11" s="187"/>
      <c r="BD11" s="187"/>
    </row>
    <row r="12" spans="2:56" x14ac:dyDescent="0.15">
      <c r="B12" s="190"/>
      <c r="C12" s="653"/>
      <c r="E12" s="190"/>
      <c r="F12" s="392"/>
      <c r="H12" s="190"/>
      <c r="I12" s="392"/>
      <c r="K12" s="190"/>
      <c r="L12" s="392"/>
      <c r="N12" s="190"/>
      <c r="O12" s="392"/>
      <c r="Q12" s="190"/>
      <c r="R12" s="392"/>
      <c r="T12" s="190"/>
      <c r="U12" s="392"/>
      <c r="W12" s="190"/>
      <c r="X12" s="392"/>
      <c r="Z12" s="190"/>
      <c r="AA12" s="392"/>
      <c r="AC12" s="190"/>
      <c r="AD12" s="392"/>
      <c r="AF12" s="190"/>
      <c r="AG12" s="392"/>
      <c r="AI12" s="190"/>
      <c r="AJ12" s="392"/>
      <c r="AL12" s="190"/>
      <c r="AM12" s="191"/>
      <c r="AP12" s="193"/>
      <c r="AQ12" s="495"/>
      <c r="AR12" s="187"/>
      <c r="AS12" s="187"/>
      <c r="AT12" s="187"/>
      <c r="AU12" s="187"/>
      <c r="AV12" s="187"/>
      <c r="AW12" s="187"/>
      <c r="AX12" s="187"/>
      <c r="AY12" s="187"/>
      <c r="AZ12" s="187"/>
      <c r="BA12" s="187"/>
      <c r="BB12" s="187"/>
      <c r="BC12" s="187"/>
      <c r="BD12" s="187"/>
    </row>
    <row r="13" spans="2:56" x14ac:dyDescent="0.15">
      <c r="B13" s="654">
        <v>7505</v>
      </c>
      <c r="C13" s="392" t="s">
        <v>298</v>
      </c>
      <c r="E13" s="812">
        <v>0</v>
      </c>
      <c r="F13" s="655">
        <f t="shared" ref="F13:F22" si="0">E13/E$24</f>
        <v>0</v>
      </c>
      <c r="H13" s="812">
        <v>0</v>
      </c>
      <c r="I13" s="655">
        <f t="shared" ref="I13:I22" si="1">H13/H$24</f>
        <v>0</v>
      </c>
      <c r="K13" s="812">
        <v>0</v>
      </c>
      <c r="L13" s="655">
        <f t="shared" ref="L13:L22" si="2">K13/K$24</f>
        <v>0</v>
      </c>
      <c r="N13" s="812">
        <v>0</v>
      </c>
      <c r="O13" s="655">
        <f t="shared" ref="O13:O22" si="3">N13/N$24</f>
        <v>0</v>
      </c>
      <c r="Q13" s="812">
        <v>0</v>
      </c>
      <c r="R13" s="655">
        <f t="shared" ref="R13:R22" si="4">Q13/Q$24</f>
        <v>0</v>
      </c>
      <c r="T13" s="812">
        <v>0</v>
      </c>
      <c r="U13" s="655">
        <f t="shared" ref="U13:U22" si="5">T13/T$24</f>
        <v>0</v>
      </c>
      <c r="W13" s="812">
        <v>0</v>
      </c>
      <c r="X13" s="655">
        <f t="shared" ref="X13:X22" si="6">W13/W$24</f>
        <v>0</v>
      </c>
      <c r="Z13" s="812">
        <v>0</v>
      </c>
      <c r="AA13" s="655">
        <f t="shared" ref="AA13:AA22" si="7">Z13/Z$24</f>
        <v>0</v>
      </c>
      <c r="AC13" s="812">
        <v>0</v>
      </c>
      <c r="AD13" s="655">
        <f t="shared" ref="AD13:AD22" si="8">AC13/AC$24</f>
        <v>0</v>
      </c>
      <c r="AF13" s="812">
        <v>0</v>
      </c>
      <c r="AG13" s="655">
        <f t="shared" ref="AG13:AG22" si="9">AF13/AF$24</f>
        <v>0</v>
      </c>
      <c r="AI13" s="812">
        <v>0</v>
      </c>
      <c r="AJ13" s="655">
        <f t="shared" ref="AJ13:AJ22" si="10">AI13/AI$24</f>
        <v>0</v>
      </c>
      <c r="AL13" s="812">
        <v>0</v>
      </c>
      <c r="AM13" s="655">
        <f t="shared" ref="AM13:AM22" si="11">AL13/AL$24</f>
        <v>0</v>
      </c>
      <c r="AP13" s="815">
        <f>SUM(+$AL13+$AI13+$AF13+$AC13+$Z13+$W13+$T13+$Q13+$N13+$K13+$H13+$E13)</f>
        <v>0</v>
      </c>
      <c r="AQ13" s="657">
        <f t="shared" ref="AQ13:AQ22" si="12">AP13/AP$24</f>
        <v>0</v>
      </c>
    </row>
    <row r="14" spans="2:56" x14ac:dyDescent="0.15">
      <c r="B14" s="654">
        <v>7510</v>
      </c>
      <c r="C14" s="392" t="s">
        <v>299</v>
      </c>
      <c r="E14" s="812">
        <v>0</v>
      </c>
      <c r="F14" s="658">
        <f t="shared" si="0"/>
        <v>0</v>
      </c>
      <c r="H14" s="812">
        <v>0</v>
      </c>
      <c r="I14" s="658">
        <f t="shared" si="1"/>
        <v>0</v>
      </c>
      <c r="K14" s="812">
        <v>0</v>
      </c>
      <c r="L14" s="658">
        <f t="shared" si="2"/>
        <v>0</v>
      </c>
      <c r="N14" s="812">
        <v>0</v>
      </c>
      <c r="O14" s="658">
        <f t="shared" si="3"/>
        <v>0</v>
      </c>
      <c r="Q14" s="812">
        <v>0</v>
      </c>
      <c r="R14" s="658">
        <f t="shared" si="4"/>
        <v>0</v>
      </c>
      <c r="T14" s="812">
        <v>0</v>
      </c>
      <c r="U14" s="658">
        <f t="shared" si="5"/>
        <v>0</v>
      </c>
      <c r="W14" s="812">
        <v>0</v>
      </c>
      <c r="X14" s="658">
        <f t="shared" si="6"/>
        <v>0</v>
      </c>
      <c r="Z14" s="812">
        <v>0</v>
      </c>
      <c r="AA14" s="658">
        <f t="shared" si="7"/>
        <v>0</v>
      </c>
      <c r="AC14" s="812">
        <v>0</v>
      </c>
      <c r="AD14" s="658">
        <f t="shared" si="8"/>
        <v>0</v>
      </c>
      <c r="AF14" s="812">
        <v>0</v>
      </c>
      <c r="AG14" s="658">
        <f t="shared" si="9"/>
        <v>0</v>
      </c>
      <c r="AI14" s="812">
        <v>0</v>
      </c>
      <c r="AJ14" s="658">
        <f t="shared" si="10"/>
        <v>0</v>
      </c>
      <c r="AL14" s="812">
        <v>0</v>
      </c>
      <c r="AM14" s="658">
        <f t="shared" si="11"/>
        <v>0</v>
      </c>
      <c r="AP14" s="815">
        <f>SUM(+$AL14+$AI14+$AF14+$AC14+$Z14+$W14+$T14+$Q14+$N14+$K14+$H14+$E14)</f>
        <v>0</v>
      </c>
      <c r="AQ14" s="704">
        <f t="shared" si="12"/>
        <v>0</v>
      </c>
    </row>
    <row r="15" spans="2:56" x14ac:dyDescent="0.15">
      <c r="B15" s="654">
        <v>7520</v>
      </c>
      <c r="C15" s="392" t="s">
        <v>570</v>
      </c>
      <c r="E15" s="812">
        <v>0</v>
      </c>
      <c r="F15" s="658">
        <f t="shared" si="0"/>
        <v>0</v>
      </c>
      <c r="G15" s="659" t="s">
        <v>2</v>
      </c>
      <c r="H15" s="812">
        <v>0</v>
      </c>
      <c r="I15" s="658">
        <f t="shared" si="1"/>
        <v>0</v>
      </c>
      <c r="K15" s="812">
        <v>0</v>
      </c>
      <c r="L15" s="658">
        <f t="shared" si="2"/>
        <v>0</v>
      </c>
      <c r="N15" s="812">
        <v>0</v>
      </c>
      <c r="O15" s="658">
        <f t="shared" si="3"/>
        <v>0</v>
      </c>
      <c r="Q15" s="812">
        <v>0</v>
      </c>
      <c r="R15" s="658">
        <f t="shared" si="4"/>
        <v>0</v>
      </c>
      <c r="T15" s="812">
        <v>0</v>
      </c>
      <c r="U15" s="658">
        <f t="shared" si="5"/>
        <v>0</v>
      </c>
      <c r="W15" s="812">
        <v>0</v>
      </c>
      <c r="X15" s="658">
        <f t="shared" si="6"/>
        <v>0</v>
      </c>
      <c r="Z15" s="812">
        <v>0</v>
      </c>
      <c r="AA15" s="658">
        <f t="shared" si="7"/>
        <v>0</v>
      </c>
      <c r="AC15" s="812">
        <v>0</v>
      </c>
      <c r="AD15" s="658">
        <f t="shared" si="8"/>
        <v>0</v>
      </c>
      <c r="AF15" s="812">
        <v>0</v>
      </c>
      <c r="AG15" s="658">
        <f t="shared" si="9"/>
        <v>0</v>
      </c>
      <c r="AI15" s="812">
        <v>0</v>
      </c>
      <c r="AJ15" s="658">
        <f t="shared" si="10"/>
        <v>0</v>
      </c>
      <c r="AL15" s="812">
        <v>0</v>
      </c>
      <c r="AM15" s="658">
        <f t="shared" si="11"/>
        <v>0</v>
      </c>
      <c r="AP15" s="815">
        <f t="shared" ref="AP15:AP22" si="13">SUM(+$AL15+$AI15+$AF15+$AC15+$Z15+$W15+$T15+$Q15+$N15+$K15+$H15+$E15)</f>
        <v>0</v>
      </c>
      <c r="AQ15" s="704">
        <f t="shared" si="12"/>
        <v>0</v>
      </c>
    </row>
    <row r="16" spans="2:56" x14ac:dyDescent="0.15">
      <c r="B16" s="654">
        <v>7525</v>
      </c>
      <c r="C16" s="392" t="s">
        <v>300</v>
      </c>
      <c r="E16" s="812">
        <v>0</v>
      </c>
      <c r="F16" s="658">
        <f t="shared" si="0"/>
        <v>0</v>
      </c>
      <c r="H16" s="812">
        <v>0</v>
      </c>
      <c r="I16" s="658">
        <f t="shared" si="1"/>
        <v>0</v>
      </c>
      <c r="K16" s="812">
        <v>0</v>
      </c>
      <c r="L16" s="658">
        <f t="shared" si="2"/>
        <v>0</v>
      </c>
      <c r="N16" s="812">
        <v>0</v>
      </c>
      <c r="O16" s="658">
        <f t="shared" si="3"/>
        <v>0</v>
      </c>
      <c r="Q16" s="812">
        <v>0</v>
      </c>
      <c r="R16" s="658">
        <f t="shared" si="4"/>
        <v>0</v>
      </c>
      <c r="T16" s="812">
        <v>0</v>
      </c>
      <c r="U16" s="658">
        <f t="shared" si="5"/>
        <v>0</v>
      </c>
      <c r="W16" s="812">
        <v>0</v>
      </c>
      <c r="X16" s="658">
        <f t="shared" si="6"/>
        <v>0</v>
      </c>
      <c r="Z16" s="812">
        <v>0</v>
      </c>
      <c r="AA16" s="658">
        <f t="shared" si="7"/>
        <v>0</v>
      </c>
      <c r="AC16" s="812">
        <v>0</v>
      </c>
      <c r="AD16" s="658">
        <f t="shared" si="8"/>
        <v>0</v>
      </c>
      <c r="AF16" s="812">
        <v>0</v>
      </c>
      <c r="AG16" s="658">
        <f t="shared" si="9"/>
        <v>0</v>
      </c>
      <c r="AI16" s="812">
        <v>0</v>
      </c>
      <c r="AJ16" s="658">
        <f t="shared" si="10"/>
        <v>0</v>
      </c>
      <c r="AL16" s="812">
        <v>0</v>
      </c>
      <c r="AM16" s="658">
        <f t="shared" si="11"/>
        <v>0</v>
      </c>
      <c r="AP16" s="815">
        <f t="shared" si="13"/>
        <v>0</v>
      </c>
      <c r="AQ16" s="704">
        <f t="shared" si="12"/>
        <v>0</v>
      </c>
    </row>
    <row r="17" spans="2:69" x14ac:dyDescent="0.15">
      <c r="B17" s="654">
        <v>7530</v>
      </c>
      <c r="C17" s="392" t="s">
        <v>301</v>
      </c>
      <c r="E17" s="812">
        <v>0</v>
      </c>
      <c r="F17" s="658">
        <f t="shared" si="0"/>
        <v>0</v>
      </c>
      <c r="H17" s="812">
        <v>0</v>
      </c>
      <c r="I17" s="658">
        <f t="shared" si="1"/>
        <v>0</v>
      </c>
      <c r="K17" s="812">
        <v>0</v>
      </c>
      <c r="L17" s="658">
        <f t="shared" si="2"/>
        <v>0</v>
      </c>
      <c r="N17" s="812">
        <v>0</v>
      </c>
      <c r="O17" s="658">
        <f t="shared" si="3"/>
        <v>0</v>
      </c>
      <c r="Q17" s="812">
        <v>0</v>
      </c>
      <c r="R17" s="658">
        <f t="shared" si="4"/>
        <v>0</v>
      </c>
      <c r="T17" s="812">
        <v>0</v>
      </c>
      <c r="U17" s="658">
        <f t="shared" si="5"/>
        <v>0</v>
      </c>
      <c r="W17" s="812">
        <v>0</v>
      </c>
      <c r="X17" s="658">
        <f t="shared" si="6"/>
        <v>0</v>
      </c>
      <c r="Z17" s="812">
        <v>0</v>
      </c>
      <c r="AA17" s="658">
        <f t="shared" si="7"/>
        <v>0</v>
      </c>
      <c r="AC17" s="812">
        <v>0</v>
      </c>
      <c r="AD17" s="658">
        <f t="shared" si="8"/>
        <v>0</v>
      </c>
      <c r="AF17" s="812">
        <v>0</v>
      </c>
      <c r="AG17" s="658">
        <f t="shared" si="9"/>
        <v>0</v>
      </c>
      <c r="AI17" s="812">
        <v>0</v>
      </c>
      <c r="AJ17" s="658">
        <f t="shared" si="10"/>
        <v>0</v>
      </c>
      <c r="AL17" s="812">
        <v>0</v>
      </c>
      <c r="AM17" s="658">
        <f t="shared" si="11"/>
        <v>0</v>
      </c>
      <c r="AP17" s="815">
        <f t="shared" si="13"/>
        <v>0</v>
      </c>
      <c r="AQ17" s="704">
        <f t="shared" si="12"/>
        <v>0</v>
      </c>
    </row>
    <row r="18" spans="2:69" x14ac:dyDescent="0.15">
      <c r="B18" s="654">
        <v>7535</v>
      </c>
      <c r="C18" s="392" t="s">
        <v>302</v>
      </c>
      <c r="E18" s="812">
        <v>0</v>
      </c>
      <c r="F18" s="658">
        <f t="shared" si="0"/>
        <v>0</v>
      </c>
      <c r="H18" s="812">
        <v>0</v>
      </c>
      <c r="I18" s="658">
        <f t="shared" si="1"/>
        <v>0</v>
      </c>
      <c r="K18" s="812">
        <v>0</v>
      </c>
      <c r="L18" s="658">
        <f t="shared" si="2"/>
        <v>0</v>
      </c>
      <c r="N18" s="812">
        <v>0</v>
      </c>
      <c r="O18" s="658">
        <f t="shared" si="3"/>
        <v>0</v>
      </c>
      <c r="Q18" s="812">
        <v>0</v>
      </c>
      <c r="R18" s="658">
        <f t="shared" si="4"/>
        <v>0</v>
      </c>
      <c r="T18" s="812">
        <v>0</v>
      </c>
      <c r="U18" s="658">
        <f t="shared" si="5"/>
        <v>0</v>
      </c>
      <c r="W18" s="812">
        <v>0</v>
      </c>
      <c r="X18" s="658">
        <f t="shared" si="6"/>
        <v>0</v>
      </c>
      <c r="Z18" s="812">
        <v>0</v>
      </c>
      <c r="AA18" s="658">
        <f t="shared" si="7"/>
        <v>0</v>
      </c>
      <c r="AC18" s="812">
        <v>0</v>
      </c>
      <c r="AD18" s="658">
        <f t="shared" si="8"/>
        <v>0</v>
      </c>
      <c r="AF18" s="812">
        <v>0</v>
      </c>
      <c r="AG18" s="658">
        <f t="shared" si="9"/>
        <v>0</v>
      </c>
      <c r="AI18" s="812">
        <v>0</v>
      </c>
      <c r="AJ18" s="658">
        <f t="shared" si="10"/>
        <v>0</v>
      </c>
      <c r="AL18" s="812">
        <v>0</v>
      </c>
      <c r="AM18" s="658">
        <f t="shared" si="11"/>
        <v>0</v>
      </c>
      <c r="AP18" s="815">
        <f t="shared" si="13"/>
        <v>0</v>
      </c>
      <c r="AQ18" s="704">
        <f t="shared" si="12"/>
        <v>0</v>
      </c>
      <c r="AS18" s="209"/>
    </row>
    <row r="19" spans="2:69" x14ac:dyDescent="0.15">
      <c r="B19" s="654">
        <v>7550</v>
      </c>
      <c r="C19" s="392" t="s">
        <v>303</v>
      </c>
      <c r="E19" s="812">
        <v>0</v>
      </c>
      <c r="F19" s="658">
        <f t="shared" si="0"/>
        <v>0</v>
      </c>
      <c r="H19" s="812">
        <v>0</v>
      </c>
      <c r="I19" s="658">
        <f t="shared" si="1"/>
        <v>0</v>
      </c>
      <c r="K19" s="812">
        <v>0</v>
      </c>
      <c r="L19" s="658">
        <f t="shared" si="2"/>
        <v>0</v>
      </c>
      <c r="N19" s="812">
        <v>0</v>
      </c>
      <c r="O19" s="658">
        <f t="shared" si="3"/>
        <v>0</v>
      </c>
      <c r="Q19" s="812">
        <v>0</v>
      </c>
      <c r="R19" s="658">
        <f t="shared" si="4"/>
        <v>0</v>
      </c>
      <c r="T19" s="812">
        <v>0</v>
      </c>
      <c r="U19" s="658">
        <f t="shared" si="5"/>
        <v>0</v>
      </c>
      <c r="W19" s="812">
        <v>0</v>
      </c>
      <c r="X19" s="658">
        <f t="shared" si="6"/>
        <v>0</v>
      </c>
      <c r="Z19" s="812">
        <v>0</v>
      </c>
      <c r="AA19" s="658">
        <f t="shared" si="7"/>
        <v>0</v>
      </c>
      <c r="AC19" s="812">
        <v>0</v>
      </c>
      <c r="AD19" s="658">
        <f t="shared" si="8"/>
        <v>0</v>
      </c>
      <c r="AF19" s="812">
        <v>0</v>
      </c>
      <c r="AG19" s="658">
        <f t="shared" si="9"/>
        <v>0</v>
      </c>
      <c r="AI19" s="812">
        <v>0</v>
      </c>
      <c r="AJ19" s="658">
        <f t="shared" si="10"/>
        <v>0</v>
      </c>
      <c r="AL19" s="812">
        <v>0</v>
      </c>
      <c r="AM19" s="658">
        <f t="shared" si="11"/>
        <v>0</v>
      </c>
      <c r="AP19" s="815">
        <f t="shared" si="13"/>
        <v>0</v>
      </c>
      <c r="AQ19" s="704">
        <f t="shared" si="12"/>
        <v>0</v>
      </c>
    </row>
    <row r="20" spans="2:69" x14ac:dyDescent="0.15">
      <c r="B20" s="654">
        <v>7555</v>
      </c>
      <c r="C20" s="392" t="s">
        <v>304</v>
      </c>
      <c r="E20" s="812">
        <v>0</v>
      </c>
      <c r="F20" s="658">
        <f t="shared" si="0"/>
        <v>0</v>
      </c>
      <c r="H20" s="812">
        <v>0</v>
      </c>
      <c r="I20" s="658">
        <f t="shared" si="1"/>
        <v>0</v>
      </c>
      <c r="K20" s="812">
        <v>0</v>
      </c>
      <c r="L20" s="658">
        <f t="shared" si="2"/>
        <v>0</v>
      </c>
      <c r="N20" s="812">
        <v>0</v>
      </c>
      <c r="O20" s="658">
        <f t="shared" si="3"/>
        <v>0</v>
      </c>
      <c r="Q20" s="812">
        <v>0</v>
      </c>
      <c r="R20" s="658">
        <f t="shared" si="4"/>
        <v>0</v>
      </c>
      <c r="T20" s="812">
        <v>0</v>
      </c>
      <c r="U20" s="658">
        <f t="shared" si="5"/>
        <v>0</v>
      </c>
      <c r="W20" s="812">
        <v>0</v>
      </c>
      <c r="X20" s="658">
        <f t="shared" si="6"/>
        <v>0</v>
      </c>
      <c r="Z20" s="812">
        <v>0</v>
      </c>
      <c r="AA20" s="658">
        <f t="shared" si="7"/>
        <v>0</v>
      </c>
      <c r="AC20" s="812">
        <v>0</v>
      </c>
      <c r="AD20" s="658">
        <f t="shared" si="8"/>
        <v>0</v>
      </c>
      <c r="AF20" s="812">
        <v>0</v>
      </c>
      <c r="AG20" s="658">
        <f t="shared" si="9"/>
        <v>0</v>
      </c>
      <c r="AI20" s="812">
        <v>0</v>
      </c>
      <c r="AJ20" s="658">
        <f t="shared" si="10"/>
        <v>0</v>
      </c>
      <c r="AL20" s="812">
        <v>0</v>
      </c>
      <c r="AM20" s="658">
        <f t="shared" si="11"/>
        <v>0</v>
      </c>
      <c r="AP20" s="815">
        <f t="shared" si="13"/>
        <v>0</v>
      </c>
      <c r="AQ20" s="704">
        <f t="shared" si="12"/>
        <v>0</v>
      </c>
    </row>
    <row r="21" spans="2:69" x14ac:dyDescent="0.15">
      <c r="B21" s="654">
        <v>7560</v>
      </c>
      <c r="C21" s="392" t="s">
        <v>305</v>
      </c>
      <c r="E21" s="812">
        <v>0</v>
      </c>
      <c r="F21" s="658">
        <f t="shared" si="0"/>
        <v>0</v>
      </c>
      <c r="H21" s="812">
        <v>0</v>
      </c>
      <c r="I21" s="658">
        <f t="shared" si="1"/>
        <v>0</v>
      </c>
      <c r="K21" s="812">
        <v>0</v>
      </c>
      <c r="L21" s="658">
        <f t="shared" si="2"/>
        <v>0</v>
      </c>
      <c r="N21" s="812">
        <v>0</v>
      </c>
      <c r="O21" s="658">
        <f t="shared" si="3"/>
        <v>0</v>
      </c>
      <c r="Q21" s="812">
        <v>0</v>
      </c>
      <c r="R21" s="658">
        <f t="shared" si="4"/>
        <v>0</v>
      </c>
      <c r="T21" s="812">
        <v>0</v>
      </c>
      <c r="U21" s="658">
        <f t="shared" si="5"/>
        <v>0</v>
      </c>
      <c r="W21" s="812">
        <v>0</v>
      </c>
      <c r="X21" s="658">
        <f t="shared" si="6"/>
        <v>0</v>
      </c>
      <c r="Z21" s="812">
        <v>0</v>
      </c>
      <c r="AA21" s="658">
        <f t="shared" si="7"/>
        <v>0</v>
      </c>
      <c r="AC21" s="812">
        <v>0</v>
      </c>
      <c r="AD21" s="658">
        <f t="shared" si="8"/>
        <v>0</v>
      </c>
      <c r="AF21" s="812">
        <v>0</v>
      </c>
      <c r="AG21" s="658">
        <f t="shared" si="9"/>
        <v>0</v>
      </c>
      <c r="AI21" s="812">
        <v>0</v>
      </c>
      <c r="AJ21" s="658">
        <f t="shared" si="10"/>
        <v>0</v>
      </c>
      <c r="AL21" s="812">
        <v>0</v>
      </c>
      <c r="AM21" s="658">
        <f t="shared" si="11"/>
        <v>0</v>
      </c>
      <c r="AP21" s="815">
        <f t="shared" si="13"/>
        <v>0</v>
      </c>
      <c r="AQ21" s="704">
        <f t="shared" si="12"/>
        <v>0</v>
      </c>
    </row>
    <row r="22" spans="2:69" x14ac:dyDescent="0.15">
      <c r="B22" s="654">
        <v>7599</v>
      </c>
      <c r="C22" s="392" t="s">
        <v>306</v>
      </c>
      <c r="E22" s="812">
        <v>100</v>
      </c>
      <c r="F22" s="658">
        <f t="shared" si="0"/>
        <v>1</v>
      </c>
      <c r="H22" s="812">
        <v>100</v>
      </c>
      <c r="I22" s="658">
        <f t="shared" si="1"/>
        <v>1</v>
      </c>
      <c r="K22" s="812">
        <v>100</v>
      </c>
      <c r="L22" s="658">
        <f t="shared" si="2"/>
        <v>1</v>
      </c>
      <c r="N22" s="812">
        <v>100</v>
      </c>
      <c r="O22" s="658">
        <f t="shared" si="3"/>
        <v>1</v>
      </c>
      <c r="Q22" s="812">
        <v>100</v>
      </c>
      <c r="R22" s="658">
        <f t="shared" si="4"/>
        <v>1</v>
      </c>
      <c r="T22" s="812">
        <v>100</v>
      </c>
      <c r="U22" s="658">
        <f t="shared" si="5"/>
        <v>1</v>
      </c>
      <c r="W22" s="812">
        <v>100</v>
      </c>
      <c r="X22" s="658">
        <f t="shared" si="6"/>
        <v>1</v>
      </c>
      <c r="Z22" s="812">
        <v>100</v>
      </c>
      <c r="AA22" s="658">
        <f t="shared" si="7"/>
        <v>1</v>
      </c>
      <c r="AC22" s="812">
        <v>100</v>
      </c>
      <c r="AD22" s="658">
        <f t="shared" si="8"/>
        <v>1</v>
      </c>
      <c r="AF22" s="812">
        <v>100</v>
      </c>
      <c r="AG22" s="658">
        <f t="shared" si="9"/>
        <v>1</v>
      </c>
      <c r="AI22" s="812">
        <v>100</v>
      </c>
      <c r="AJ22" s="658">
        <f t="shared" si="10"/>
        <v>1</v>
      </c>
      <c r="AL22" s="812">
        <v>100</v>
      </c>
      <c r="AM22" s="658">
        <f t="shared" si="11"/>
        <v>1</v>
      </c>
      <c r="AP22" s="815">
        <f t="shared" si="13"/>
        <v>1200</v>
      </c>
      <c r="AQ22" s="704">
        <f t="shared" si="12"/>
        <v>1</v>
      </c>
    </row>
    <row r="23" spans="2:69" ht="14" thickBot="1" x14ac:dyDescent="0.2">
      <c r="B23" s="654"/>
      <c r="C23" s="392"/>
      <c r="E23" s="812"/>
      <c r="F23" s="688"/>
      <c r="H23" s="812"/>
      <c r="I23" s="688"/>
      <c r="K23" s="812"/>
      <c r="L23" s="688"/>
      <c r="N23" s="812"/>
      <c r="O23" s="688"/>
      <c r="Q23" s="812"/>
      <c r="R23" s="688"/>
      <c r="T23" s="812"/>
      <c r="U23" s="688"/>
      <c r="W23" s="812"/>
      <c r="X23" s="688"/>
      <c r="Z23" s="812"/>
      <c r="AA23" s="688"/>
      <c r="AC23" s="812"/>
      <c r="AD23" s="688"/>
      <c r="AF23" s="812"/>
      <c r="AG23" s="688"/>
      <c r="AI23" s="812"/>
      <c r="AJ23" s="688"/>
      <c r="AL23" s="812"/>
      <c r="AM23" s="688"/>
      <c r="AP23" s="815"/>
      <c r="AQ23" s="689"/>
    </row>
    <row r="24" spans="2:69" ht="15" thickTop="1" thickBot="1" x14ac:dyDescent="0.2">
      <c r="B24" s="470">
        <v>7500</v>
      </c>
      <c r="C24" s="471" t="s">
        <v>307</v>
      </c>
      <c r="D24" s="213"/>
      <c r="E24" s="814">
        <f>SUM(E13:E23)</f>
        <v>100</v>
      </c>
      <c r="F24" s="663">
        <f>SUM(F13:F23)</f>
        <v>1</v>
      </c>
      <c r="G24" s="213"/>
      <c r="H24" s="814">
        <f>SUM(H13:H23)</f>
        <v>100</v>
      </c>
      <c r="I24" s="663">
        <f>SUM(I13:I23)</f>
        <v>1</v>
      </c>
      <c r="J24" s="213"/>
      <c r="K24" s="814">
        <f>SUM(K13:K23)</f>
        <v>100</v>
      </c>
      <c r="L24" s="663">
        <f>SUM(L13:L23)</f>
        <v>1</v>
      </c>
      <c r="M24" s="213"/>
      <c r="N24" s="814">
        <f>SUM(N13:N23)</f>
        <v>100</v>
      </c>
      <c r="O24" s="663">
        <f>SUM(O13:O23)</f>
        <v>1</v>
      </c>
      <c r="P24" s="213"/>
      <c r="Q24" s="814">
        <f>SUM(Q13:Q23)</f>
        <v>100</v>
      </c>
      <c r="R24" s="663">
        <f>SUM(R13:R23)</f>
        <v>1</v>
      </c>
      <c r="S24" s="213"/>
      <c r="T24" s="814">
        <f>SUM(T13:T23)</f>
        <v>100</v>
      </c>
      <c r="U24" s="663">
        <f>SUM(U13:U23)</f>
        <v>1</v>
      </c>
      <c r="V24" s="213"/>
      <c r="W24" s="814">
        <f>SUM(W13:W23)</f>
        <v>100</v>
      </c>
      <c r="X24" s="663">
        <f>SUM(X13:X23)</f>
        <v>1</v>
      </c>
      <c r="Y24" s="213"/>
      <c r="Z24" s="814">
        <f>SUM(Z13:Z23)</f>
        <v>100</v>
      </c>
      <c r="AA24" s="663">
        <f>SUM(AA13:AA23)</f>
        <v>1</v>
      </c>
      <c r="AB24" s="213"/>
      <c r="AC24" s="814">
        <f>SUM(AC13:AC23)</f>
        <v>100</v>
      </c>
      <c r="AD24" s="663">
        <f>SUM(AD13:AD23)</f>
        <v>1</v>
      </c>
      <c r="AE24" s="213"/>
      <c r="AF24" s="814">
        <f>SUM(AF13:AF23)</f>
        <v>100</v>
      </c>
      <c r="AG24" s="663">
        <f>SUM(AG13:AG23)</f>
        <v>1</v>
      </c>
      <c r="AH24" s="213"/>
      <c r="AI24" s="814">
        <f>SUM(AI13:AI23)</f>
        <v>100</v>
      </c>
      <c r="AJ24" s="663">
        <f>SUM(AJ13:AJ23)</f>
        <v>1</v>
      </c>
      <c r="AK24" s="213"/>
      <c r="AL24" s="814">
        <f>SUM(AL13:AL23)</f>
        <v>100</v>
      </c>
      <c r="AM24" s="663">
        <f>SUM(AM13:AM23)</f>
        <v>1</v>
      </c>
      <c r="AN24" s="213"/>
      <c r="AO24" s="213"/>
      <c r="AP24" s="814">
        <f>SUM(AP13:AP23)</f>
        <v>1200</v>
      </c>
      <c r="AQ24" s="663">
        <f>SUM(AQ13:AQ23)</f>
        <v>1</v>
      </c>
      <c r="AR24" s="213"/>
      <c r="AS24" s="213"/>
      <c r="AT24" s="213"/>
      <c r="AU24" s="251"/>
    </row>
    <row r="25" spans="2:69" ht="14" thickTop="1" x14ac:dyDescent="0.15">
      <c r="L25" s="315"/>
      <c r="O25" s="315"/>
      <c r="R25" s="315"/>
      <c r="U25" s="315"/>
      <c r="X25" s="315"/>
      <c r="AA25" s="315"/>
      <c r="AD25" s="315"/>
      <c r="AG25" s="315"/>
      <c r="AJ25" s="315"/>
      <c r="AM25" s="315"/>
      <c r="AQ25" s="315"/>
    </row>
    <row r="26" spans="2:69" x14ac:dyDescent="0.15">
      <c r="R26" s="315"/>
      <c r="U26" s="315"/>
      <c r="X26" s="315"/>
      <c r="AD26" s="315"/>
      <c r="AG26" s="315"/>
      <c r="AJ26" s="315"/>
      <c r="AM26" s="315"/>
    </row>
    <row r="27" spans="2:69" x14ac:dyDescent="0.15">
      <c r="U27" s="315"/>
      <c r="AG27" s="315"/>
      <c r="AJ27" s="315"/>
      <c r="AM27" s="315"/>
    </row>
    <row r="28" spans="2:69" x14ac:dyDescent="0.15">
      <c r="C28" s="161" t="s">
        <v>2</v>
      </c>
      <c r="E28" s="161" t="s">
        <v>2</v>
      </c>
      <c r="G28" s="161" t="s">
        <v>2</v>
      </c>
      <c r="H28" s="161" t="s">
        <v>2</v>
      </c>
      <c r="U28" s="315"/>
      <c r="AG28" s="315"/>
      <c r="AJ28" s="315"/>
      <c r="AM28" s="315"/>
    </row>
    <row r="29" spans="2:69" x14ac:dyDescent="0.15">
      <c r="H29" s="161" t="s">
        <v>2</v>
      </c>
      <c r="AG29" s="315"/>
      <c r="AJ29" s="315"/>
      <c r="AM29" s="315"/>
    </row>
    <row r="30" spans="2:69" x14ac:dyDescent="0.15">
      <c r="H30" s="161" t="s">
        <v>2</v>
      </c>
      <c r="AM30" s="315"/>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4"/>
    </row>
  </sheetData>
  <sheetProtection algorithmName="SHA-512" hashValue="9iJzICX+p4tppt3ryi0LM/1ofw9nqgel42+seBJk9K+VAxYNV0xVXbxazCfD99dhU3RwYYZwfCtknSTnmt0aBg==" saltValue="lhmBArF+trm0tXKZYa+5uw==" spinCount="100000" sheet="1" objects="1" scenarios="1"/>
  <mergeCells count="9">
    <mergeCell ref="AS2:AS8"/>
    <mergeCell ref="BC2:BC8"/>
    <mergeCell ref="B9:C9"/>
    <mergeCell ref="B2:C2"/>
    <mergeCell ref="B3:C3"/>
    <mergeCell ref="B4:C4"/>
    <mergeCell ref="B6:C6"/>
    <mergeCell ref="B7:C7"/>
    <mergeCell ref="B8:C8"/>
  </mergeCells>
  <hyperlinks>
    <hyperlink ref="C11" r:id="rId1" xr:uid="{29B484A2-6751-F44A-9402-A26B7F16B843}"/>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5F55-6BF9-3F42-BF02-40976A37002C}">
  <sheetPr>
    <tabColor theme="1"/>
    <pageSetUpPr fitToPage="1"/>
  </sheetPr>
  <dimension ref="B1:BQ44"/>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50.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82" t="str">
        <f>'Coût marchandises vendues'!B2</f>
        <v>Chez Les Petites Gâteries &amp; Cie.</v>
      </c>
      <c r="C2" s="1283"/>
      <c r="AS2" s="1240" t="s">
        <v>42</v>
      </c>
      <c r="AT2" s="367"/>
      <c r="AU2" s="367"/>
      <c r="AV2" s="367"/>
      <c r="AW2" s="367"/>
      <c r="AX2" s="367"/>
      <c r="AY2" s="367"/>
      <c r="AZ2" s="367"/>
      <c r="BA2" s="367"/>
      <c r="BB2" s="367"/>
      <c r="BC2" s="1243" t="s">
        <v>43</v>
      </c>
    </row>
    <row r="3" spans="2:56" ht="20" customHeight="1" x14ac:dyDescent="0.2">
      <c r="B3" s="1284" t="str">
        <f>'Coût marchandises vendues'!B3</f>
        <v xml:space="preserve">États des résultats </v>
      </c>
      <c r="C3" s="1285"/>
      <c r="AS3" s="1241"/>
      <c r="AT3" s="368"/>
      <c r="AU3" s="368"/>
      <c r="AV3" s="368"/>
      <c r="AW3" s="368"/>
      <c r="AX3" s="368"/>
      <c r="AY3" s="368"/>
      <c r="AZ3" s="368"/>
      <c r="BA3" s="368"/>
      <c r="BB3" s="368"/>
      <c r="BC3" s="1244"/>
    </row>
    <row r="4" spans="2:56" ht="20" customHeight="1" thickBot="1" x14ac:dyDescent="0.3">
      <c r="B4" s="1286" t="str">
        <f>'Coût marchandises vendues'!B4</f>
        <v>Pour la période du 1er janvier 2021 au 31 décembre 2021</v>
      </c>
      <c r="C4" s="1287"/>
      <c r="AS4" s="1241"/>
      <c r="AT4" s="369" t="str">
        <f>'Formule pour le calcul D'!BA103</f>
        <v>Coût annuel</v>
      </c>
      <c r="AU4" s="369" t="s">
        <v>44</v>
      </c>
      <c r="AV4" s="369" t="str">
        <f>'Formule pour le calcul D'!BC103</f>
        <v>Achalandage annuelle</v>
      </c>
      <c r="AW4" s="369" t="s">
        <v>45</v>
      </c>
      <c r="AX4" s="369" t="s">
        <v>46</v>
      </c>
      <c r="AY4" s="369" t="str">
        <f>'Formule pour le calcul D'!BF103</f>
        <v>Um/A</v>
      </c>
      <c r="AZ4" s="369" t="s">
        <v>45</v>
      </c>
      <c r="BA4" s="369" t="str">
        <f>'Formule pour le calcul D'!BH103</f>
        <v>CmO</v>
      </c>
      <c r="BB4" s="369" t="s">
        <v>49</v>
      </c>
      <c r="BC4" s="1244"/>
    </row>
    <row r="5" spans="2:56" ht="21" thickTop="1" thickBot="1" x14ac:dyDescent="0.3">
      <c r="AS5" s="1241"/>
      <c r="AT5" s="370" t="s">
        <v>2</v>
      </c>
      <c r="AU5" s="371"/>
      <c r="AV5" s="370"/>
      <c r="AW5" s="371"/>
      <c r="AX5" s="371"/>
      <c r="AY5" s="371"/>
      <c r="AZ5" s="371"/>
      <c r="BA5" s="371"/>
      <c r="BB5" s="371"/>
      <c r="BC5" s="1244"/>
    </row>
    <row r="6" spans="2:56" ht="27" thickTop="1" x14ac:dyDescent="0.3">
      <c r="B6" s="1258" t="str">
        <f>'Coût marchandises vendues'!B6</f>
        <v>Nb de places</v>
      </c>
      <c r="C6" s="1288"/>
      <c r="E6" s="638" t="str">
        <f>'Coût marchandises vendues'!D6</f>
        <v>Coût / place / jour</v>
      </c>
      <c r="F6" s="639">
        <f>+E25/$B$7/'Calendrier 2021'!D8</f>
        <v>58.860215053763447</v>
      </c>
      <c r="G6" s="170"/>
      <c r="H6" s="638" t="str">
        <f>+E6</f>
        <v>Coût / place / jour</v>
      </c>
      <c r="I6" s="639">
        <f>+H25/$B$7/'Calendrier 2021'!E8</f>
        <v>63.164434523809533</v>
      </c>
      <c r="J6" s="170"/>
      <c r="K6" s="638" t="str">
        <f>+H6</f>
        <v>Coût / place / jour</v>
      </c>
      <c r="L6" s="639">
        <f>+K25/$B$7/'Calendrier 2021'!F8</f>
        <v>63.574596774193552</v>
      </c>
      <c r="M6" s="170"/>
      <c r="N6" s="638" t="str">
        <f>+K6</f>
        <v>Coût / place / jour</v>
      </c>
      <c r="O6" s="639">
        <f>+N25/$B$7/'Calendrier 2021'!G8</f>
        <v>66.46041666666666</v>
      </c>
      <c r="P6" s="423"/>
      <c r="Q6" s="638" t="str">
        <f>+N6</f>
        <v>Coût / place / jour</v>
      </c>
      <c r="R6" s="639">
        <f>+Q25/$B$7/'Calendrier 2021'!H8</f>
        <v>69.247311827957006</v>
      </c>
      <c r="S6" s="423"/>
      <c r="T6" s="638" t="str">
        <f>+Q6</f>
        <v>Coût / place / jour</v>
      </c>
      <c r="U6" s="639">
        <f>+T25/$B$7/'Calendrier 2021'!I8</f>
        <v>73.536111111111111</v>
      </c>
      <c r="V6" s="170"/>
      <c r="W6" s="638" t="str">
        <f>+T6</f>
        <v>Coût / place / jour</v>
      </c>
      <c r="X6" s="639">
        <f>+W25/$B$7/'Calendrier 2021'!J8</f>
        <v>73.776209677419359</v>
      </c>
      <c r="Y6" s="170"/>
      <c r="Z6" s="638" t="str">
        <f>+W6</f>
        <v>Coût / place / jour</v>
      </c>
      <c r="AA6" s="639">
        <f>+Z25/$B$7/'Calendrier 2021'!K8</f>
        <v>74.75</v>
      </c>
      <c r="AB6" s="170"/>
      <c r="AC6" s="638" t="str">
        <f>+Z6</f>
        <v>Coût / place / jour</v>
      </c>
      <c r="AD6" s="639">
        <f>+AC25/$B$7/'Calendrier 2021'!L8</f>
        <v>70.629166666666663</v>
      </c>
      <c r="AE6" s="170"/>
      <c r="AF6" s="638" t="str">
        <f>+AC6</f>
        <v>Coût / place / jour</v>
      </c>
      <c r="AG6" s="639">
        <f>+AF25/$B$7/'Calendrier 2021'!M8</f>
        <v>68.412634408602159</v>
      </c>
      <c r="AH6" s="170"/>
      <c r="AI6" s="638" t="str">
        <f>+AF6</f>
        <v>Coût / place / jour</v>
      </c>
      <c r="AJ6" s="639">
        <f>+AI25/$B$7/'Calendrier 2021'!N8</f>
        <v>65.709722222222226</v>
      </c>
      <c r="AK6" s="170"/>
      <c r="AL6" s="638" t="str">
        <f>+AI6</f>
        <v>Coût / place / jour</v>
      </c>
      <c r="AM6" s="639">
        <f>+AL25/$B$7/'Calendrier 2021'!O8</f>
        <v>70.66935483870968</v>
      </c>
      <c r="AN6" s="170"/>
      <c r="AO6" s="170"/>
      <c r="AP6" s="640" t="str">
        <f>+AL6</f>
        <v>Coût / place / jour</v>
      </c>
      <c r="AQ6" s="641">
        <f>+AP25/$B$7/'% Occupation'!P9</f>
        <v>68.264840182648413</v>
      </c>
      <c r="AS6" s="1241"/>
      <c r="AT6" s="630" t="str">
        <f>'Formule pour le calcul D'!BA105</f>
        <v xml:space="preserve">C </v>
      </c>
      <c r="AU6" s="373"/>
      <c r="AV6" s="372" t="str">
        <f>'Formule pour le calcul D'!BC105</f>
        <v>A</v>
      </c>
      <c r="AW6" s="373"/>
      <c r="AX6" s="373"/>
      <c r="AY6" s="372" t="str">
        <f>AY4</f>
        <v>Um/A</v>
      </c>
      <c r="AZ6" s="373"/>
      <c r="BA6" s="372" t="str">
        <f>BA4</f>
        <v>CmO</v>
      </c>
      <c r="BB6" s="373"/>
      <c r="BC6" s="1244"/>
    </row>
    <row r="7" spans="2:56" ht="21" x14ac:dyDescent="0.25">
      <c r="B7" s="1262">
        <f>'État des Résultats'!C7</f>
        <v>1</v>
      </c>
      <c r="C7" s="1289"/>
      <c r="E7" s="425">
        <f>+E25/$AP25</f>
        <v>7.3230769230769224E-2</v>
      </c>
      <c r="F7" s="642"/>
      <c r="H7" s="425">
        <f>+H25/$AP25</f>
        <v>7.0980769230769222E-2</v>
      </c>
      <c r="I7" s="642"/>
      <c r="K7" s="425">
        <f>+K25/$AP25</f>
        <v>7.909615384615383E-2</v>
      </c>
      <c r="L7" s="426"/>
      <c r="N7" s="425">
        <f>+N25/$AP25</f>
        <v>8.0019230769230759E-2</v>
      </c>
      <c r="O7" s="426"/>
      <c r="P7" s="643"/>
      <c r="Q7" s="425">
        <f>+Q25/$AP25</f>
        <v>8.615384615384615E-2</v>
      </c>
      <c r="R7" s="426"/>
      <c r="S7" s="643"/>
      <c r="T7" s="425">
        <f>+T25/$AP25</f>
        <v>8.8538461538461524E-2</v>
      </c>
      <c r="U7" s="426"/>
      <c r="W7" s="425">
        <f>+W25/$AP25</f>
        <v>9.1788461538461527E-2</v>
      </c>
      <c r="X7" s="426"/>
      <c r="Z7" s="425">
        <f>+Z25/$AP25</f>
        <v>9.2999999999999985E-2</v>
      </c>
      <c r="AA7" s="426"/>
      <c r="AC7" s="425">
        <f>+AC25/$AP25</f>
        <v>8.5038461538461521E-2</v>
      </c>
      <c r="AD7" s="426"/>
      <c r="AF7" s="425">
        <f>+AF25/$AP25</f>
        <v>8.5115384615384607E-2</v>
      </c>
      <c r="AG7" s="426"/>
      <c r="AI7" s="425">
        <f>+AI25/$AP25</f>
        <v>7.9115384615384615E-2</v>
      </c>
      <c r="AJ7" s="426"/>
      <c r="AL7" s="425">
        <f>+AL25/$AP25</f>
        <v>8.7923076923076909E-2</v>
      </c>
      <c r="AM7" s="426"/>
      <c r="AP7" s="644">
        <f>+AP25/$AP25</f>
        <v>1</v>
      </c>
      <c r="AQ7" s="645" t="s">
        <v>136</v>
      </c>
      <c r="AS7" s="1241"/>
      <c r="AT7" s="631">
        <f>AP25</f>
        <v>24916.666666666672</v>
      </c>
      <c r="AU7" s="369" t="s">
        <v>44</v>
      </c>
      <c r="AV7" s="632">
        <f>'Formule pour le calcul D'!G114</f>
        <v>52000</v>
      </c>
      <c r="AW7" s="369" t="s">
        <v>45</v>
      </c>
      <c r="AX7" s="369" t="s">
        <v>46</v>
      </c>
      <c r="AY7" s="633">
        <f>'Formule pour le calcul D'!J106</f>
        <v>2</v>
      </c>
      <c r="AZ7" s="369" t="s">
        <v>45</v>
      </c>
      <c r="BA7" s="634">
        <f>AT7/AV7/AY7</f>
        <v>0.23958333333333337</v>
      </c>
      <c r="BB7" s="369" t="s">
        <v>49</v>
      </c>
      <c r="BC7" s="1244"/>
    </row>
    <row r="8" spans="2:56" ht="17" thickBot="1" x14ac:dyDescent="0.25">
      <c r="B8" s="1262" t="s">
        <v>321</v>
      </c>
      <c r="C8" s="1289"/>
      <c r="E8" s="647" t="str">
        <f>'État des Résultats'!E8</f>
        <v>Pér.01</v>
      </c>
      <c r="F8" s="646" t="str">
        <f>'État des Résultats'!F8</f>
        <v>(%)</v>
      </c>
      <c r="G8" s="383"/>
      <c r="H8" s="647" t="str">
        <f>'État des Résultats'!H8</f>
        <v>Pér.02</v>
      </c>
      <c r="I8" s="646" t="str">
        <f>F8</f>
        <v>(%)</v>
      </c>
      <c r="J8" s="383"/>
      <c r="K8" s="647" t="str">
        <f>'État des Résultats'!K8</f>
        <v>Pér.03</v>
      </c>
      <c r="L8" s="646" t="str">
        <f>I8</f>
        <v>(%)</v>
      </c>
      <c r="M8" s="383"/>
      <c r="N8" s="647" t="str">
        <f>'État des Résultats'!N8</f>
        <v>Pér.04</v>
      </c>
      <c r="O8" s="646" t="str">
        <f>L8</f>
        <v>(%)</v>
      </c>
      <c r="P8" s="427"/>
      <c r="Q8" s="647" t="str">
        <f>'État des Résultats'!Q8</f>
        <v>Pér.05</v>
      </c>
      <c r="R8" s="646" t="str">
        <f>O8</f>
        <v>(%)</v>
      </c>
      <c r="S8" s="427"/>
      <c r="T8" s="647" t="str">
        <f>'État des Résultats'!T8</f>
        <v>Pér.06</v>
      </c>
      <c r="U8" s="646" t="str">
        <f>R8</f>
        <v>(%)</v>
      </c>
      <c r="V8" s="383"/>
      <c r="W8" s="647" t="str">
        <f>'État des Résultats'!W8</f>
        <v>Pér.07</v>
      </c>
      <c r="X8" s="646" t="str">
        <f>U8</f>
        <v>(%)</v>
      </c>
      <c r="Y8" s="383"/>
      <c r="Z8" s="647" t="str">
        <f>'État des Résultats'!Z8</f>
        <v>Pér.08</v>
      </c>
      <c r="AA8" s="646" t="str">
        <f>X8</f>
        <v>(%)</v>
      </c>
      <c r="AB8" s="383"/>
      <c r="AC8" s="647" t="str">
        <f>'État des Résultats'!AC8</f>
        <v>Pér.09</v>
      </c>
      <c r="AD8" s="646" t="str">
        <f>AA8</f>
        <v>(%)</v>
      </c>
      <c r="AE8" s="383"/>
      <c r="AF8" s="647" t="str">
        <f>'État des Résultats'!AF8</f>
        <v>Pér.10</v>
      </c>
      <c r="AG8" s="646" t="str">
        <f>AD8</f>
        <v>(%)</v>
      </c>
      <c r="AH8" s="383"/>
      <c r="AI8" s="647" t="str">
        <f>'État des Résultats'!AI8</f>
        <v>Pér.11</v>
      </c>
      <c r="AJ8" s="646" t="str">
        <f>AG8</f>
        <v>(%)</v>
      </c>
      <c r="AK8" s="383"/>
      <c r="AL8" s="647" t="str">
        <f>'État des Résultats'!AL8</f>
        <v>Pér.12</v>
      </c>
      <c r="AM8" s="646" t="str">
        <f>AJ8</f>
        <v>(%)</v>
      </c>
      <c r="AN8" s="648" t="s">
        <v>2</v>
      </c>
      <c r="AO8" s="383"/>
      <c r="AP8" s="649" t="str">
        <f>'État des Résultats'!AP8</f>
        <v>Total</v>
      </c>
      <c r="AQ8" s="646" t="str">
        <f>AM8</f>
        <v>(%)</v>
      </c>
      <c r="AS8" s="1242"/>
      <c r="AT8" s="374"/>
      <c r="AU8" s="374"/>
      <c r="AV8" s="374"/>
      <c r="AW8" s="374"/>
      <c r="AX8" s="374"/>
      <c r="AY8" s="374"/>
      <c r="AZ8" s="374"/>
      <c r="BA8" s="374"/>
      <c r="BB8" s="374"/>
      <c r="BC8" s="1245"/>
    </row>
    <row r="9" spans="2:56" ht="15" thickTop="1" thickBot="1" x14ac:dyDescent="0.2">
      <c r="B9" s="1298">
        <f>AP25/$B$7</f>
        <v>24916.666666666672</v>
      </c>
      <c r="C9" s="1299"/>
      <c r="E9" s="665" t="str">
        <f>'État des Résultats'!E9</f>
        <v>Janvier 2021</v>
      </c>
      <c r="F9" s="666"/>
      <c r="G9" s="293"/>
      <c r="H9" s="667" t="str">
        <f>'État des Résultats'!H9</f>
        <v>Février 2021</v>
      </c>
      <c r="I9" s="668"/>
      <c r="J9" s="293"/>
      <c r="K9" s="667" t="str">
        <f>'État des Résultats'!K9</f>
        <v>Mars 2021</v>
      </c>
      <c r="L9" s="668"/>
      <c r="M9" s="293"/>
      <c r="N9" s="665" t="str">
        <f>'État des Résultats'!N9</f>
        <v>Avril 2021</v>
      </c>
      <c r="O9" s="666"/>
      <c r="P9" s="669"/>
      <c r="Q9" s="665" t="str">
        <f>'État des Résultats'!Q9</f>
        <v>Mai 2021</v>
      </c>
      <c r="R9" s="666"/>
      <c r="S9" s="669"/>
      <c r="T9" s="667" t="str">
        <f>'État des Résultats'!T9</f>
        <v>Juin 2021</v>
      </c>
      <c r="U9" s="668"/>
      <c r="V9" s="293"/>
      <c r="W9" s="667" t="str">
        <f>'État des Résultats'!W9</f>
        <v>Juillet 2021</v>
      </c>
      <c r="X9" s="668"/>
      <c r="Y9" s="293"/>
      <c r="Z9" s="667" t="str">
        <f>'État des Résultats'!Z9</f>
        <v>Août 2021</v>
      </c>
      <c r="AA9" s="668"/>
      <c r="AB9" s="293"/>
      <c r="AC9" s="667" t="str">
        <f>'État des Résultats'!AC9</f>
        <v>Septembre 2021</v>
      </c>
      <c r="AD9" s="668"/>
      <c r="AE9" s="293"/>
      <c r="AF9" s="667" t="str">
        <f>'État des Résultats'!AF9</f>
        <v>Octobre 2021</v>
      </c>
      <c r="AG9" s="668"/>
      <c r="AH9" s="293"/>
      <c r="AI9" s="667" t="str">
        <f>'État des Résultats'!AI9</f>
        <v>Novembre 2021</v>
      </c>
      <c r="AJ9" s="668"/>
      <c r="AK9" s="293"/>
      <c r="AL9" s="667" t="str">
        <f>'État des Résultats'!AL9</f>
        <v>Décembre 2021</v>
      </c>
      <c r="AM9" s="668"/>
      <c r="AN9" s="293"/>
      <c r="AO9" s="293"/>
      <c r="AP9" s="670" t="str">
        <f>'État des Résultats'!AP9</f>
        <v>Année</v>
      </c>
      <c r="AQ9" s="671"/>
      <c r="AR9" s="672"/>
      <c r="AS9" s="672"/>
      <c r="AT9" s="650"/>
      <c r="AU9" s="650"/>
      <c r="AV9" s="650"/>
      <c r="AW9" s="650"/>
      <c r="AX9" s="650"/>
      <c r="AY9" s="650"/>
      <c r="AZ9" s="650"/>
    </row>
    <row r="10" spans="2:56" ht="15" thickTop="1" thickBot="1" x14ac:dyDescent="0.2">
      <c r="D10" s="251"/>
      <c r="G10" s="389"/>
      <c r="J10" s="389"/>
      <c r="M10" s="389"/>
      <c r="P10" s="434"/>
      <c r="S10" s="434"/>
      <c r="V10" s="389"/>
      <c r="Y10" s="187"/>
      <c r="AB10" s="389"/>
      <c r="AE10" s="389"/>
      <c r="AH10" s="389"/>
      <c r="AK10" s="389"/>
      <c r="AN10" s="389"/>
      <c r="AO10" s="389"/>
      <c r="AR10" s="170"/>
      <c r="AS10" s="170"/>
      <c r="AT10" s="170"/>
    </row>
    <row r="11" spans="2:56" ht="14" thickTop="1" x14ac:dyDescent="0.15">
      <c r="B11" s="651"/>
      <c r="C11" s="712" t="s">
        <v>308</v>
      </c>
      <c r="E11" s="651"/>
      <c r="F11" s="652"/>
      <c r="H11" s="651"/>
      <c r="I11" s="652"/>
      <c r="K11" s="651"/>
      <c r="L11" s="652"/>
      <c r="N11" s="651"/>
      <c r="O11" s="652"/>
      <c r="Q11" s="651"/>
      <c r="R11" s="652"/>
      <c r="T11" s="651"/>
      <c r="U11" s="652"/>
      <c r="W11" s="651"/>
      <c r="X11" s="652"/>
      <c r="Z11" s="651"/>
      <c r="AA11" s="652"/>
      <c r="AC11" s="651"/>
      <c r="AD11" s="652"/>
      <c r="AF11" s="651"/>
      <c r="AG11" s="652"/>
      <c r="AI11" s="651"/>
      <c r="AJ11" s="652"/>
      <c r="AL11" s="651"/>
      <c r="AM11" s="652"/>
      <c r="AP11" s="614"/>
      <c r="AQ11" s="616"/>
      <c r="AR11" s="187"/>
      <c r="AS11" s="187"/>
      <c r="AT11" s="187"/>
      <c r="AU11" s="187"/>
      <c r="AV11" s="187"/>
      <c r="AW11" s="187"/>
      <c r="AX11" s="187"/>
      <c r="AY11" s="187"/>
      <c r="AZ11" s="187"/>
      <c r="BA11" s="187"/>
      <c r="BB11" s="187"/>
      <c r="BC11" s="187"/>
      <c r="BD11" s="187"/>
    </row>
    <row r="12" spans="2:56" x14ac:dyDescent="0.15">
      <c r="B12" s="190"/>
      <c r="C12" s="653"/>
      <c r="E12" s="190"/>
      <c r="F12" s="392"/>
      <c r="H12" s="190"/>
      <c r="I12" s="392"/>
      <c r="K12" s="190"/>
      <c r="L12" s="392"/>
      <c r="N12" s="190"/>
      <c r="O12" s="392"/>
      <c r="Q12" s="190"/>
      <c r="R12" s="392"/>
      <c r="T12" s="190"/>
      <c r="U12" s="392"/>
      <c r="W12" s="190"/>
      <c r="X12" s="392"/>
      <c r="Z12" s="190"/>
      <c r="AA12" s="392"/>
      <c r="AC12" s="190"/>
      <c r="AD12" s="392"/>
      <c r="AF12" s="190"/>
      <c r="AG12" s="392"/>
      <c r="AI12" s="190"/>
      <c r="AJ12" s="392"/>
      <c r="AL12" s="190"/>
      <c r="AM12" s="191"/>
      <c r="AP12" s="193"/>
      <c r="AQ12" s="495"/>
      <c r="AR12" s="187"/>
      <c r="AS12" s="187"/>
      <c r="AT12" s="187"/>
      <c r="AU12" s="187"/>
      <c r="AV12" s="187"/>
      <c r="AW12" s="187"/>
      <c r="AX12" s="187"/>
      <c r="AY12" s="187"/>
      <c r="AZ12" s="187"/>
      <c r="BA12" s="187"/>
      <c r="BB12" s="187"/>
      <c r="BC12" s="187"/>
      <c r="BD12" s="187"/>
    </row>
    <row r="13" spans="2:56" x14ac:dyDescent="0.15">
      <c r="B13" s="705">
        <v>7610</v>
      </c>
      <c r="C13" s="706" t="s">
        <v>309</v>
      </c>
      <c r="E13" s="812">
        <v>0</v>
      </c>
      <c r="F13" s="655">
        <f>E13/'État des Résultats'!E$14</f>
        <v>0</v>
      </c>
      <c r="H13" s="812">
        <v>0</v>
      </c>
      <c r="I13" s="655">
        <f>H13/'État des Résultats'!H$14</f>
        <v>0</v>
      </c>
      <c r="K13" s="812">
        <v>0</v>
      </c>
      <c r="L13" s="655">
        <f>K13/'État des Résultats'!K$14</f>
        <v>0</v>
      </c>
      <c r="N13" s="812">
        <v>0</v>
      </c>
      <c r="O13" s="655">
        <f>N13/'État des Résultats'!N$14</f>
        <v>0</v>
      </c>
      <c r="Q13" s="812">
        <v>0</v>
      </c>
      <c r="R13" s="655">
        <f>Q13/'État des Résultats'!Q$14</f>
        <v>0</v>
      </c>
      <c r="T13" s="812">
        <v>0</v>
      </c>
      <c r="U13" s="655">
        <f>T13/'État des Résultats'!T$14</f>
        <v>0</v>
      </c>
      <c r="W13" s="812">
        <v>0</v>
      </c>
      <c r="X13" s="655">
        <f>W13/'État des Résultats'!W$14</f>
        <v>0</v>
      </c>
      <c r="Z13" s="812">
        <v>0</v>
      </c>
      <c r="AA13" s="655">
        <f>Z13/'État des Résultats'!Z$14</f>
        <v>0</v>
      </c>
      <c r="AC13" s="812">
        <v>0</v>
      </c>
      <c r="AD13" s="655">
        <f>AC13/'État des Résultats'!AC$14</f>
        <v>0</v>
      </c>
      <c r="AF13" s="812">
        <v>0</v>
      </c>
      <c r="AG13" s="655">
        <f>AF13/'État des Résultats'!AF$14</f>
        <v>0</v>
      </c>
      <c r="AI13" s="812">
        <v>0</v>
      </c>
      <c r="AJ13" s="655">
        <f>AI13/'État des Résultats'!AI$14</f>
        <v>0</v>
      </c>
      <c r="AL13" s="812">
        <v>0</v>
      </c>
      <c r="AM13" s="655">
        <f>AL13/'État des Résultats'!AL$14</f>
        <v>0</v>
      </c>
      <c r="AP13" s="656">
        <f>SUM(+$AL13+$AI13+$AF13+$AC13+$Z13+$W13+$T13+$Q13+$N13+$K13+$H13+$E13)</f>
        <v>0</v>
      </c>
      <c r="AQ13" s="657">
        <f>AP13/'État des Résultats'!$AP$14</f>
        <v>0</v>
      </c>
    </row>
    <row r="14" spans="2:56" x14ac:dyDescent="0.15">
      <c r="B14" s="705">
        <v>7615</v>
      </c>
      <c r="C14" s="706" t="s">
        <v>310</v>
      </c>
      <c r="E14" s="812">
        <v>0</v>
      </c>
      <c r="F14" s="655">
        <f>E14/'État des Résultats'!E$14</f>
        <v>0</v>
      </c>
      <c r="H14" s="812">
        <v>0</v>
      </c>
      <c r="I14" s="655">
        <f>H14/'État des Résultats'!H$14</f>
        <v>0</v>
      </c>
      <c r="K14" s="812">
        <v>0</v>
      </c>
      <c r="L14" s="655">
        <f>K14/'État des Résultats'!K$14</f>
        <v>0</v>
      </c>
      <c r="N14" s="812">
        <v>0</v>
      </c>
      <c r="O14" s="655">
        <f>N14/'État des Résultats'!N$14</f>
        <v>0</v>
      </c>
      <c r="Q14" s="812">
        <v>0</v>
      </c>
      <c r="R14" s="655">
        <f>Q14/'État des Résultats'!Q$14</f>
        <v>0</v>
      </c>
      <c r="T14" s="812">
        <v>0</v>
      </c>
      <c r="U14" s="655">
        <f>T14/'État des Résultats'!T$14</f>
        <v>0</v>
      </c>
      <c r="W14" s="812">
        <v>0</v>
      </c>
      <c r="X14" s="655">
        <f>W14/'État des Résultats'!W$14</f>
        <v>0</v>
      </c>
      <c r="Z14" s="812">
        <v>0</v>
      </c>
      <c r="AA14" s="655">
        <f>Z14/'État des Résultats'!Z$14</f>
        <v>0</v>
      </c>
      <c r="AC14" s="812">
        <v>0</v>
      </c>
      <c r="AD14" s="655">
        <f>AC14/'État des Résultats'!AC$14</f>
        <v>0</v>
      </c>
      <c r="AF14" s="812">
        <v>0</v>
      </c>
      <c r="AG14" s="655">
        <f>AF14/'État des Résultats'!AF$14</f>
        <v>0</v>
      </c>
      <c r="AI14" s="812">
        <v>0</v>
      </c>
      <c r="AJ14" s="655">
        <f>AI14/'État des Résultats'!AI$14</f>
        <v>0</v>
      </c>
      <c r="AL14" s="812">
        <v>0</v>
      </c>
      <c r="AM14" s="655">
        <f>AL14/'État des Résultats'!AL$14</f>
        <v>0</v>
      </c>
      <c r="AP14" s="656">
        <f>SUM(+$AL14+$AI14+$AF14+$AC14+$Z14+$W14+$T14+$Q14+$N14+$K14+$H14+$E14)</f>
        <v>0</v>
      </c>
      <c r="AQ14" s="657">
        <f>AP14/'État des Résultats'!$AP$14</f>
        <v>0</v>
      </c>
    </row>
    <row r="15" spans="2:56" x14ac:dyDescent="0.15">
      <c r="B15" s="707">
        <v>7620</v>
      </c>
      <c r="C15" s="708" t="s">
        <v>311</v>
      </c>
      <c r="E15" s="816">
        <v>0</v>
      </c>
      <c r="F15" s="655">
        <f>E15/'État des Résultats'!E$14</f>
        <v>0</v>
      </c>
      <c r="H15" s="816">
        <v>0</v>
      </c>
      <c r="I15" s="655">
        <f>H15/'État des Résultats'!H$14</f>
        <v>0</v>
      </c>
      <c r="K15" s="816">
        <v>0</v>
      </c>
      <c r="L15" s="655">
        <f>K15/'État des Résultats'!K$14</f>
        <v>0</v>
      </c>
      <c r="N15" s="816">
        <v>0</v>
      </c>
      <c r="O15" s="655">
        <f>N15/'État des Résultats'!N$14</f>
        <v>0</v>
      </c>
      <c r="Q15" s="816">
        <v>0</v>
      </c>
      <c r="R15" s="655">
        <f>Q15/'État des Résultats'!Q$14</f>
        <v>0</v>
      </c>
      <c r="T15" s="816">
        <v>0</v>
      </c>
      <c r="U15" s="655">
        <f>T15/'État des Résultats'!T$14</f>
        <v>0</v>
      </c>
      <c r="W15" s="816">
        <v>0</v>
      </c>
      <c r="X15" s="655">
        <f>W15/'État des Résultats'!W$14</f>
        <v>0</v>
      </c>
      <c r="Z15" s="816">
        <v>0</v>
      </c>
      <c r="AA15" s="655">
        <f>Z15/'État des Résultats'!Z$14</f>
        <v>0</v>
      </c>
      <c r="AC15" s="816">
        <v>0</v>
      </c>
      <c r="AD15" s="655">
        <f>AC15/'État des Résultats'!AC$14</f>
        <v>0</v>
      </c>
      <c r="AF15" s="816">
        <v>0</v>
      </c>
      <c r="AG15" s="655">
        <f>AF15/'État des Résultats'!AF$14</f>
        <v>0</v>
      </c>
      <c r="AI15" s="816">
        <v>0</v>
      </c>
      <c r="AJ15" s="655">
        <f>AI15/'État des Résultats'!AI$14</f>
        <v>0</v>
      </c>
      <c r="AL15" s="816">
        <v>0</v>
      </c>
      <c r="AM15" s="655">
        <f>AL15/'État des Résultats'!AL$14</f>
        <v>0</v>
      </c>
      <c r="AP15" s="656">
        <f>SUM(+$AL15+$AI15+$AF15+$AC15+$Z15+$W15+$T15+$Q15+$N15+$K15+$H15+$E15)</f>
        <v>0</v>
      </c>
      <c r="AQ15" s="657">
        <f>AP15/'État des Résultats'!$AP$14</f>
        <v>0</v>
      </c>
    </row>
    <row r="16" spans="2:56" x14ac:dyDescent="0.15">
      <c r="B16" s="707">
        <v>7630</v>
      </c>
      <c r="C16" s="708" t="s">
        <v>312</v>
      </c>
      <c r="E16" s="812">
        <v>0</v>
      </c>
      <c r="F16" s="655">
        <f>E16/'État des Résultats'!E$14</f>
        <v>0</v>
      </c>
      <c r="G16" s="659" t="s">
        <v>2</v>
      </c>
      <c r="H16" s="812">
        <v>0</v>
      </c>
      <c r="I16" s="655">
        <f>H16/'État des Résultats'!H$14</f>
        <v>0</v>
      </c>
      <c r="K16" s="812">
        <v>0</v>
      </c>
      <c r="L16" s="655">
        <f>K16/'État des Résultats'!K$14</f>
        <v>0</v>
      </c>
      <c r="N16" s="812">
        <v>0</v>
      </c>
      <c r="O16" s="655">
        <f>N16/'État des Résultats'!N$14</f>
        <v>0</v>
      </c>
      <c r="Q16" s="812">
        <v>0</v>
      </c>
      <c r="R16" s="655">
        <f>Q16/'État des Résultats'!Q$14</f>
        <v>0</v>
      </c>
      <c r="T16" s="812">
        <v>0</v>
      </c>
      <c r="U16" s="655">
        <f>T16/'État des Résultats'!T$14</f>
        <v>0</v>
      </c>
      <c r="W16" s="812">
        <v>0</v>
      </c>
      <c r="X16" s="655">
        <f>W16/'État des Résultats'!W$14</f>
        <v>0</v>
      </c>
      <c r="Z16" s="812">
        <v>0</v>
      </c>
      <c r="AA16" s="655">
        <f>Z16/'État des Résultats'!Z$14</f>
        <v>0</v>
      </c>
      <c r="AC16" s="812">
        <v>0</v>
      </c>
      <c r="AD16" s="655">
        <f>AC16/'État des Résultats'!AC$14</f>
        <v>0</v>
      </c>
      <c r="AF16" s="812">
        <v>0</v>
      </c>
      <c r="AG16" s="655">
        <f>AF16/'État des Résultats'!AF$14</f>
        <v>0</v>
      </c>
      <c r="AI16" s="812">
        <v>0</v>
      </c>
      <c r="AJ16" s="655">
        <f>AI16/'État des Résultats'!AI$14</f>
        <v>0</v>
      </c>
      <c r="AL16" s="812">
        <v>0</v>
      </c>
      <c r="AM16" s="655">
        <f>AL16/'État des Résultats'!AL$14</f>
        <v>0</v>
      </c>
      <c r="AP16" s="656">
        <f t="shared" ref="AP16:AP23" si="0">SUM(+$AL16+$AI16+$AF16+$AC16+$Z16+$W16+$T16+$Q16+$N16+$K16+$H16+$E16)</f>
        <v>0</v>
      </c>
      <c r="AQ16" s="657">
        <f>AP16/'État des Résultats'!$AP$14</f>
        <v>0</v>
      </c>
    </row>
    <row r="17" spans="2:69" x14ac:dyDescent="0.15">
      <c r="B17" s="707">
        <v>7640</v>
      </c>
      <c r="C17" s="708" t="s">
        <v>313</v>
      </c>
      <c r="E17" s="812">
        <v>0</v>
      </c>
      <c r="F17" s="655">
        <f>E17/'État des Résultats'!E$14</f>
        <v>0</v>
      </c>
      <c r="H17" s="812">
        <v>0</v>
      </c>
      <c r="I17" s="655">
        <f>H17/'État des Résultats'!H$14</f>
        <v>0</v>
      </c>
      <c r="K17" s="812">
        <v>0</v>
      </c>
      <c r="L17" s="655">
        <f>K17/'État des Résultats'!K$14</f>
        <v>0</v>
      </c>
      <c r="N17" s="812">
        <v>0</v>
      </c>
      <c r="O17" s="655">
        <f>N17/'État des Résultats'!N$14</f>
        <v>0</v>
      </c>
      <c r="Q17" s="812">
        <v>0</v>
      </c>
      <c r="R17" s="655">
        <f>Q17/'État des Résultats'!Q$14</f>
        <v>0</v>
      </c>
      <c r="T17" s="812">
        <v>0</v>
      </c>
      <c r="U17" s="655">
        <f>T17/'État des Résultats'!T$14</f>
        <v>0</v>
      </c>
      <c r="W17" s="812">
        <v>0</v>
      </c>
      <c r="X17" s="655">
        <f>W17/'État des Résultats'!W$14</f>
        <v>0</v>
      </c>
      <c r="Z17" s="812">
        <v>0</v>
      </c>
      <c r="AA17" s="655">
        <f>Z17/'État des Résultats'!Z$14</f>
        <v>0</v>
      </c>
      <c r="AC17" s="812">
        <v>0</v>
      </c>
      <c r="AD17" s="655">
        <f>AC17/'État des Résultats'!AC$14</f>
        <v>0</v>
      </c>
      <c r="AF17" s="812">
        <v>0</v>
      </c>
      <c r="AG17" s="655">
        <f>AF17/'État des Résultats'!AF$14</f>
        <v>0</v>
      </c>
      <c r="AI17" s="812">
        <v>0</v>
      </c>
      <c r="AJ17" s="655">
        <f>AI17/'État des Résultats'!AI$14</f>
        <v>0</v>
      </c>
      <c r="AL17" s="812">
        <v>0</v>
      </c>
      <c r="AM17" s="655">
        <f>AL17/'État des Résultats'!AL$14</f>
        <v>0</v>
      </c>
      <c r="AP17" s="656">
        <f t="shared" si="0"/>
        <v>0</v>
      </c>
      <c r="AQ17" s="657">
        <f>AP17/'État des Résultats'!$AP$14</f>
        <v>0</v>
      </c>
    </row>
    <row r="18" spans="2:69" x14ac:dyDescent="0.15">
      <c r="B18" s="707">
        <v>7650</v>
      </c>
      <c r="C18" s="708" t="s">
        <v>314</v>
      </c>
      <c r="E18" s="812">
        <v>0</v>
      </c>
      <c r="F18" s="655">
        <f>E18/'État des Résultats'!E$14</f>
        <v>0</v>
      </c>
      <c r="H18" s="812">
        <v>0</v>
      </c>
      <c r="I18" s="655">
        <f>H18/'État des Résultats'!H$14</f>
        <v>0</v>
      </c>
      <c r="K18" s="812">
        <v>0</v>
      </c>
      <c r="L18" s="655">
        <f>K18/'État des Résultats'!K$14</f>
        <v>0</v>
      </c>
      <c r="N18" s="812">
        <v>0</v>
      </c>
      <c r="O18" s="655">
        <f>N18/'État des Résultats'!N$14</f>
        <v>0</v>
      </c>
      <c r="Q18" s="812">
        <v>0</v>
      </c>
      <c r="R18" s="655">
        <f>Q18/'État des Résultats'!Q$14</f>
        <v>0</v>
      </c>
      <c r="T18" s="812">
        <v>0</v>
      </c>
      <c r="U18" s="655">
        <f>T18/'État des Résultats'!T$14</f>
        <v>0</v>
      </c>
      <c r="W18" s="812">
        <v>0</v>
      </c>
      <c r="X18" s="655">
        <f>W18/'État des Résultats'!W$14</f>
        <v>0</v>
      </c>
      <c r="Z18" s="812">
        <v>0</v>
      </c>
      <c r="AA18" s="655">
        <f>Z18/'État des Résultats'!Z$14</f>
        <v>0</v>
      </c>
      <c r="AC18" s="812">
        <v>0</v>
      </c>
      <c r="AD18" s="655">
        <f>AC18/'État des Résultats'!AC$14</f>
        <v>0</v>
      </c>
      <c r="AF18" s="812">
        <v>0</v>
      </c>
      <c r="AG18" s="655">
        <f>AF18/'État des Résultats'!AF$14</f>
        <v>0</v>
      </c>
      <c r="AI18" s="812">
        <v>0</v>
      </c>
      <c r="AJ18" s="655">
        <f>AI18/'État des Résultats'!AI$14</f>
        <v>0</v>
      </c>
      <c r="AL18" s="812">
        <v>0</v>
      </c>
      <c r="AM18" s="655">
        <f>AL18/'État des Résultats'!AL$14</f>
        <v>0</v>
      </c>
      <c r="AP18" s="656">
        <f t="shared" si="0"/>
        <v>0</v>
      </c>
      <c r="AQ18" s="657">
        <f>AP18/'État des Résultats'!$AP$14</f>
        <v>0</v>
      </c>
    </row>
    <row r="19" spans="2:69" x14ac:dyDescent="0.15">
      <c r="B19" s="707">
        <v>7660</v>
      </c>
      <c r="C19" s="708" t="s">
        <v>315</v>
      </c>
      <c r="E19" s="812">
        <v>0</v>
      </c>
      <c r="F19" s="655">
        <f>E19/'État des Résultats'!E$14</f>
        <v>0</v>
      </c>
      <c r="H19" s="812">
        <v>0</v>
      </c>
      <c r="I19" s="655">
        <f>H19/'État des Résultats'!H$14</f>
        <v>0</v>
      </c>
      <c r="K19" s="812">
        <v>0</v>
      </c>
      <c r="L19" s="655">
        <f>K19/'État des Résultats'!K$14</f>
        <v>0</v>
      </c>
      <c r="N19" s="812">
        <v>0</v>
      </c>
      <c r="O19" s="655">
        <f>N19/'État des Résultats'!N$14</f>
        <v>0</v>
      </c>
      <c r="Q19" s="812">
        <v>0</v>
      </c>
      <c r="R19" s="655">
        <f>Q19/'État des Résultats'!Q$14</f>
        <v>0</v>
      </c>
      <c r="T19" s="812">
        <v>0</v>
      </c>
      <c r="U19" s="655">
        <f>T19/'État des Résultats'!T$14</f>
        <v>0</v>
      </c>
      <c r="W19" s="812">
        <v>0</v>
      </c>
      <c r="X19" s="655">
        <f>W19/'État des Résultats'!W$14</f>
        <v>0</v>
      </c>
      <c r="Z19" s="812">
        <v>0</v>
      </c>
      <c r="AA19" s="655">
        <f>Z19/'État des Résultats'!Z$14</f>
        <v>0</v>
      </c>
      <c r="AC19" s="812">
        <v>0</v>
      </c>
      <c r="AD19" s="655">
        <f>AC19/'État des Résultats'!AC$14</f>
        <v>0</v>
      </c>
      <c r="AF19" s="812">
        <v>0</v>
      </c>
      <c r="AG19" s="655">
        <f>AF19/'État des Résultats'!AF$14</f>
        <v>0</v>
      </c>
      <c r="AI19" s="812">
        <v>0</v>
      </c>
      <c r="AJ19" s="655">
        <f>AI19/'État des Résultats'!AI$14</f>
        <v>0</v>
      </c>
      <c r="AL19" s="812">
        <v>0</v>
      </c>
      <c r="AM19" s="655">
        <f>AL19/'État des Résultats'!AL$14</f>
        <v>0</v>
      </c>
      <c r="AP19" s="656">
        <f t="shared" si="0"/>
        <v>0</v>
      </c>
      <c r="AQ19" s="657">
        <f>AP19/'État des Résultats'!$AP$14</f>
        <v>0</v>
      </c>
      <c r="AS19" s="209"/>
    </row>
    <row r="20" spans="2:69" x14ac:dyDescent="0.15">
      <c r="B20" s="707">
        <v>7670</v>
      </c>
      <c r="C20" s="708" t="s">
        <v>316</v>
      </c>
      <c r="E20" s="812">
        <v>0</v>
      </c>
      <c r="F20" s="655">
        <f>E20/'État des Résultats'!E$14</f>
        <v>0</v>
      </c>
      <c r="H20" s="812">
        <v>0</v>
      </c>
      <c r="I20" s="655">
        <f>H20/'État des Résultats'!H$14</f>
        <v>0</v>
      </c>
      <c r="K20" s="812">
        <v>0</v>
      </c>
      <c r="L20" s="655">
        <f>K20/'État des Résultats'!K$14</f>
        <v>0</v>
      </c>
      <c r="N20" s="812">
        <v>0</v>
      </c>
      <c r="O20" s="655">
        <f>N20/'État des Résultats'!N$14</f>
        <v>0</v>
      </c>
      <c r="Q20" s="812">
        <v>0</v>
      </c>
      <c r="R20" s="655">
        <f>Q20/'État des Résultats'!Q$14</f>
        <v>0</v>
      </c>
      <c r="T20" s="812">
        <v>0</v>
      </c>
      <c r="U20" s="655">
        <f>T20/'État des Résultats'!T$14</f>
        <v>0</v>
      </c>
      <c r="W20" s="812">
        <v>0</v>
      </c>
      <c r="X20" s="655">
        <f>W20/'État des Résultats'!W$14</f>
        <v>0</v>
      </c>
      <c r="Z20" s="812">
        <v>0</v>
      </c>
      <c r="AA20" s="655">
        <f>Z20/'État des Résultats'!Z$14</f>
        <v>0</v>
      </c>
      <c r="AC20" s="812">
        <v>0</v>
      </c>
      <c r="AD20" s="655">
        <f>AC20/'État des Résultats'!AC$14</f>
        <v>0</v>
      </c>
      <c r="AF20" s="812">
        <v>0</v>
      </c>
      <c r="AG20" s="655">
        <f>AF20/'État des Résultats'!AF$14</f>
        <v>0</v>
      </c>
      <c r="AI20" s="812">
        <v>0</v>
      </c>
      <c r="AJ20" s="655">
        <f>AI20/'État des Résultats'!AI$14</f>
        <v>0</v>
      </c>
      <c r="AL20" s="812">
        <v>0</v>
      </c>
      <c r="AM20" s="655">
        <f>AL20/'État des Résultats'!AL$14</f>
        <v>0</v>
      </c>
      <c r="AP20" s="656">
        <f t="shared" si="0"/>
        <v>0</v>
      </c>
      <c r="AQ20" s="657">
        <f>AP20/'État des Résultats'!$AP$14</f>
        <v>0</v>
      </c>
    </row>
    <row r="21" spans="2:69" x14ac:dyDescent="0.15">
      <c r="B21" s="707">
        <v>7680</v>
      </c>
      <c r="C21" s="708" t="s">
        <v>317</v>
      </c>
      <c r="E21" s="812">
        <v>0</v>
      </c>
      <c r="F21" s="655">
        <f>E21/'État des Résultats'!E$14</f>
        <v>0</v>
      </c>
      <c r="H21" s="812">
        <v>0</v>
      </c>
      <c r="I21" s="655">
        <f>H21/'État des Résultats'!H$14</f>
        <v>0</v>
      </c>
      <c r="K21" s="812">
        <v>0</v>
      </c>
      <c r="L21" s="655">
        <f>K21/'État des Résultats'!K$14</f>
        <v>0</v>
      </c>
      <c r="N21" s="812">
        <v>0</v>
      </c>
      <c r="O21" s="655">
        <f>N21/'État des Résultats'!N$14</f>
        <v>0</v>
      </c>
      <c r="Q21" s="812">
        <v>0</v>
      </c>
      <c r="R21" s="655">
        <f>Q21/'État des Résultats'!Q$14</f>
        <v>0</v>
      </c>
      <c r="T21" s="812">
        <v>0</v>
      </c>
      <c r="U21" s="655">
        <f>T21/'État des Résultats'!T$14</f>
        <v>0</v>
      </c>
      <c r="W21" s="812">
        <v>0</v>
      </c>
      <c r="X21" s="655">
        <f>W21/'État des Résultats'!W$14</f>
        <v>0</v>
      </c>
      <c r="Z21" s="812">
        <v>0</v>
      </c>
      <c r="AA21" s="655">
        <f>Z21/'État des Résultats'!Z$14</f>
        <v>0</v>
      </c>
      <c r="AC21" s="812">
        <v>0</v>
      </c>
      <c r="AD21" s="655">
        <f>AC21/'État des Résultats'!AC$14</f>
        <v>0</v>
      </c>
      <c r="AF21" s="812">
        <v>0</v>
      </c>
      <c r="AG21" s="655">
        <f>AF21/'État des Résultats'!AF$14</f>
        <v>0</v>
      </c>
      <c r="AI21" s="812">
        <v>0</v>
      </c>
      <c r="AJ21" s="655">
        <f>AI21/'État des Résultats'!AI$14</f>
        <v>0</v>
      </c>
      <c r="AL21" s="812">
        <v>0</v>
      </c>
      <c r="AM21" s="655">
        <f>AL21/'État des Résultats'!AL$14</f>
        <v>0</v>
      </c>
      <c r="AP21" s="656">
        <f t="shared" si="0"/>
        <v>0</v>
      </c>
      <c r="AQ21" s="657">
        <f>AP21/'État des Résultats'!$AP$14</f>
        <v>0</v>
      </c>
    </row>
    <row r="22" spans="2:69" x14ac:dyDescent="0.15">
      <c r="B22" s="707">
        <v>7690</v>
      </c>
      <c r="C22" s="708" t="s">
        <v>318</v>
      </c>
      <c r="E22" s="812">
        <v>0</v>
      </c>
      <c r="F22" s="655">
        <f>E22/'État des Résultats'!E$14</f>
        <v>0</v>
      </c>
      <c r="H22" s="812">
        <v>0</v>
      </c>
      <c r="I22" s="655">
        <f>H22/'État des Résultats'!H$14</f>
        <v>0</v>
      </c>
      <c r="K22" s="812">
        <v>0</v>
      </c>
      <c r="L22" s="655">
        <f>K22/'État des Résultats'!K$14</f>
        <v>0</v>
      </c>
      <c r="N22" s="812">
        <v>0</v>
      </c>
      <c r="O22" s="655">
        <f>N22/'État des Résultats'!N$14</f>
        <v>0</v>
      </c>
      <c r="Q22" s="812">
        <v>0</v>
      </c>
      <c r="R22" s="655">
        <f>Q22/'État des Résultats'!Q$14</f>
        <v>0</v>
      </c>
      <c r="T22" s="812">
        <v>0</v>
      </c>
      <c r="U22" s="655">
        <f>T22/'État des Résultats'!T$14</f>
        <v>0</v>
      </c>
      <c r="W22" s="812">
        <v>0</v>
      </c>
      <c r="X22" s="655">
        <f>W22/'État des Résultats'!W$14</f>
        <v>0</v>
      </c>
      <c r="Z22" s="812">
        <v>0</v>
      </c>
      <c r="AA22" s="655">
        <f>Z22/'État des Résultats'!Z$14</f>
        <v>0</v>
      </c>
      <c r="AC22" s="812">
        <v>0</v>
      </c>
      <c r="AD22" s="655">
        <f>AC22/'État des Résultats'!AC$14</f>
        <v>0</v>
      </c>
      <c r="AF22" s="812">
        <v>0</v>
      </c>
      <c r="AG22" s="655">
        <f>AF22/'État des Résultats'!AF$14</f>
        <v>0</v>
      </c>
      <c r="AI22" s="812">
        <v>0</v>
      </c>
      <c r="AJ22" s="655">
        <f>AI22/'État des Résultats'!AI$14</f>
        <v>0</v>
      </c>
      <c r="AL22" s="812">
        <v>0</v>
      </c>
      <c r="AM22" s="655">
        <f>AL22/'État des Résultats'!AL$14</f>
        <v>0</v>
      </c>
      <c r="AP22" s="656">
        <f t="shared" si="0"/>
        <v>0</v>
      </c>
      <c r="AQ22" s="657">
        <f>AP22/'État des Résultats'!$AP$14</f>
        <v>0</v>
      </c>
    </row>
    <row r="23" spans="2:69" x14ac:dyDescent="0.15">
      <c r="B23" s="707">
        <v>7699</v>
      </c>
      <c r="C23" s="708" t="s">
        <v>319</v>
      </c>
      <c r="E23" s="812">
        <f>0.05*'État des Résultats'!E14</f>
        <v>1824.666666666667</v>
      </c>
      <c r="F23" s="655">
        <f>E23/'État des Résultats'!E$14</f>
        <v>0.05</v>
      </c>
      <c r="H23" s="812">
        <f>0.05*'État des Résultats'!H14</f>
        <v>1768.604166666667</v>
      </c>
      <c r="I23" s="655">
        <f>H23/'État des Résultats'!H$14</f>
        <v>0.05</v>
      </c>
      <c r="K23" s="812">
        <f>0.05*'État des Résultats'!K14</f>
        <v>1970.8125</v>
      </c>
      <c r="L23" s="655">
        <f>K23/'État des Résultats'!K$14</f>
        <v>0.05</v>
      </c>
      <c r="N23" s="812">
        <f>0.05*'État des Résultats'!N14</f>
        <v>1993.8125</v>
      </c>
      <c r="O23" s="655">
        <f>N23/'État des Résultats'!N$14</f>
        <v>0.05</v>
      </c>
      <c r="Q23" s="812">
        <f>0.05*'État des Résultats'!Q14</f>
        <v>2146.666666666667</v>
      </c>
      <c r="R23" s="655">
        <f>Q23/'État des Résultats'!Q$14</f>
        <v>0.05</v>
      </c>
      <c r="T23" s="812">
        <f>0.05*'État des Résultats'!T14</f>
        <v>2206.0833333333335</v>
      </c>
      <c r="U23" s="655">
        <f>T23/'État des Résultats'!T$14</f>
        <v>4.9999999999999996E-2</v>
      </c>
      <c r="W23" s="812">
        <f>0.05*'État des Résultats'!W14</f>
        <v>2287.0625</v>
      </c>
      <c r="X23" s="655">
        <f>W23/'État des Résultats'!W$14</f>
        <v>0.05</v>
      </c>
      <c r="Z23" s="812">
        <f>0.05*'État des Résultats'!Z14</f>
        <v>2317.25</v>
      </c>
      <c r="AA23" s="655">
        <f>Z23/'État des Résultats'!Z$14</f>
        <v>0.05</v>
      </c>
      <c r="AC23" s="812">
        <f>0.05*'État des Résultats'!AC14</f>
        <v>2118.875</v>
      </c>
      <c r="AD23" s="655">
        <f>AC23/'État des Résultats'!AC$14</f>
        <v>0.05</v>
      </c>
      <c r="AF23" s="812">
        <f>0.05*'État des Résultats'!AF14</f>
        <v>2120.791666666667</v>
      </c>
      <c r="AG23" s="655">
        <f>AF23/'État des Résultats'!AF$14</f>
        <v>0.05</v>
      </c>
      <c r="AI23" s="812">
        <f>0.05*'État des Résultats'!AI14</f>
        <v>1971.291666666667</v>
      </c>
      <c r="AJ23" s="655">
        <f>AI23/'État des Résultats'!AI$14</f>
        <v>0.05</v>
      </c>
      <c r="AL23" s="812">
        <f>0.05*'État des Résultats'!AL14</f>
        <v>2190.75</v>
      </c>
      <c r="AM23" s="655">
        <f>AL23/'État des Résultats'!AL$14</f>
        <v>0.05</v>
      </c>
      <c r="AP23" s="656">
        <f t="shared" si="0"/>
        <v>24916.666666666672</v>
      </c>
      <c r="AQ23" s="657">
        <f>AP23/'État des Résultats'!$AP$14</f>
        <v>5.000000000000001E-2</v>
      </c>
    </row>
    <row r="24" spans="2:69" ht="14" thickBot="1" x14ac:dyDescent="0.2">
      <c r="B24" s="709" t="s">
        <v>2</v>
      </c>
      <c r="C24" s="710"/>
      <c r="E24" s="813" t="s">
        <v>2</v>
      </c>
      <c r="F24" s="660" t="s">
        <v>2</v>
      </c>
      <c r="H24" s="813" t="s">
        <v>2</v>
      </c>
      <c r="I24" s="660" t="s">
        <v>2</v>
      </c>
      <c r="K24" s="813" t="s">
        <v>2</v>
      </c>
      <c r="L24" s="660" t="s">
        <v>2</v>
      </c>
      <c r="N24" s="813" t="s">
        <v>2</v>
      </c>
      <c r="O24" s="660" t="s">
        <v>2</v>
      </c>
      <c r="Q24" s="813" t="s">
        <v>2</v>
      </c>
      <c r="R24" s="660" t="s">
        <v>2</v>
      </c>
      <c r="S24" s="711"/>
      <c r="T24" s="813" t="s">
        <v>2</v>
      </c>
      <c r="U24" s="660" t="s">
        <v>2</v>
      </c>
      <c r="W24" s="813" t="s">
        <v>2</v>
      </c>
      <c r="X24" s="660" t="s">
        <v>2</v>
      </c>
      <c r="Z24" s="813" t="s">
        <v>2</v>
      </c>
      <c r="AA24" s="660" t="s">
        <v>2</v>
      </c>
      <c r="AC24" s="813" t="s">
        <v>2</v>
      </c>
      <c r="AD24" s="660" t="s">
        <v>2</v>
      </c>
      <c r="AF24" s="813" t="s">
        <v>2</v>
      </c>
      <c r="AG24" s="660" t="s">
        <v>2</v>
      </c>
      <c r="AI24" s="813" t="s">
        <v>2</v>
      </c>
      <c r="AJ24" s="660" t="s">
        <v>2</v>
      </c>
      <c r="AL24" s="813" t="s">
        <v>2</v>
      </c>
      <c r="AM24" s="660" t="s">
        <v>2</v>
      </c>
      <c r="AP24" s="656" t="s">
        <v>2</v>
      </c>
      <c r="AQ24" s="661" t="s">
        <v>2</v>
      </c>
    </row>
    <row r="25" spans="2:69" ht="15" thickTop="1" thickBot="1" x14ac:dyDescent="0.2">
      <c r="B25" s="470">
        <v>7600</v>
      </c>
      <c r="C25" s="471" t="s">
        <v>320</v>
      </c>
      <c r="D25" s="213"/>
      <c r="E25" s="814">
        <f>SUM(E13:E23)</f>
        <v>1824.666666666667</v>
      </c>
      <c r="F25" s="663">
        <f>SUM(F13:F23)</f>
        <v>0.05</v>
      </c>
      <c r="G25" s="213"/>
      <c r="H25" s="814">
        <f>SUM(H13:H23)</f>
        <v>1768.604166666667</v>
      </c>
      <c r="I25" s="663">
        <f>SUM(I13:I23)</f>
        <v>0.05</v>
      </c>
      <c r="J25" s="213"/>
      <c r="K25" s="814">
        <f>SUM(K13:K23)</f>
        <v>1970.8125</v>
      </c>
      <c r="L25" s="663">
        <f>SUM(L13:L23)</f>
        <v>0.05</v>
      </c>
      <c r="M25" s="213"/>
      <c r="N25" s="814">
        <f>SUM(N13:N23)</f>
        <v>1993.8125</v>
      </c>
      <c r="O25" s="663">
        <f>SUM(O13:O23)</f>
        <v>0.05</v>
      </c>
      <c r="P25" s="213"/>
      <c r="Q25" s="814">
        <f>SUM(Q13:Q23)</f>
        <v>2146.666666666667</v>
      </c>
      <c r="R25" s="663">
        <f>SUM(R13:R23)</f>
        <v>0.05</v>
      </c>
      <c r="S25" s="213"/>
      <c r="T25" s="814">
        <f>SUM(T13:T23)</f>
        <v>2206.0833333333335</v>
      </c>
      <c r="U25" s="663">
        <f>SUM(U13:U23)</f>
        <v>4.9999999999999996E-2</v>
      </c>
      <c r="V25" s="213"/>
      <c r="W25" s="814">
        <f>SUM(W13:W23)</f>
        <v>2287.0625</v>
      </c>
      <c r="X25" s="663">
        <f>SUM(X13:X23)</f>
        <v>0.05</v>
      </c>
      <c r="Y25" s="213"/>
      <c r="Z25" s="814">
        <f>SUM(Z13:Z23)</f>
        <v>2317.25</v>
      </c>
      <c r="AA25" s="663">
        <f>SUM(AA13:AA23)</f>
        <v>0.05</v>
      </c>
      <c r="AB25" s="213"/>
      <c r="AC25" s="814">
        <f>SUM(AC13:AC23)</f>
        <v>2118.875</v>
      </c>
      <c r="AD25" s="663">
        <f>SUM(AD13:AD23)</f>
        <v>0.05</v>
      </c>
      <c r="AE25" s="213"/>
      <c r="AF25" s="814">
        <f>SUM(AF13:AF23)</f>
        <v>2120.791666666667</v>
      </c>
      <c r="AG25" s="663">
        <f>SUM(AG13:AG23)</f>
        <v>0.05</v>
      </c>
      <c r="AH25" s="213"/>
      <c r="AI25" s="814">
        <f>SUM(AI13:AI23)</f>
        <v>1971.291666666667</v>
      </c>
      <c r="AJ25" s="663">
        <f>SUM(AJ13:AJ23)</f>
        <v>0.05</v>
      </c>
      <c r="AK25" s="213"/>
      <c r="AL25" s="814">
        <f>SUM(AL13:AL23)</f>
        <v>2190.75</v>
      </c>
      <c r="AM25" s="663">
        <f>SUM(AM13:AM23)</f>
        <v>0.05</v>
      </c>
      <c r="AN25" s="213"/>
      <c r="AO25" s="213"/>
      <c r="AP25" s="662">
        <f>SUM(AP13:AP23)</f>
        <v>24916.666666666672</v>
      </c>
      <c r="AQ25" s="663">
        <f>SUM(AQ13:AQ23)</f>
        <v>5.000000000000001E-2</v>
      </c>
      <c r="AR25" s="213"/>
      <c r="AS25" s="213"/>
      <c r="AT25" s="213"/>
      <c r="AU25" s="251"/>
    </row>
    <row r="26" spans="2:69" ht="14" thickTop="1" x14ac:dyDescent="0.15">
      <c r="L26" s="315"/>
      <c r="O26" s="315"/>
      <c r="R26" s="315"/>
      <c r="U26" s="315"/>
      <c r="X26" s="315"/>
      <c r="AA26" s="315"/>
      <c r="AD26" s="315"/>
      <c r="AG26" s="315"/>
      <c r="AJ26" s="315"/>
      <c r="AM26" s="315"/>
      <c r="AQ26" s="315"/>
    </row>
    <row r="27" spans="2:69" x14ac:dyDescent="0.15">
      <c r="R27" s="315"/>
      <c r="U27" s="315"/>
      <c r="X27" s="315"/>
      <c r="AD27" s="315"/>
      <c r="AG27" s="315"/>
      <c r="AJ27" s="315"/>
      <c r="AM27" s="315"/>
    </row>
    <row r="28" spans="2:69" x14ac:dyDescent="0.15">
      <c r="U28" s="315"/>
      <c r="AG28" s="315"/>
      <c r="AJ28" s="315"/>
      <c r="AM28" s="315"/>
    </row>
    <row r="29" spans="2:69" x14ac:dyDescent="0.15">
      <c r="C29" s="161" t="s">
        <v>2</v>
      </c>
      <c r="E29" s="161" t="s">
        <v>2</v>
      </c>
      <c r="G29" s="161" t="s">
        <v>2</v>
      </c>
      <c r="H29" s="161" t="s">
        <v>2</v>
      </c>
      <c r="U29" s="315"/>
      <c r="AG29" s="315"/>
      <c r="AJ29" s="315"/>
      <c r="AM29" s="315"/>
    </row>
    <row r="30" spans="2:69" x14ac:dyDescent="0.15">
      <c r="H30" s="161" t="s">
        <v>2</v>
      </c>
      <c r="AG30" s="315"/>
      <c r="AJ30" s="315"/>
      <c r="AM30" s="315"/>
    </row>
    <row r="31" spans="2:69" x14ac:dyDescent="0.15">
      <c r="H31" s="161" t="s">
        <v>2</v>
      </c>
      <c r="AM31" s="315"/>
    </row>
    <row r="32" spans="2:69" x14ac:dyDescent="0.15">
      <c r="H32" s="161" t="s">
        <v>2</v>
      </c>
      <c r="BB32" s="170"/>
      <c r="BC32" s="170"/>
      <c r="BD32" s="170"/>
      <c r="BE32" s="170"/>
      <c r="BF32" s="170"/>
      <c r="BG32" s="170"/>
      <c r="BH32" s="170"/>
      <c r="BI32" s="170"/>
      <c r="BJ32" s="170"/>
      <c r="BK32" s="170"/>
      <c r="BL32" s="170"/>
      <c r="BM32" s="170"/>
      <c r="BN32" s="170"/>
      <c r="BO32" s="170"/>
      <c r="BP32" s="170"/>
      <c r="BQ32" s="170"/>
    </row>
    <row r="33" spans="8:8" x14ac:dyDescent="0.15">
      <c r="H33" s="161" t="s">
        <v>2</v>
      </c>
    </row>
    <row r="34" spans="8:8" x14ac:dyDescent="0.15">
      <c r="H34" s="161" t="s">
        <v>2</v>
      </c>
    </row>
    <row r="44" spans="8:8" x14ac:dyDescent="0.15">
      <c r="H44" s="664"/>
    </row>
  </sheetData>
  <sheetProtection algorithmName="SHA-512" hashValue="mE3Nj/hY+OcFoSKTJb02Aju75Mm5Uwmwp0tyNNFiQfQ53irkzLVBwjJez4VMDXArbKujSYM6BRVa3pMG40ga1A==" saltValue="SaF+2tggIaXs64PeUDduZw=="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F51A30BF-962D-E64C-B4E5-42142A90C6DA}"/>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23 H23 K23 N23 Q23 T23 W23 Z23 AC23 AF23 AI23 AL23" unlocked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35E8-30CE-0F40-8448-81529712EC14}">
  <sheetPr>
    <tabColor theme="1"/>
    <pageSetUpPr fitToPage="1"/>
  </sheetPr>
  <dimension ref="B1:BQ42"/>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2.6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7.83203125" style="161" bestFit="1" customWidth="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82" t="str">
        <f>'Coût marchandises vendues'!B2</f>
        <v>Chez Les Petites Gâteries &amp; Cie.</v>
      </c>
      <c r="C2" s="1283"/>
      <c r="AS2" s="1240" t="s">
        <v>42</v>
      </c>
      <c r="AT2" s="367"/>
      <c r="AU2" s="367"/>
      <c r="AV2" s="367"/>
      <c r="AW2" s="367"/>
      <c r="AX2" s="367"/>
      <c r="AY2" s="367"/>
      <c r="AZ2" s="367"/>
      <c r="BA2" s="367"/>
      <c r="BB2" s="367"/>
      <c r="BC2" s="1243" t="s">
        <v>43</v>
      </c>
    </row>
    <row r="3" spans="2:56" ht="20" customHeight="1" x14ac:dyDescent="0.2">
      <c r="B3" s="1284" t="str">
        <f>'Coût marchandises vendues'!B3</f>
        <v xml:space="preserve">États des résultats </v>
      </c>
      <c r="C3" s="1285"/>
      <c r="AS3" s="1241"/>
      <c r="AT3" s="368"/>
      <c r="AU3" s="368"/>
      <c r="AV3" s="368"/>
      <c r="AW3" s="368"/>
      <c r="AX3" s="368"/>
      <c r="AY3" s="368"/>
      <c r="AZ3" s="368"/>
      <c r="BA3" s="368"/>
      <c r="BB3" s="368"/>
      <c r="BC3" s="1244"/>
    </row>
    <row r="4" spans="2:56" ht="20" customHeight="1" thickBot="1" x14ac:dyDescent="0.3">
      <c r="B4" s="1286" t="str">
        <f>'Coût marchandises vendues'!B4</f>
        <v>Pour la période du 1er janvier 2021 au 31 décembre 2021</v>
      </c>
      <c r="C4" s="1287"/>
      <c r="AS4" s="1241"/>
      <c r="AT4" s="369" t="str">
        <f>'Formule pour le calcul D'!BA103</f>
        <v>Coût annuel</v>
      </c>
      <c r="AU4" s="369" t="s">
        <v>44</v>
      </c>
      <c r="AV4" s="369" t="str">
        <f>'Formule pour le calcul D'!BC103</f>
        <v>Achalandage annuelle</v>
      </c>
      <c r="AW4" s="369" t="s">
        <v>45</v>
      </c>
      <c r="AX4" s="369" t="s">
        <v>46</v>
      </c>
      <c r="AY4" s="369" t="str">
        <f>'Formule pour le calcul D'!BF103</f>
        <v>Um/A</v>
      </c>
      <c r="AZ4" s="369" t="s">
        <v>45</v>
      </c>
      <c r="BA4" s="369" t="str">
        <f>'Formule pour le calcul D'!BH103</f>
        <v>CmO</v>
      </c>
      <c r="BB4" s="369" t="s">
        <v>49</v>
      </c>
      <c r="BC4" s="1244"/>
    </row>
    <row r="5" spans="2:56" ht="21" thickTop="1" thickBot="1" x14ac:dyDescent="0.3">
      <c r="AS5" s="1241"/>
      <c r="AT5" s="370" t="s">
        <v>2</v>
      </c>
      <c r="AU5" s="371"/>
      <c r="AV5" s="370"/>
      <c r="AW5" s="371"/>
      <c r="AX5" s="371"/>
      <c r="AY5" s="371"/>
      <c r="AZ5" s="371"/>
      <c r="BA5" s="371"/>
      <c r="BB5" s="371"/>
      <c r="BC5" s="1244"/>
    </row>
    <row r="6" spans="2:56" ht="27" thickTop="1" x14ac:dyDescent="0.3">
      <c r="B6" s="1258" t="str">
        <f>'Coût marchandises vendues'!B6</f>
        <v>Nb de places</v>
      </c>
      <c r="C6" s="1288"/>
      <c r="E6" s="638" t="str">
        <f>'Mark &amp; Communication marketing'!E6</f>
        <v>Coût / place / jour</v>
      </c>
      <c r="F6" s="639">
        <f>+E23/$B$7/'Calendrier 2021'!D8</f>
        <v>29.78494623655914</v>
      </c>
      <c r="G6" s="170"/>
      <c r="H6" s="638" t="str">
        <f>+E6</f>
        <v>Coût / place / jour</v>
      </c>
      <c r="I6" s="639">
        <f>+H23/$B$7/'Calendrier 2021'!E8</f>
        <v>32.976190476190474</v>
      </c>
      <c r="J6" s="170"/>
      <c r="K6" s="638" t="str">
        <f>+H6</f>
        <v>Coût / place / jour</v>
      </c>
      <c r="L6" s="639">
        <f>+K23/$B$7/'Calendrier 2021'!F8</f>
        <v>29.78494623655914</v>
      </c>
      <c r="M6" s="170"/>
      <c r="N6" s="638" t="str">
        <f>+K6</f>
        <v>Coût / place / jour</v>
      </c>
      <c r="O6" s="639">
        <f>+N23/$B$7/'Calendrier 2021'!G8</f>
        <v>30.777777777777779</v>
      </c>
      <c r="P6" s="423"/>
      <c r="Q6" s="638" t="str">
        <f>+N6</f>
        <v>Coût / place / jour</v>
      </c>
      <c r="R6" s="639">
        <f>+Q23/$B$7/'Calendrier 2021'!H8</f>
        <v>29.78494623655914</v>
      </c>
      <c r="S6" s="423"/>
      <c r="T6" s="638" t="str">
        <f>+Q6</f>
        <v>Coût / place / jour</v>
      </c>
      <c r="U6" s="639">
        <f>+T23/$B$7/'Calendrier 2021'!I8</f>
        <v>30.777777777777779</v>
      </c>
      <c r="V6" s="170"/>
      <c r="W6" s="638" t="str">
        <f>+T6</f>
        <v>Coût / place / jour</v>
      </c>
      <c r="X6" s="639">
        <f>+W23/$B$7/'Calendrier 2021'!J8</f>
        <v>29.78494623655914</v>
      </c>
      <c r="Y6" s="170"/>
      <c r="Z6" s="638" t="str">
        <f>+W6</f>
        <v>Coût / place / jour</v>
      </c>
      <c r="AA6" s="639">
        <f>+Z23/$B$7/'Calendrier 2021'!K8</f>
        <v>29.78494623655914</v>
      </c>
      <c r="AB6" s="170"/>
      <c r="AC6" s="638" t="str">
        <f>+Z6</f>
        <v>Coût / place / jour</v>
      </c>
      <c r="AD6" s="639">
        <f>+AC23/$B$7/'Calendrier 2021'!L8</f>
        <v>30.777777777777779</v>
      </c>
      <c r="AE6" s="170"/>
      <c r="AF6" s="638" t="str">
        <f>+AC6</f>
        <v>Coût / place / jour</v>
      </c>
      <c r="AG6" s="639">
        <f>+AF23/$B$7/'Calendrier 2021'!M8</f>
        <v>29.78494623655914</v>
      </c>
      <c r="AH6" s="170"/>
      <c r="AI6" s="638" t="str">
        <f>+AF6</f>
        <v>Coût / place / jour</v>
      </c>
      <c r="AJ6" s="639">
        <f>+AI23/$B$7/'Calendrier 2021'!N8</f>
        <v>30.777777777777779</v>
      </c>
      <c r="AK6" s="170"/>
      <c r="AL6" s="638" t="str">
        <f>+AI6</f>
        <v>Coût / place / jour</v>
      </c>
      <c r="AM6" s="639">
        <f>+AL23/$B$7/'Calendrier 2021'!O8</f>
        <v>29.78494623655914</v>
      </c>
      <c r="AN6" s="170"/>
      <c r="AO6" s="170"/>
      <c r="AP6" s="640" t="str">
        <f>+AL6</f>
        <v>Coût / place / jour</v>
      </c>
      <c r="AQ6" s="641">
        <f>+AP23/$B$7/'% Occupation'!P9</f>
        <v>30.356164383561648</v>
      </c>
      <c r="AS6" s="1241"/>
      <c r="AT6" s="630" t="str">
        <f>'Formule pour le calcul D'!BA105</f>
        <v xml:space="preserve">C </v>
      </c>
      <c r="AU6" s="373"/>
      <c r="AV6" s="372" t="str">
        <f>'Formule pour le calcul D'!BC105</f>
        <v>A</v>
      </c>
      <c r="AW6" s="373"/>
      <c r="AX6" s="373"/>
      <c r="AY6" s="372" t="str">
        <f>AY4</f>
        <v>Um/A</v>
      </c>
      <c r="AZ6" s="373"/>
      <c r="BA6" s="372" t="str">
        <f>BA4</f>
        <v>CmO</v>
      </c>
      <c r="BB6" s="373"/>
      <c r="BC6" s="1244"/>
    </row>
    <row r="7" spans="2:56" ht="21" x14ac:dyDescent="0.25">
      <c r="B7" s="1290">
        <f>'Coût marchandises vendues'!B7</f>
        <v>1</v>
      </c>
      <c r="C7" s="1289"/>
      <c r="E7" s="425">
        <f>+E23/$AP23</f>
        <v>8.3333333333333329E-2</v>
      </c>
      <c r="F7" s="642"/>
      <c r="H7" s="425">
        <f>+H23/$AP23</f>
        <v>8.3333333333333329E-2</v>
      </c>
      <c r="I7" s="642"/>
      <c r="K7" s="425">
        <f>+K23/$AP23</f>
        <v>8.3333333333333329E-2</v>
      </c>
      <c r="L7" s="426"/>
      <c r="N7" s="425">
        <f>+N23/$AP23</f>
        <v>8.3333333333333329E-2</v>
      </c>
      <c r="O7" s="426"/>
      <c r="P7" s="643"/>
      <c r="Q7" s="425">
        <f>+Q23/$AP23</f>
        <v>8.3333333333333329E-2</v>
      </c>
      <c r="R7" s="426"/>
      <c r="S7" s="643"/>
      <c r="T7" s="425">
        <f>+T23/$AP23</f>
        <v>8.3333333333333329E-2</v>
      </c>
      <c r="U7" s="426"/>
      <c r="W7" s="425">
        <f>+W23/$AP23</f>
        <v>8.3333333333333329E-2</v>
      </c>
      <c r="X7" s="426"/>
      <c r="Z7" s="425">
        <f>+Z23/$AP23</f>
        <v>8.3333333333333329E-2</v>
      </c>
      <c r="AA7" s="426"/>
      <c r="AC7" s="425">
        <f>+AC23/$AP23</f>
        <v>8.3333333333333329E-2</v>
      </c>
      <c r="AD7" s="426"/>
      <c r="AF7" s="425">
        <f>+AF23/$AP23</f>
        <v>8.3333333333333329E-2</v>
      </c>
      <c r="AG7" s="426"/>
      <c r="AI7" s="425">
        <f>+AI23/$AP23</f>
        <v>8.3333333333333329E-2</v>
      </c>
      <c r="AJ7" s="426"/>
      <c r="AL7" s="425">
        <f>+AL23/$AP23</f>
        <v>8.3333333333333329E-2</v>
      </c>
      <c r="AM7" s="426"/>
      <c r="AP7" s="644">
        <f>+AP23/$AP23</f>
        <v>1</v>
      </c>
      <c r="AQ7" s="645" t="s">
        <v>136</v>
      </c>
      <c r="AS7" s="1241"/>
      <c r="AT7" s="631">
        <f>AP23</f>
        <v>11080.000000000002</v>
      </c>
      <c r="AU7" s="369" t="s">
        <v>44</v>
      </c>
      <c r="AV7" s="632">
        <f>'Formule pour le calcul D'!G114</f>
        <v>52000</v>
      </c>
      <c r="AW7" s="369" t="s">
        <v>45</v>
      </c>
      <c r="AX7" s="369" t="s">
        <v>46</v>
      </c>
      <c r="AY7" s="633">
        <f>'Formule pour le calcul D'!J106</f>
        <v>2</v>
      </c>
      <c r="AZ7" s="369" t="s">
        <v>45</v>
      </c>
      <c r="BA7" s="634">
        <f>AT7/AV7/AY7</f>
        <v>0.10653846153846155</v>
      </c>
      <c r="BB7" s="369" t="s">
        <v>49</v>
      </c>
      <c r="BC7" s="1244"/>
    </row>
    <row r="8" spans="2:56" ht="17" thickBot="1" x14ac:dyDescent="0.25">
      <c r="B8" s="1262" t="s">
        <v>333</v>
      </c>
      <c r="C8" s="1289"/>
      <c r="E8" s="647" t="str">
        <f>'État des Résultats'!E8</f>
        <v>Pér.01</v>
      </c>
      <c r="F8" s="646" t="str">
        <f>'État des Résultats'!F8</f>
        <v>(%)</v>
      </c>
      <c r="G8" s="383"/>
      <c r="H8" s="647" t="str">
        <f>'État des Résultats'!H8</f>
        <v>Pér.02</v>
      </c>
      <c r="I8" s="646" t="str">
        <f>F8</f>
        <v>(%)</v>
      </c>
      <c r="J8" s="383"/>
      <c r="K8" s="647" t="str">
        <f>'État des Résultats'!K8</f>
        <v>Pér.03</v>
      </c>
      <c r="L8" s="646" t="str">
        <f>I8</f>
        <v>(%)</v>
      </c>
      <c r="M8" s="383"/>
      <c r="N8" s="647" t="str">
        <f>'État des Résultats'!N8</f>
        <v>Pér.04</v>
      </c>
      <c r="O8" s="646" t="str">
        <f>L8</f>
        <v>(%)</v>
      </c>
      <c r="P8" s="427"/>
      <c r="Q8" s="647" t="str">
        <f>'État des Résultats'!Q8</f>
        <v>Pér.05</v>
      </c>
      <c r="R8" s="646" t="str">
        <f>O8</f>
        <v>(%)</v>
      </c>
      <c r="S8" s="427"/>
      <c r="T8" s="647" t="str">
        <f>'État des Résultats'!T8</f>
        <v>Pér.06</v>
      </c>
      <c r="U8" s="646" t="str">
        <f>R8</f>
        <v>(%)</v>
      </c>
      <c r="V8" s="383"/>
      <c r="W8" s="647" t="str">
        <f>'État des Résultats'!W8</f>
        <v>Pér.07</v>
      </c>
      <c r="X8" s="646" t="str">
        <f>U8</f>
        <v>(%)</v>
      </c>
      <c r="Y8" s="383"/>
      <c r="Z8" s="647" t="str">
        <f>'État des Résultats'!Z8</f>
        <v>Pér.08</v>
      </c>
      <c r="AA8" s="646" t="str">
        <f>X8</f>
        <v>(%)</v>
      </c>
      <c r="AB8" s="383"/>
      <c r="AC8" s="647" t="str">
        <f>'État des Résultats'!AC8</f>
        <v>Pér.09</v>
      </c>
      <c r="AD8" s="646" t="str">
        <f>AA8</f>
        <v>(%)</v>
      </c>
      <c r="AE8" s="383"/>
      <c r="AF8" s="647" t="str">
        <f>'État des Résultats'!AF8</f>
        <v>Pér.10</v>
      </c>
      <c r="AG8" s="646" t="str">
        <f>AD8</f>
        <v>(%)</v>
      </c>
      <c r="AH8" s="383"/>
      <c r="AI8" s="647" t="str">
        <f>'État des Résultats'!AI8</f>
        <v>Pér.11</v>
      </c>
      <c r="AJ8" s="646" t="str">
        <f>AG8</f>
        <v>(%)</v>
      </c>
      <c r="AK8" s="383"/>
      <c r="AL8" s="647" t="str">
        <f>'État des Résultats'!AL8</f>
        <v>Pér.12</v>
      </c>
      <c r="AM8" s="646" t="str">
        <f>AJ8</f>
        <v>(%)</v>
      </c>
      <c r="AN8" s="648" t="s">
        <v>2</v>
      </c>
      <c r="AO8" s="383"/>
      <c r="AP8" s="649" t="str">
        <f>'État des Résultats'!AP8</f>
        <v>Total</v>
      </c>
      <c r="AQ8" s="646" t="str">
        <f>AM8</f>
        <v>(%)</v>
      </c>
      <c r="AS8" s="1242"/>
      <c r="AT8" s="374"/>
      <c r="AU8" s="374"/>
      <c r="AV8" s="374"/>
      <c r="AW8" s="374"/>
      <c r="AX8" s="374"/>
      <c r="AY8" s="374"/>
      <c r="AZ8" s="374"/>
      <c r="BA8" s="374"/>
      <c r="BB8" s="374"/>
      <c r="BC8" s="1245"/>
    </row>
    <row r="9" spans="2:56" ht="15" thickTop="1" thickBot="1" x14ac:dyDescent="0.2">
      <c r="B9" s="1298">
        <f>AP23/$B$7</f>
        <v>11080.000000000002</v>
      </c>
      <c r="C9" s="1299"/>
      <c r="E9" s="665" t="str">
        <f>'État des Résultats'!E9</f>
        <v>Janvier 2021</v>
      </c>
      <c r="F9" s="666"/>
      <c r="G9" s="293"/>
      <c r="H9" s="667" t="str">
        <f>'État des Résultats'!H9</f>
        <v>Février 2021</v>
      </c>
      <c r="I9" s="668"/>
      <c r="J9" s="293"/>
      <c r="K9" s="667" t="str">
        <f>'État des Résultats'!K9</f>
        <v>Mars 2021</v>
      </c>
      <c r="L9" s="668"/>
      <c r="M9" s="293"/>
      <c r="N9" s="665" t="str">
        <f>'État des Résultats'!N9</f>
        <v>Avril 2021</v>
      </c>
      <c r="O9" s="666"/>
      <c r="P9" s="669"/>
      <c r="Q9" s="665" t="str">
        <f>'État des Résultats'!Q9</f>
        <v>Mai 2021</v>
      </c>
      <c r="R9" s="666"/>
      <c r="S9" s="669"/>
      <c r="T9" s="667" t="str">
        <f>'État des Résultats'!T9</f>
        <v>Juin 2021</v>
      </c>
      <c r="U9" s="668"/>
      <c r="V9" s="293"/>
      <c r="W9" s="667" t="str">
        <f>'État des Résultats'!W9</f>
        <v>Juillet 2021</v>
      </c>
      <c r="X9" s="668"/>
      <c r="Y9" s="293"/>
      <c r="Z9" s="667" t="str">
        <f>'État des Résultats'!Z9</f>
        <v>Août 2021</v>
      </c>
      <c r="AA9" s="668"/>
      <c r="AB9" s="293"/>
      <c r="AC9" s="667" t="str">
        <f>'État des Résultats'!AC9</f>
        <v>Septembre 2021</v>
      </c>
      <c r="AD9" s="668"/>
      <c r="AE9" s="293"/>
      <c r="AF9" s="667" t="str">
        <f>'État des Résultats'!AF9</f>
        <v>Octobre 2021</v>
      </c>
      <c r="AG9" s="668"/>
      <c r="AH9" s="293"/>
      <c r="AI9" s="667" t="str">
        <f>'État des Résultats'!AI9</f>
        <v>Novembre 2021</v>
      </c>
      <c r="AJ9" s="668"/>
      <c r="AK9" s="293"/>
      <c r="AL9" s="667" t="str">
        <f>'État des Résultats'!AL9</f>
        <v>Décembre 2021</v>
      </c>
      <c r="AM9" s="668"/>
      <c r="AN9" s="293"/>
      <c r="AO9" s="293"/>
      <c r="AP9" s="670" t="str">
        <f>'État des Résultats'!AP9</f>
        <v>Année</v>
      </c>
      <c r="AQ9" s="671"/>
      <c r="AR9" s="703"/>
      <c r="AS9" s="703"/>
      <c r="AT9" s="650"/>
      <c r="AU9" s="650"/>
      <c r="AV9" s="650"/>
      <c r="AW9" s="650"/>
      <c r="AX9" s="650"/>
      <c r="AY9" s="650"/>
      <c r="AZ9" s="650"/>
    </row>
    <row r="10" spans="2:56" ht="15" thickTop="1" thickBot="1" x14ac:dyDescent="0.2">
      <c r="D10" s="251"/>
      <c r="G10" s="389"/>
      <c r="J10" s="389"/>
      <c r="M10" s="389"/>
      <c r="P10" s="434"/>
      <c r="S10" s="434"/>
      <c r="V10" s="389"/>
      <c r="Y10" s="187"/>
      <c r="AB10" s="389"/>
      <c r="AE10" s="389"/>
      <c r="AH10" s="389"/>
      <c r="AK10" s="389"/>
      <c r="AN10" s="389"/>
      <c r="AO10" s="389"/>
      <c r="AR10" s="170"/>
      <c r="AS10" s="170"/>
      <c r="AT10" s="170"/>
    </row>
    <row r="11" spans="2:56" ht="17" thickTop="1" x14ac:dyDescent="0.2">
      <c r="B11" s="651"/>
      <c r="C11" s="713" t="s">
        <v>322</v>
      </c>
      <c r="E11" s="651"/>
      <c r="F11" s="652"/>
      <c r="H11" s="651"/>
      <c r="I11" s="652"/>
      <c r="K11" s="651"/>
      <c r="L11" s="652"/>
      <c r="N11" s="651"/>
      <c r="O11" s="652"/>
      <c r="Q11" s="651"/>
      <c r="R11" s="652"/>
      <c r="T11" s="651"/>
      <c r="U11" s="652"/>
      <c r="W11" s="651"/>
      <c r="X11" s="652"/>
      <c r="Z11" s="651"/>
      <c r="AA11" s="652"/>
      <c r="AC11" s="651"/>
      <c r="AD11" s="652"/>
      <c r="AF11" s="651"/>
      <c r="AG11" s="652"/>
      <c r="AI11" s="651"/>
      <c r="AJ11" s="652"/>
      <c r="AL11" s="651"/>
      <c r="AM11" s="652"/>
      <c r="AP11" s="614"/>
      <c r="AQ11" s="616"/>
      <c r="AR11" s="187"/>
      <c r="AS11" s="187"/>
      <c r="AT11" s="187"/>
      <c r="AU11" s="187"/>
      <c r="AV11" s="187"/>
      <c r="AW11" s="187"/>
      <c r="AX11" s="187"/>
      <c r="AY11" s="187"/>
      <c r="AZ11" s="187"/>
      <c r="BA11" s="187"/>
      <c r="BB11" s="187"/>
      <c r="BC11" s="187"/>
      <c r="BD11" s="187"/>
    </row>
    <row r="12" spans="2:56" x14ac:dyDescent="0.15">
      <c r="B12" s="190"/>
      <c r="C12" s="653"/>
      <c r="E12" s="190"/>
      <c r="F12" s="392"/>
      <c r="H12" s="190"/>
      <c r="I12" s="392"/>
      <c r="K12" s="190"/>
      <c r="L12" s="392"/>
      <c r="N12" s="190"/>
      <c r="O12" s="392"/>
      <c r="Q12" s="190"/>
      <c r="R12" s="392"/>
      <c r="T12" s="190"/>
      <c r="U12" s="392"/>
      <c r="W12" s="190"/>
      <c r="X12" s="392"/>
      <c r="Z12" s="190"/>
      <c r="AA12" s="392"/>
      <c r="AC12" s="190"/>
      <c r="AD12" s="392"/>
      <c r="AF12" s="190"/>
      <c r="AG12" s="392"/>
      <c r="AI12" s="190"/>
      <c r="AJ12" s="392"/>
      <c r="AL12" s="190"/>
      <c r="AM12" s="191"/>
      <c r="AP12" s="193"/>
      <c r="AQ12" s="495"/>
      <c r="AR12" s="187"/>
      <c r="AS12" s="187"/>
      <c r="AT12" s="187"/>
      <c r="AU12" s="187"/>
      <c r="AV12" s="187"/>
      <c r="AW12" s="187"/>
      <c r="AX12" s="187"/>
      <c r="AY12" s="187"/>
      <c r="AZ12" s="187"/>
      <c r="BA12" s="187"/>
      <c r="BB12" s="187"/>
      <c r="BC12" s="187"/>
      <c r="BD12" s="187"/>
    </row>
    <row r="13" spans="2:56" x14ac:dyDescent="0.15">
      <c r="B13" s="654">
        <v>7705</v>
      </c>
      <c r="C13" s="392" t="s">
        <v>323</v>
      </c>
      <c r="E13" s="812">
        <f>(11080/12)</f>
        <v>923.33333333333337</v>
      </c>
      <c r="F13" s="655">
        <f>E13/'État des Résultats'!E$14</f>
        <v>2.5301424917793202E-2</v>
      </c>
      <c r="H13" s="812">
        <f>(11080/12)</f>
        <v>923.33333333333337</v>
      </c>
      <c r="I13" s="655">
        <f>H13/'État des Résultats'!H$14</f>
        <v>2.6103447869671233E-2</v>
      </c>
      <c r="K13" s="812">
        <f>(11080/12)</f>
        <v>923.33333333333337</v>
      </c>
      <c r="L13" s="655">
        <f>K13/'État des Résultats'!K$14</f>
        <v>2.3425194769500737E-2</v>
      </c>
      <c r="N13" s="812">
        <f>(11080/12)</f>
        <v>923.33333333333337</v>
      </c>
      <c r="O13" s="655">
        <f>N13/'État des Résultats'!N$14</f>
        <v>2.3154969018735046E-2</v>
      </c>
      <c r="Q13" s="812">
        <f>(11080/12)</f>
        <v>923.33333333333337</v>
      </c>
      <c r="R13" s="655">
        <f>Q13/'État des Résultats'!Q$14</f>
        <v>2.1506211180124222E-2</v>
      </c>
      <c r="T13" s="812">
        <f>(11080/12)</f>
        <v>923.33333333333337</v>
      </c>
      <c r="U13" s="655">
        <f>T13/'État des Résultats'!T$14</f>
        <v>2.0926982208287689E-2</v>
      </c>
      <c r="W13" s="812">
        <f>(11080/12)</f>
        <v>923.33333333333337</v>
      </c>
      <c r="X13" s="655">
        <f>W13/'État des Résultats'!W$14</f>
        <v>2.0186010074786619E-2</v>
      </c>
      <c r="Z13" s="812">
        <f>(11080/12)</f>
        <v>923.33333333333337</v>
      </c>
      <c r="AA13" s="655">
        <f>Z13/'État des Résultats'!Z$14</f>
        <v>1.9923040960909126E-2</v>
      </c>
      <c r="AC13" s="812">
        <f>(11080/12)</f>
        <v>923.33333333333337</v>
      </c>
      <c r="AD13" s="655">
        <f>AC13/'État des Résultats'!AC$14</f>
        <v>2.1788291742866697E-2</v>
      </c>
      <c r="AF13" s="812">
        <f>(11080/12)</f>
        <v>923.33333333333337</v>
      </c>
      <c r="AG13" s="655">
        <f>AF13/'État des Résultats'!AF$14</f>
        <v>2.176860056189709E-2</v>
      </c>
      <c r="AI13" s="812">
        <f>(11080/12)</f>
        <v>923.33333333333337</v>
      </c>
      <c r="AJ13" s="655">
        <f>AI13/'État des Résultats'!AI$14</f>
        <v>2.3419500750354039E-2</v>
      </c>
      <c r="AL13" s="812">
        <f>(11080/12)</f>
        <v>923.33333333333337</v>
      </c>
      <c r="AM13" s="655">
        <f>AL13/'État des Résultats'!AL$14</f>
        <v>2.1073452774924874E-2</v>
      </c>
      <c r="AP13" s="815">
        <f>SUM(+$AL13+$AI13+$AF13+$AC13+$Z13+$W13+$T13+$Q13+$N13+$K13+$H13+$E13)</f>
        <v>11080.000000000002</v>
      </c>
      <c r="AQ13" s="657">
        <f>AP13/'État des Résultats'!$AP$14</f>
        <v>2.2234113712374586E-2</v>
      </c>
    </row>
    <row r="14" spans="2:56" x14ac:dyDescent="0.15">
      <c r="B14" s="654">
        <v>7710</v>
      </c>
      <c r="C14" s="392" t="s">
        <v>324</v>
      </c>
      <c r="E14" s="812">
        <v>0</v>
      </c>
      <c r="F14" s="655">
        <f>E14/'État des Résultats'!E$14</f>
        <v>0</v>
      </c>
      <c r="H14" s="812">
        <v>0</v>
      </c>
      <c r="I14" s="655">
        <f>H14/'État des Résultats'!H$14</f>
        <v>0</v>
      </c>
      <c r="K14" s="812">
        <v>0</v>
      </c>
      <c r="L14" s="655">
        <f>K14/'État des Résultats'!K$14</f>
        <v>0</v>
      </c>
      <c r="N14" s="812">
        <v>0</v>
      </c>
      <c r="O14" s="655">
        <f>N14/'État des Résultats'!N$14</f>
        <v>0</v>
      </c>
      <c r="Q14" s="812">
        <v>0</v>
      </c>
      <c r="R14" s="655">
        <f>Q14/'État des Résultats'!Q$14</f>
        <v>0</v>
      </c>
      <c r="T14" s="812">
        <v>0</v>
      </c>
      <c r="U14" s="655">
        <f>T14/'État des Résultats'!T$14</f>
        <v>0</v>
      </c>
      <c r="W14" s="812">
        <v>0</v>
      </c>
      <c r="X14" s="655">
        <f>W14/'État des Résultats'!W$14</f>
        <v>0</v>
      </c>
      <c r="Z14" s="812">
        <v>0</v>
      </c>
      <c r="AA14" s="655">
        <f>Z14/'État des Résultats'!Z$14</f>
        <v>0</v>
      </c>
      <c r="AC14" s="812">
        <v>0</v>
      </c>
      <c r="AD14" s="655">
        <f>AC14/'État des Résultats'!AC$14</f>
        <v>0</v>
      </c>
      <c r="AF14" s="812">
        <v>0</v>
      </c>
      <c r="AG14" s="655">
        <f>AF14/'État des Résultats'!AF$14</f>
        <v>0</v>
      </c>
      <c r="AI14" s="812">
        <v>0</v>
      </c>
      <c r="AJ14" s="655">
        <f>AI14/'État des Résultats'!AI$14</f>
        <v>0</v>
      </c>
      <c r="AL14" s="812">
        <v>0</v>
      </c>
      <c r="AM14" s="655">
        <f>AL14/'État des Résultats'!AL$14</f>
        <v>0</v>
      </c>
      <c r="AP14" s="815">
        <f>SUM(+$AL14+$AI14+$AF14+$AC14+$Z14+$W14+$T14+$Q14+$N14+$K14+$H14+$E14)</f>
        <v>0</v>
      </c>
      <c r="AQ14" s="657">
        <f>AP14/'État des Résultats'!$AP$14</f>
        <v>0</v>
      </c>
    </row>
    <row r="15" spans="2:56" x14ac:dyDescent="0.15">
      <c r="B15" s="654">
        <v>7715</v>
      </c>
      <c r="C15" s="392" t="s">
        <v>325</v>
      </c>
      <c r="E15" s="812">
        <v>0</v>
      </c>
      <c r="F15" s="655">
        <f>E15/'État des Résultats'!E$14</f>
        <v>0</v>
      </c>
      <c r="G15" s="659" t="s">
        <v>2</v>
      </c>
      <c r="H15" s="812">
        <v>0</v>
      </c>
      <c r="I15" s="655">
        <f>H15/'État des Résultats'!H$14</f>
        <v>0</v>
      </c>
      <c r="K15" s="812">
        <v>0</v>
      </c>
      <c r="L15" s="655">
        <f>K15/'État des Résultats'!K$14</f>
        <v>0</v>
      </c>
      <c r="N15" s="812">
        <v>0</v>
      </c>
      <c r="O15" s="655">
        <f>N15/'État des Résultats'!N$14</f>
        <v>0</v>
      </c>
      <c r="Q15" s="812">
        <v>0</v>
      </c>
      <c r="R15" s="655">
        <f>Q15/'État des Résultats'!Q$14</f>
        <v>0</v>
      </c>
      <c r="T15" s="812">
        <v>0</v>
      </c>
      <c r="U15" s="655">
        <f>T15/'État des Résultats'!T$14</f>
        <v>0</v>
      </c>
      <c r="W15" s="812">
        <v>0</v>
      </c>
      <c r="X15" s="655">
        <f>W15/'État des Résultats'!W$14</f>
        <v>0</v>
      </c>
      <c r="Z15" s="812">
        <v>0</v>
      </c>
      <c r="AA15" s="655">
        <f>Z15/'État des Résultats'!Z$14</f>
        <v>0</v>
      </c>
      <c r="AC15" s="812">
        <v>0</v>
      </c>
      <c r="AD15" s="655">
        <f>AC15/'État des Résultats'!AC$14</f>
        <v>0</v>
      </c>
      <c r="AF15" s="812">
        <v>0</v>
      </c>
      <c r="AG15" s="655">
        <f>AF15/'État des Résultats'!AF$14</f>
        <v>0</v>
      </c>
      <c r="AI15" s="812">
        <v>0</v>
      </c>
      <c r="AJ15" s="655">
        <f>AI15/'État des Résultats'!AI$14</f>
        <v>0</v>
      </c>
      <c r="AL15" s="812">
        <v>0</v>
      </c>
      <c r="AM15" s="655">
        <f>AL15/'État des Résultats'!AL$14</f>
        <v>0</v>
      </c>
      <c r="AP15" s="815">
        <f t="shared" ref="AP15:AP21" si="0">SUM(+$AL15+$AI15+$AF15+$AC15+$Z15+$W15+$T15+$Q15+$N15+$K15+$H15+$E15)</f>
        <v>0</v>
      </c>
      <c r="AQ15" s="657">
        <f>AP15/'État des Résultats'!$AP$14</f>
        <v>0</v>
      </c>
    </row>
    <row r="16" spans="2:56" x14ac:dyDescent="0.15">
      <c r="B16" s="654">
        <v>7720</v>
      </c>
      <c r="C16" s="392" t="s">
        <v>326</v>
      </c>
      <c r="E16" s="812">
        <v>0</v>
      </c>
      <c r="F16" s="655">
        <f>E16/'État des Résultats'!E$14</f>
        <v>0</v>
      </c>
      <c r="H16" s="812">
        <v>0</v>
      </c>
      <c r="I16" s="655">
        <f>H16/'État des Résultats'!H$14</f>
        <v>0</v>
      </c>
      <c r="K16" s="812">
        <v>0</v>
      </c>
      <c r="L16" s="655">
        <f>K16/'État des Résultats'!K$14</f>
        <v>0</v>
      </c>
      <c r="N16" s="812">
        <v>0</v>
      </c>
      <c r="O16" s="655">
        <f>N16/'État des Résultats'!N$14</f>
        <v>0</v>
      </c>
      <c r="Q16" s="812">
        <v>0</v>
      </c>
      <c r="R16" s="655">
        <f>Q16/'État des Résultats'!Q$14</f>
        <v>0</v>
      </c>
      <c r="T16" s="812">
        <v>0</v>
      </c>
      <c r="U16" s="655">
        <f>T16/'État des Résultats'!T$14</f>
        <v>0</v>
      </c>
      <c r="W16" s="812">
        <v>0</v>
      </c>
      <c r="X16" s="655">
        <f>W16/'État des Résultats'!W$14</f>
        <v>0</v>
      </c>
      <c r="Z16" s="812">
        <v>0</v>
      </c>
      <c r="AA16" s="655">
        <f>Z16/'État des Résultats'!Z$14</f>
        <v>0</v>
      </c>
      <c r="AC16" s="812">
        <v>0</v>
      </c>
      <c r="AD16" s="655">
        <f>AC16/'État des Résultats'!AC$14</f>
        <v>0</v>
      </c>
      <c r="AF16" s="812">
        <v>0</v>
      </c>
      <c r="AG16" s="655">
        <f>AF16/'État des Résultats'!AF$14</f>
        <v>0</v>
      </c>
      <c r="AI16" s="812">
        <v>0</v>
      </c>
      <c r="AJ16" s="655">
        <f>AI16/'État des Résultats'!AI$14</f>
        <v>0</v>
      </c>
      <c r="AL16" s="812">
        <v>0</v>
      </c>
      <c r="AM16" s="655">
        <f>AL16/'État des Résultats'!AL$14</f>
        <v>0</v>
      </c>
      <c r="AP16" s="815">
        <f t="shared" si="0"/>
        <v>0</v>
      </c>
      <c r="AQ16" s="657">
        <f>AP16/'État des Résultats'!$AP$14</f>
        <v>0</v>
      </c>
    </row>
    <row r="17" spans="2:69" x14ac:dyDescent="0.15">
      <c r="B17" s="654">
        <v>7725</v>
      </c>
      <c r="C17" s="392" t="s">
        <v>327</v>
      </c>
      <c r="E17" s="812">
        <v>0</v>
      </c>
      <c r="F17" s="655">
        <f>E17/'État des Résultats'!E$14</f>
        <v>0</v>
      </c>
      <c r="H17" s="812">
        <v>0</v>
      </c>
      <c r="I17" s="655">
        <f>H17/'État des Résultats'!H$14</f>
        <v>0</v>
      </c>
      <c r="K17" s="812">
        <v>0</v>
      </c>
      <c r="L17" s="655">
        <f>K17/'État des Résultats'!K$14</f>
        <v>0</v>
      </c>
      <c r="N17" s="812">
        <v>0</v>
      </c>
      <c r="O17" s="655">
        <f>N17/'État des Résultats'!N$14</f>
        <v>0</v>
      </c>
      <c r="Q17" s="812">
        <v>0</v>
      </c>
      <c r="R17" s="655">
        <f>Q17/'État des Résultats'!Q$14</f>
        <v>0</v>
      </c>
      <c r="T17" s="812">
        <v>0</v>
      </c>
      <c r="U17" s="655">
        <f>T17/'État des Résultats'!T$14</f>
        <v>0</v>
      </c>
      <c r="W17" s="812">
        <v>0</v>
      </c>
      <c r="X17" s="655">
        <f>W17/'État des Résultats'!W$14</f>
        <v>0</v>
      </c>
      <c r="Z17" s="812">
        <v>0</v>
      </c>
      <c r="AA17" s="655">
        <f>Z17/'État des Résultats'!Z$14</f>
        <v>0</v>
      </c>
      <c r="AC17" s="812">
        <v>0</v>
      </c>
      <c r="AD17" s="655">
        <f>AC17/'État des Résultats'!AC$14</f>
        <v>0</v>
      </c>
      <c r="AF17" s="812">
        <v>0</v>
      </c>
      <c r="AG17" s="655">
        <f>AF17/'État des Résultats'!AF$14</f>
        <v>0</v>
      </c>
      <c r="AI17" s="812">
        <v>0</v>
      </c>
      <c r="AJ17" s="655">
        <f>AI17/'État des Résultats'!AI$14</f>
        <v>0</v>
      </c>
      <c r="AL17" s="812">
        <v>0</v>
      </c>
      <c r="AM17" s="655">
        <f>AL17/'État des Résultats'!AL$14</f>
        <v>0</v>
      </c>
      <c r="AP17" s="815">
        <f t="shared" si="0"/>
        <v>0</v>
      </c>
      <c r="AQ17" s="657">
        <f>AP17/'État des Résultats'!$AP$14</f>
        <v>0</v>
      </c>
    </row>
    <row r="18" spans="2:69" x14ac:dyDescent="0.15">
      <c r="B18" s="654">
        <v>7730</v>
      </c>
      <c r="C18" s="392" t="s">
        <v>328</v>
      </c>
      <c r="E18" s="812">
        <v>0</v>
      </c>
      <c r="F18" s="655">
        <f>E18/'État des Résultats'!E$14</f>
        <v>0</v>
      </c>
      <c r="H18" s="812">
        <v>0</v>
      </c>
      <c r="I18" s="655">
        <f>H18/'État des Résultats'!H$14</f>
        <v>0</v>
      </c>
      <c r="K18" s="812">
        <v>0</v>
      </c>
      <c r="L18" s="655">
        <f>K18/'État des Résultats'!K$14</f>
        <v>0</v>
      </c>
      <c r="N18" s="812">
        <v>0</v>
      </c>
      <c r="O18" s="655">
        <f>N18/'État des Résultats'!N$14</f>
        <v>0</v>
      </c>
      <c r="Q18" s="812">
        <v>0</v>
      </c>
      <c r="R18" s="655">
        <f>Q18/'État des Résultats'!Q$14</f>
        <v>0</v>
      </c>
      <c r="T18" s="812">
        <v>0</v>
      </c>
      <c r="U18" s="655">
        <f>T18/'État des Résultats'!T$14</f>
        <v>0</v>
      </c>
      <c r="W18" s="812">
        <v>0</v>
      </c>
      <c r="X18" s="655">
        <f>W18/'État des Résultats'!W$14</f>
        <v>0</v>
      </c>
      <c r="Z18" s="812">
        <v>0</v>
      </c>
      <c r="AA18" s="655">
        <f>Z18/'État des Résultats'!Z$14</f>
        <v>0</v>
      </c>
      <c r="AC18" s="812">
        <v>0</v>
      </c>
      <c r="AD18" s="655">
        <f>AC18/'État des Résultats'!AC$14</f>
        <v>0</v>
      </c>
      <c r="AF18" s="812">
        <v>0</v>
      </c>
      <c r="AG18" s="655">
        <f>AF18/'État des Résultats'!AF$14</f>
        <v>0</v>
      </c>
      <c r="AI18" s="812">
        <v>0</v>
      </c>
      <c r="AJ18" s="655">
        <f>AI18/'État des Résultats'!AI$14</f>
        <v>0</v>
      </c>
      <c r="AL18" s="812">
        <v>0</v>
      </c>
      <c r="AM18" s="655">
        <f>AL18/'État des Résultats'!AL$14</f>
        <v>0</v>
      </c>
      <c r="AP18" s="815">
        <f t="shared" si="0"/>
        <v>0</v>
      </c>
      <c r="AQ18" s="657">
        <f>AP18/'État des Résultats'!$AP$14</f>
        <v>0</v>
      </c>
      <c r="AS18" s="209"/>
    </row>
    <row r="19" spans="2:69" x14ac:dyDescent="0.15">
      <c r="B19" s="654">
        <v>7790</v>
      </c>
      <c r="C19" s="392" t="s">
        <v>329</v>
      </c>
      <c r="E19" s="812">
        <v>0</v>
      </c>
      <c r="F19" s="655">
        <f>E19/'État des Résultats'!E$14</f>
        <v>0</v>
      </c>
      <c r="H19" s="812">
        <v>0</v>
      </c>
      <c r="I19" s="655">
        <f>H19/'État des Résultats'!H$14</f>
        <v>0</v>
      </c>
      <c r="K19" s="812">
        <v>0</v>
      </c>
      <c r="L19" s="655">
        <f>K19/'État des Résultats'!K$14</f>
        <v>0</v>
      </c>
      <c r="N19" s="812">
        <v>0</v>
      </c>
      <c r="O19" s="655">
        <f>N19/'État des Résultats'!N$14</f>
        <v>0</v>
      </c>
      <c r="Q19" s="812">
        <v>0</v>
      </c>
      <c r="R19" s="655">
        <f>Q19/'État des Résultats'!Q$14</f>
        <v>0</v>
      </c>
      <c r="T19" s="812">
        <v>0</v>
      </c>
      <c r="U19" s="655">
        <f>T19/'État des Résultats'!T$14</f>
        <v>0</v>
      </c>
      <c r="W19" s="812">
        <v>0</v>
      </c>
      <c r="X19" s="655">
        <f>W19/'État des Résultats'!W$14</f>
        <v>0</v>
      </c>
      <c r="Z19" s="812">
        <v>0</v>
      </c>
      <c r="AA19" s="655">
        <f>Z19/'État des Résultats'!Z$14</f>
        <v>0</v>
      </c>
      <c r="AC19" s="812">
        <v>0</v>
      </c>
      <c r="AD19" s="655">
        <f>AC19/'État des Résultats'!AC$14</f>
        <v>0</v>
      </c>
      <c r="AF19" s="812">
        <v>0</v>
      </c>
      <c r="AG19" s="655">
        <f>AF19/'État des Résultats'!AF$14</f>
        <v>0</v>
      </c>
      <c r="AI19" s="812">
        <v>0</v>
      </c>
      <c r="AJ19" s="655">
        <f>AI19/'État des Résultats'!AI$14</f>
        <v>0</v>
      </c>
      <c r="AL19" s="812">
        <v>0</v>
      </c>
      <c r="AM19" s="655">
        <f>AL19/'État des Résultats'!AL$14</f>
        <v>0</v>
      </c>
      <c r="AP19" s="815">
        <f t="shared" si="0"/>
        <v>0</v>
      </c>
      <c r="AQ19" s="657">
        <f>AP19/'État des Résultats'!$AP$14</f>
        <v>0</v>
      </c>
    </row>
    <row r="20" spans="2:69" x14ac:dyDescent="0.15">
      <c r="B20" s="654">
        <v>7795</v>
      </c>
      <c r="C20" s="392" t="s">
        <v>330</v>
      </c>
      <c r="E20" s="812">
        <v>0</v>
      </c>
      <c r="F20" s="655">
        <f>E20/'État des Résultats'!E$14</f>
        <v>0</v>
      </c>
      <c r="H20" s="812">
        <v>0</v>
      </c>
      <c r="I20" s="655">
        <f>H20/'État des Résultats'!H$14</f>
        <v>0</v>
      </c>
      <c r="K20" s="812">
        <v>0</v>
      </c>
      <c r="L20" s="655">
        <f>K20/'État des Résultats'!K$14</f>
        <v>0</v>
      </c>
      <c r="N20" s="812">
        <v>0</v>
      </c>
      <c r="O20" s="655">
        <f>N20/'État des Résultats'!N$14</f>
        <v>0</v>
      </c>
      <c r="Q20" s="812">
        <v>0</v>
      </c>
      <c r="R20" s="655">
        <f>Q20/'État des Résultats'!Q$14</f>
        <v>0</v>
      </c>
      <c r="T20" s="812">
        <v>0</v>
      </c>
      <c r="U20" s="655">
        <f>T20/'État des Résultats'!T$14</f>
        <v>0</v>
      </c>
      <c r="W20" s="812">
        <v>0</v>
      </c>
      <c r="X20" s="655">
        <f>W20/'État des Résultats'!W$14</f>
        <v>0</v>
      </c>
      <c r="Z20" s="812">
        <v>0</v>
      </c>
      <c r="AA20" s="655">
        <f>Z20/'État des Résultats'!Z$14</f>
        <v>0</v>
      </c>
      <c r="AC20" s="812">
        <v>0</v>
      </c>
      <c r="AD20" s="655">
        <f>AC20/'État des Résultats'!AC$14</f>
        <v>0</v>
      </c>
      <c r="AF20" s="812">
        <v>0</v>
      </c>
      <c r="AG20" s="655">
        <f>AF20/'État des Résultats'!AF$14</f>
        <v>0</v>
      </c>
      <c r="AI20" s="812">
        <v>0</v>
      </c>
      <c r="AJ20" s="655">
        <f>AI20/'État des Résultats'!AI$14</f>
        <v>0</v>
      </c>
      <c r="AL20" s="812">
        <v>0</v>
      </c>
      <c r="AM20" s="655">
        <f>AL20/'État des Résultats'!AL$14</f>
        <v>0</v>
      </c>
      <c r="AP20" s="815">
        <f t="shared" si="0"/>
        <v>0</v>
      </c>
      <c r="AQ20" s="657">
        <f>AP20/'État des Résultats'!$AP$14</f>
        <v>0</v>
      </c>
    </row>
    <row r="21" spans="2:69" x14ac:dyDescent="0.15">
      <c r="B21" s="654">
        <v>7799</v>
      </c>
      <c r="C21" s="392" t="s">
        <v>331</v>
      </c>
      <c r="E21" s="812">
        <v>0</v>
      </c>
      <c r="F21" s="655">
        <f>E21/'État des Résultats'!E$14</f>
        <v>0</v>
      </c>
      <c r="H21" s="812">
        <v>0</v>
      </c>
      <c r="I21" s="655">
        <f>H21/'État des Résultats'!H$14</f>
        <v>0</v>
      </c>
      <c r="K21" s="812">
        <v>0</v>
      </c>
      <c r="L21" s="655">
        <f>K21/'État des Résultats'!K$14</f>
        <v>0</v>
      </c>
      <c r="N21" s="812">
        <v>0</v>
      </c>
      <c r="O21" s="655">
        <f>N21/'État des Résultats'!N$14</f>
        <v>0</v>
      </c>
      <c r="Q21" s="812">
        <v>0</v>
      </c>
      <c r="R21" s="655">
        <f>Q21/'État des Résultats'!Q$14</f>
        <v>0</v>
      </c>
      <c r="T21" s="812">
        <v>0</v>
      </c>
      <c r="U21" s="655">
        <f>T21/'État des Résultats'!T$14</f>
        <v>0</v>
      </c>
      <c r="W21" s="812">
        <v>0</v>
      </c>
      <c r="X21" s="655">
        <f>W21/'État des Résultats'!W$14</f>
        <v>0</v>
      </c>
      <c r="Z21" s="812">
        <v>0</v>
      </c>
      <c r="AA21" s="655">
        <f>Z21/'État des Résultats'!Z$14</f>
        <v>0</v>
      </c>
      <c r="AC21" s="812">
        <v>0</v>
      </c>
      <c r="AD21" s="655">
        <f>AC21/'État des Résultats'!AC$14</f>
        <v>0</v>
      </c>
      <c r="AF21" s="812">
        <v>0</v>
      </c>
      <c r="AG21" s="655">
        <f>AF21/'État des Résultats'!AF$14</f>
        <v>0</v>
      </c>
      <c r="AI21" s="812">
        <v>0</v>
      </c>
      <c r="AJ21" s="655">
        <f>AI21/'État des Résultats'!AI$14</f>
        <v>0</v>
      </c>
      <c r="AL21" s="812">
        <v>0</v>
      </c>
      <c r="AM21" s="655">
        <f>AL21/'État des Résultats'!AL$14</f>
        <v>0</v>
      </c>
      <c r="AP21" s="815">
        <f t="shared" si="0"/>
        <v>0</v>
      </c>
      <c r="AQ21" s="657">
        <f>AP21/'État des Résultats'!$AP$14</f>
        <v>0</v>
      </c>
    </row>
    <row r="22" spans="2:69" ht="14" thickBot="1" x14ac:dyDescent="0.2">
      <c r="B22" s="654"/>
      <c r="C22" s="392"/>
      <c r="E22" s="812"/>
      <c r="F22" s="688"/>
      <c r="H22" s="812"/>
      <c r="I22" s="688"/>
      <c r="K22" s="812"/>
      <c r="L22" s="688"/>
      <c r="N22" s="812"/>
      <c r="O22" s="688"/>
      <c r="Q22" s="812"/>
      <c r="R22" s="688"/>
      <c r="T22" s="812"/>
      <c r="U22" s="688"/>
      <c r="W22" s="812"/>
      <c r="X22" s="688"/>
      <c r="Z22" s="812"/>
      <c r="AA22" s="688"/>
      <c r="AC22" s="812"/>
      <c r="AD22" s="688"/>
      <c r="AF22" s="812"/>
      <c r="AG22" s="688"/>
      <c r="AI22" s="812"/>
      <c r="AJ22" s="688"/>
      <c r="AL22" s="812"/>
      <c r="AM22" s="688"/>
      <c r="AP22" s="815"/>
      <c r="AQ22" s="689"/>
    </row>
    <row r="23" spans="2:69" ht="15" thickTop="1" thickBot="1" x14ac:dyDescent="0.2">
      <c r="B23" s="470">
        <v>7700</v>
      </c>
      <c r="C23" s="471" t="s">
        <v>332</v>
      </c>
      <c r="D23" s="213"/>
      <c r="E23" s="814">
        <f>SUM(E13:E21)</f>
        <v>923.33333333333337</v>
      </c>
      <c r="F23" s="663">
        <f>SUM(F13:F21)</f>
        <v>2.5301424917793202E-2</v>
      </c>
      <c r="G23" s="213"/>
      <c r="H23" s="814">
        <f>SUM(H13:H21)</f>
        <v>923.33333333333337</v>
      </c>
      <c r="I23" s="663">
        <f>SUM(I13:I22)</f>
        <v>2.6103447869671233E-2</v>
      </c>
      <c r="J23" s="213"/>
      <c r="K23" s="814">
        <f>SUM(K13:K21)</f>
        <v>923.33333333333337</v>
      </c>
      <c r="L23" s="663">
        <f>SUM(L13:L22)</f>
        <v>2.3425194769500737E-2</v>
      </c>
      <c r="M23" s="213"/>
      <c r="N23" s="814">
        <f>SUM(N13:N21)</f>
        <v>923.33333333333337</v>
      </c>
      <c r="O23" s="663">
        <f>SUM(O13:O22)</f>
        <v>2.3154969018735046E-2</v>
      </c>
      <c r="P23" s="213"/>
      <c r="Q23" s="814">
        <f>SUM(Q13:Q21)</f>
        <v>923.33333333333337</v>
      </c>
      <c r="R23" s="663">
        <f>SUM(R13:R22)</f>
        <v>2.1506211180124222E-2</v>
      </c>
      <c r="S23" s="213"/>
      <c r="T23" s="814">
        <f>SUM(T13:T21)</f>
        <v>923.33333333333337</v>
      </c>
      <c r="U23" s="663">
        <f>SUM(U13:U22)</f>
        <v>2.0926982208287689E-2</v>
      </c>
      <c r="V23" s="213"/>
      <c r="W23" s="814">
        <f>SUM(W13:W21)</f>
        <v>923.33333333333337</v>
      </c>
      <c r="X23" s="663">
        <f>SUM(X13:X22)</f>
        <v>2.0186010074786619E-2</v>
      </c>
      <c r="Y23" s="213"/>
      <c r="Z23" s="814">
        <f>SUM(Z13:Z21)</f>
        <v>923.33333333333337</v>
      </c>
      <c r="AA23" s="663">
        <f>SUM(AA13:AA22)</f>
        <v>1.9923040960909126E-2</v>
      </c>
      <c r="AB23" s="213"/>
      <c r="AC23" s="814">
        <f>SUM(AC13:AC21)</f>
        <v>923.33333333333337</v>
      </c>
      <c r="AD23" s="663">
        <f>SUM(AD13:AD22)</f>
        <v>2.1788291742866697E-2</v>
      </c>
      <c r="AE23" s="213"/>
      <c r="AF23" s="814">
        <f>SUM(AF13:AF21)</f>
        <v>923.33333333333337</v>
      </c>
      <c r="AG23" s="663">
        <f>SUM(AG13:AG22)</f>
        <v>2.176860056189709E-2</v>
      </c>
      <c r="AH23" s="213"/>
      <c r="AI23" s="814">
        <f>SUM(AI13:AI21)</f>
        <v>923.33333333333337</v>
      </c>
      <c r="AJ23" s="663">
        <f>SUM(AJ13:AJ22)</f>
        <v>2.3419500750354039E-2</v>
      </c>
      <c r="AK23" s="213"/>
      <c r="AL23" s="814">
        <f>SUM(AL13:AL21)</f>
        <v>923.33333333333337</v>
      </c>
      <c r="AM23" s="663">
        <f>SUM(AM13:AM22)</f>
        <v>2.1073452774924874E-2</v>
      </c>
      <c r="AN23" s="213"/>
      <c r="AO23" s="213"/>
      <c r="AP23" s="814">
        <f>SUM(AP13:AP21)</f>
        <v>11080.000000000002</v>
      </c>
      <c r="AQ23" s="663">
        <f>SUM(AQ13:AQ21)</f>
        <v>2.2234113712374586E-2</v>
      </c>
      <c r="AR23" s="213"/>
      <c r="AS23" s="213"/>
      <c r="AT23" s="213"/>
      <c r="AU23" s="251"/>
    </row>
    <row r="24" spans="2:69" ht="14" thickTop="1" x14ac:dyDescent="0.15">
      <c r="L24" s="315"/>
      <c r="O24" s="315"/>
      <c r="R24" s="315"/>
      <c r="U24" s="315"/>
      <c r="X24" s="315"/>
      <c r="AA24" s="315"/>
      <c r="AD24" s="315"/>
      <c r="AG24" s="315"/>
      <c r="AJ24" s="315"/>
      <c r="AM24" s="315"/>
      <c r="AQ24" s="315"/>
    </row>
    <row r="25" spans="2:69" x14ac:dyDescent="0.15">
      <c r="R25" s="315"/>
      <c r="U25" s="315"/>
      <c r="X25" s="315"/>
      <c r="AD25" s="315"/>
      <c r="AG25" s="315"/>
      <c r="AJ25" s="315"/>
      <c r="AM25" s="315"/>
    </row>
    <row r="26" spans="2:69" x14ac:dyDescent="0.15">
      <c r="U26" s="315"/>
      <c r="AG26" s="315"/>
      <c r="AJ26" s="315"/>
      <c r="AM26" s="315"/>
    </row>
    <row r="27" spans="2:69" x14ac:dyDescent="0.15">
      <c r="C27" s="161" t="s">
        <v>2</v>
      </c>
      <c r="E27" s="161" t="s">
        <v>2</v>
      </c>
      <c r="G27" s="161" t="s">
        <v>2</v>
      </c>
      <c r="H27" s="161" t="s">
        <v>2</v>
      </c>
      <c r="U27" s="315"/>
      <c r="AG27" s="315"/>
      <c r="AJ27" s="315"/>
      <c r="AM27" s="315"/>
    </row>
    <row r="28" spans="2:69" x14ac:dyDescent="0.15">
      <c r="H28" s="161" t="s">
        <v>2</v>
      </c>
      <c r="AG28" s="315"/>
      <c r="AJ28" s="315"/>
      <c r="AM28" s="315"/>
    </row>
    <row r="29" spans="2:69" x14ac:dyDescent="0.15">
      <c r="H29" s="161" t="s">
        <v>2</v>
      </c>
      <c r="AM29" s="315"/>
    </row>
    <row r="30" spans="2:69" x14ac:dyDescent="0.15">
      <c r="H30" s="161" t="s">
        <v>2</v>
      </c>
      <c r="BB30" s="170"/>
      <c r="BC30" s="170"/>
      <c r="BD30" s="170"/>
      <c r="BE30" s="170"/>
      <c r="BF30" s="170"/>
      <c r="BG30" s="170"/>
      <c r="BH30" s="170"/>
      <c r="BI30" s="170"/>
      <c r="BJ30" s="170"/>
      <c r="BK30" s="170"/>
      <c r="BL30" s="170"/>
      <c r="BM30" s="170"/>
      <c r="BN30" s="170"/>
      <c r="BO30" s="170"/>
      <c r="BP30" s="170"/>
      <c r="BQ30" s="170"/>
    </row>
    <row r="31" spans="2:69" x14ac:dyDescent="0.15">
      <c r="H31" s="161" t="s">
        <v>2</v>
      </c>
    </row>
    <row r="32" spans="2:69" x14ac:dyDescent="0.15">
      <c r="H32" s="161" t="s">
        <v>2</v>
      </c>
    </row>
    <row r="42" spans="8:8" x14ac:dyDescent="0.15">
      <c r="H42" s="664"/>
    </row>
  </sheetData>
  <sheetProtection algorithmName="SHA-512" hashValue="+3XSTVWBqqPeWTIJ643Om6XBJDTjdzkgeu/vGxo2dV+D54teT+l34D2IX7pD4ORiF+gm5UC4tePP45vgr29JDQ==" saltValue="gCNKiW3jCqG57LVPP5omD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82DF6343-788C-8E4A-99E0-8A91E88FD20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3 H13 K13 N13 Q13 T13 W13 Z13 AC13 AF13 AI13 AL13" unlocked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2DDD-E0B6-8E43-BE60-CDEC8FC05357}">
  <sheetPr>
    <tabColor theme="1"/>
    <pageSetUpPr fitToPage="1"/>
  </sheetPr>
  <dimension ref="B1:BQ48"/>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3"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82" t="str">
        <f>'Coût marchandises vendues'!B2</f>
        <v>Chez Les Petites Gâteries &amp; Cie.</v>
      </c>
      <c r="C2" s="1283"/>
      <c r="AS2" s="1240" t="s">
        <v>42</v>
      </c>
      <c r="AT2" s="367"/>
      <c r="AU2" s="367"/>
      <c r="AV2" s="367"/>
      <c r="AW2" s="367"/>
      <c r="AX2" s="367"/>
      <c r="AY2" s="367"/>
      <c r="AZ2" s="367"/>
      <c r="BA2" s="367"/>
      <c r="BB2" s="367"/>
      <c r="BC2" s="1243" t="s">
        <v>43</v>
      </c>
    </row>
    <row r="3" spans="2:56" ht="20" customHeight="1" x14ac:dyDescent="0.2">
      <c r="B3" s="1284" t="str">
        <f>'Coût marchandises vendues'!B3</f>
        <v xml:space="preserve">États des résultats </v>
      </c>
      <c r="C3" s="1285"/>
      <c r="AS3" s="1241"/>
      <c r="AT3" s="368"/>
      <c r="AU3" s="368"/>
      <c r="AV3" s="368"/>
      <c r="AW3" s="368"/>
      <c r="AX3" s="368"/>
      <c r="AY3" s="368"/>
      <c r="AZ3" s="368"/>
      <c r="BA3" s="368"/>
      <c r="BB3" s="368"/>
      <c r="BC3" s="1244"/>
    </row>
    <row r="4" spans="2:56" ht="20" customHeight="1" thickBot="1" x14ac:dyDescent="0.3">
      <c r="B4" s="1286" t="str">
        <f>'Coût marchandises vendues'!B4</f>
        <v>Pour la période du 1er janvier 2021 au 31 décembre 2021</v>
      </c>
      <c r="C4" s="1287"/>
      <c r="AS4" s="1241"/>
      <c r="AT4" s="369" t="str">
        <f>'Formule pour le calcul D'!BA103</f>
        <v>Coût annuel</v>
      </c>
      <c r="AU4" s="369" t="s">
        <v>44</v>
      </c>
      <c r="AV4" s="369" t="str">
        <f>'Formule pour le calcul D'!BC103</f>
        <v>Achalandage annuelle</v>
      </c>
      <c r="AW4" s="369" t="s">
        <v>45</v>
      </c>
      <c r="AX4" s="369" t="s">
        <v>46</v>
      </c>
      <c r="AY4" s="369" t="str">
        <f>'Formule pour le calcul D'!BF103</f>
        <v>Um/A</v>
      </c>
      <c r="AZ4" s="369" t="s">
        <v>45</v>
      </c>
      <c r="BA4" s="369" t="str">
        <f>'Formule pour le calcul D'!BH103</f>
        <v>CmO</v>
      </c>
      <c r="BB4" s="369" t="s">
        <v>49</v>
      </c>
      <c r="BC4" s="1244"/>
    </row>
    <row r="5" spans="2:56" ht="21" thickTop="1" thickBot="1" x14ac:dyDescent="0.3">
      <c r="AS5" s="1241"/>
      <c r="AT5" s="370" t="s">
        <v>2</v>
      </c>
      <c r="AU5" s="371"/>
      <c r="AV5" s="370"/>
      <c r="AW5" s="371"/>
      <c r="AX5" s="371"/>
      <c r="AY5" s="371"/>
      <c r="AZ5" s="371"/>
      <c r="BA5" s="371"/>
      <c r="BB5" s="371"/>
      <c r="BC5" s="1244"/>
    </row>
    <row r="6" spans="2:56" ht="27" thickTop="1" x14ac:dyDescent="0.3">
      <c r="B6" s="1258" t="str">
        <f>'Coût marchandises vendues'!B6</f>
        <v>Nb de places</v>
      </c>
      <c r="C6" s="1288"/>
      <c r="E6" s="638" t="str">
        <f>'Services publics'!E6</f>
        <v>Coût / place / jour</v>
      </c>
      <c r="F6" s="639">
        <f>+E29/$B$7/'Calendrier 2021'!D8</f>
        <v>47.986559139784951</v>
      </c>
      <c r="G6" s="170"/>
      <c r="H6" s="638" t="str">
        <f>+E6</f>
        <v>Coût / place / jour</v>
      </c>
      <c r="I6" s="639">
        <f>+H29/$B$7/'Calendrier 2021'!E8</f>
        <v>52.126860119047628</v>
      </c>
      <c r="J6" s="170"/>
      <c r="K6" s="638" t="str">
        <f>+H6</f>
        <v>Coût / place / jour</v>
      </c>
      <c r="L6" s="639">
        <f>+K29/$B$7/'Calendrier 2021'!F8</f>
        <v>50.34375</v>
      </c>
      <c r="M6" s="170"/>
      <c r="N6" s="638" t="str">
        <f>+K6</f>
        <v>Coût / place / jour</v>
      </c>
      <c r="O6" s="639">
        <f>+N29/$B$7/'Calendrier 2021'!G8</f>
        <v>52.405208333333334</v>
      </c>
      <c r="P6" s="423"/>
      <c r="Q6" s="638" t="str">
        <f>+N6</f>
        <v>Coût / place / jour</v>
      </c>
      <c r="R6" s="639">
        <f>+Q29/$B$7/'Calendrier 2021'!H8</f>
        <v>53.180107526881727</v>
      </c>
      <c r="S6" s="423"/>
      <c r="T6" s="638" t="str">
        <f>+Q6</f>
        <v>Coût / place / jour</v>
      </c>
      <c r="U6" s="639">
        <f>+T29/$B$7/'Calendrier 2021'!I8</f>
        <v>55.94305555555556</v>
      </c>
      <c r="V6" s="170"/>
      <c r="W6" s="638" t="str">
        <f>+T6</f>
        <v>Coût / place / jour</v>
      </c>
      <c r="X6" s="639">
        <f>+W29/$B$7/'Calendrier 2021'!J8</f>
        <v>55.444556451612904</v>
      </c>
      <c r="Y6" s="170"/>
      <c r="Z6" s="638" t="str">
        <f>+W6</f>
        <v>Coût / place / jour</v>
      </c>
      <c r="AA6" s="639">
        <f>+Z29/$B$7/'Calendrier 2021'!K8</f>
        <v>55.931451612903224</v>
      </c>
      <c r="AB6" s="170"/>
      <c r="AC6" s="638" t="str">
        <f>+Z6</f>
        <v>Coût / place / jour</v>
      </c>
      <c r="AD6" s="639">
        <f>+AC29/$B$7/'Calendrier 2021'!L8</f>
        <v>54.489583333333336</v>
      </c>
      <c r="AE6" s="170"/>
      <c r="AF6" s="638" t="str">
        <f>+AC6</f>
        <v>Coût / place / jour</v>
      </c>
      <c r="AG6" s="639">
        <f>+AF29/$B$7/'Calendrier 2021'!M8</f>
        <v>52.762768817204304</v>
      </c>
      <c r="AH6" s="170"/>
      <c r="AI6" s="638" t="str">
        <f>+AF6</f>
        <v>Coût / place / jour</v>
      </c>
      <c r="AJ6" s="639">
        <f>+AI29/$B$7/'Calendrier 2021'!N8</f>
        <v>52.029861111111117</v>
      </c>
      <c r="AK6" s="170"/>
      <c r="AL6" s="638" t="str">
        <f>+AI6</f>
        <v>Coût / place / jour</v>
      </c>
      <c r="AM6" s="639">
        <f>+AL29/$B$7/'Calendrier 2021'!O8</f>
        <v>53.891129032258064</v>
      </c>
      <c r="AN6" s="170"/>
      <c r="AO6" s="170"/>
      <c r="AP6" s="640" t="str">
        <f>+AL6</f>
        <v>Coût / place / jour</v>
      </c>
      <c r="AQ6" s="641">
        <f>+AP29/$B$7/'% Occupation'!P9</f>
        <v>53.044748858447498</v>
      </c>
      <c r="AS6" s="1241"/>
      <c r="AT6" s="630" t="str">
        <f>'Formule pour le calcul D'!BA105</f>
        <v xml:space="preserve">C </v>
      </c>
      <c r="AU6" s="373"/>
      <c r="AV6" s="372" t="str">
        <f>'Formule pour le calcul D'!BC105</f>
        <v>A</v>
      </c>
      <c r="AW6" s="373"/>
      <c r="AX6" s="373"/>
      <c r="AY6" s="372" t="str">
        <f>AY4</f>
        <v>Um/A</v>
      </c>
      <c r="AZ6" s="373"/>
      <c r="BA6" s="372" t="str">
        <f>BA4</f>
        <v>CmO</v>
      </c>
      <c r="BB6" s="373"/>
      <c r="BC6" s="1244"/>
    </row>
    <row r="7" spans="2:56" ht="21" x14ac:dyDescent="0.25">
      <c r="B7" s="1290">
        <f>'Coût marchandises vendues'!B7</f>
        <v>1</v>
      </c>
      <c r="C7" s="1289"/>
      <c r="E7" s="425">
        <f>+E29/$AP29</f>
        <v>7.6832690586047789E-2</v>
      </c>
      <c r="F7" s="642"/>
      <c r="H7" s="425">
        <f>+H29/$AP29</f>
        <v>7.5384895151849041E-2</v>
      </c>
      <c r="I7" s="642"/>
      <c r="K7" s="425">
        <f>+K29/$AP29</f>
        <v>8.0606858170924861E-2</v>
      </c>
      <c r="L7" s="426"/>
      <c r="N7" s="425">
        <f>+N29/$AP29</f>
        <v>8.1200825528544851E-2</v>
      </c>
      <c r="O7" s="426"/>
      <c r="P7" s="643"/>
      <c r="Q7" s="425">
        <f>+Q29/$AP29</f>
        <v>8.5148233592727773E-2</v>
      </c>
      <c r="R7" s="426"/>
      <c r="S7" s="643"/>
      <c r="T7" s="425">
        <f>+T29/$AP29</f>
        <v>8.6682649266579426E-2</v>
      </c>
      <c r="U7" s="426"/>
      <c r="W7" s="425">
        <f>+W29/$AP29</f>
        <v>8.8773909338199841E-2</v>
      </c>
      <c r="X7" s="426"/>
      <c r="Z7" s="425">
        <f>+Z29/$AP29</f>
        <v>8.955349149507609E-2</v>
      </c>
      <c r="AA7" s="426"/>
      <c r="AC7" s="425">
        <f>+AC29/$AP29</f>
        <v>8.4430523035603597E-2</v>
      </c>
      <c r="AD7" s="426"/>
      <c r="AF7" s="425">
        <f>+AF29/$AP29</f>
        <v>8.4480020315405274E-2</v>
      </c>
      <c r="AG7" s="426"/>
      <c r="AI7" s="425">
        <f>+AI29/$AP29</f>
        <v>8.0619232490875284E-2</v>
      </c>
      <c r="AJ7" s="426"/>
      <c r="AL7" s="425">
        <f>+AL29/$AP29</f>
        <v>8.628667102816609E-2</v>
      </c>
      <c r="AM7" s="426"/>
      <c r="AP7" s="644">
        <f>+AP29/$AP29</f>
        <v>1</v>
      </c>
      <c r="AQ7" s="645" t="s">
        <v>136</v>
      </c>
      <c r="AS7" s="1241"/>
      <c r="AT7" s="631">
        <f>AP29</f>
        <v>19361.333333333336</v>
      </c>
      <c r="AU7" s="369" t="s">
        <v>44</v>
      </c>
      <c r="AV7" s="632">
        <f>'Formule pour le calcul D'!G114</f>
        <v>52000</v>
      </c>
      <c r="AW7" s="369" t="s">
        <v>45</v>
      </c>
      <c r="AX7" s="369" t="s">
        <v>46</v>
      </c>
      <c r="AY7" s="633">
        <f>'Formule pour le calcul D'!J106</f>
        <v>2</v>
      </c>
      <c r="AZ7" s="369" t="s">
        <v>45</v>
      </c>
      <c r="BA7" s="634">
        <f>AT7/AV7/AY7</f>
        <v>0.1861666666666667</v>
      </c>
      <c r="BB7" s="369" t="s">
        <v>49</v>
      </c>
      <c r="BC7" s="1244"/>
    </row>
    <row r="8" spans="2:56" ht="17" thickBot="1" x14ac:dyDescent="0.25">
      <c r="B8" s="1262" t="s">
        <v>334</v>
      </c>
      <c r="C8" s="1289"/>
      <c r="E8" s="647" t="str">
        <f>'Mark &amp; Communication marketing'!E8</f>
        <v>Pér.01</v>
      </c>
      <c r="F8" s="646" t="str">
        <f>'Mark &amp; Communication marketing'!F8</f>
        <v>(%)</v>
      </c>
      <c r="G8" s="383"/>
      <c r="H8" s="647" t="str">
        <f>'Mark &amp; Communication marketing'!H8</f>
        <v>Pér.02</v>
      </c>
      <c r="I8" s="646" t="str">
        <f>F8</f>
        <v>(%)</v>
      </c>
      <c r="J8" s="383"/>
      <c r="K8" s="647" t="str">
        <f>'Mark &amp; Communication marketing'!K8</f>
        <v>Pér.03</v>
      </c>
      <c r="L8" s="646" t="str">
        <f>I8</f>
        <v>(%)</v>
      </c>
      <c r="M8" s="383"/>
      <c r="N8" s="647" t="str">
        <f>'Mark &amp; Communication marketing'!N8</f>
        <v>Pér.04</v>
      </c>
      <c r="O8" s="646" t="str">
        <f>L8</f>
        <v>(%)</v>
      </c>
      <c r="P8" s="427"/>
      <c r="Q8" s="647" t="str">
        <f>'Mark &amp; Communication marketing'!Q8</f>
        <v>Pér.05</v>
      </c>
      <c r="R8" s="646" t="str">
        <f>O8</f>
        <v>(%)</v>
      </c>
      <c r="S8" s="427"/>
      <c r="T8" s="647" t="str">
        <f>'Mark &amp; Communication marketing'!T8</f>
        <v>Pér.06</v>
      </c>
      <c r="U8" s="646" t="str">
        <f>R8</f>
        <v>(%)</v>
      </c>
      <c r="V8" s="383"/>
      <c r="W8" s="647" t="str">
        <f>'Mark &amp; Communication marketing'!W8</f>
        <v>Pér.07</v>
      </c>
      <c r="X8" s="646" t="str">
        <f>U8</f>
        <v>(%)</v>
      </c>
      <c r="Y8" s="383"/>
      <c r="Z8" s="647" t="str">
        <f>'Mark &amp; Communication marketing'!Z8</f>
        <v>Pér.08</v>
      </c>
      <c r="AA8" s="646" t="str">
        <f>X8</f>
        <v>(%)</v>
      </c>
      <c r="AB8" s="383"/>
      <c r="AC8" s="647" t="str">
        <f>'Mark &amp; Communication marketing'!AC8</f>
        <v>Pér.09</v>
      </c>
      <c r="AD8" s="646" t="str">
        <f>AA8</f>
        <v>(%)</v>
      </c>
      <c r="AE8" s="383"/>
      <c r="AF8" s="647" t="str">
        <f>'Mark &amp; Communication marketing'!AF8</f>
        <v>Pér.10</v>
      </c>
      <c r="AG8" s="646" t="str">
        <f>AD8</f>
        <v>(%)</v>
      </c>
      <c r="AH8" s="383"/>
      <c r="AI8" s="647" t="str">
        <f>'Mark &amp; Communication marketing'!AI8</f>
        <v>Pér.11</v>
      </c>
      <c r="AJ8" s="646" t="str">
        <f>AG8</f>
        <v>(%)</v>
      </c>
      <c r="AK8" s="383"/>
      <c r="AL8" s="647" t="str">
        <f>'Mark &amp; Communication marketing'!AL8</f>
        <v>Pér.12</v>
      </c>
      <c r="AM8" s="646" t="str">
        <f>AJ8</f>
        <v>(%)</v>
      </c>
      <c r="AN8" s="648" t="s">
        <v>2</v>
      </c>
      <c r="AO8" s="383"/>
      <c r="AP8" s="649" t="str">
        <f>'Musique &amp; Divertissement'!AP8</f>
        <v>Total</v>
      </c>
      <c r="AQ8" s="646" t="str">
        <f>AM8</f>
        <v>(%)</v>
      </c>
      <c r="AS8" s="1242"/>
      <c r="AT8" s="374"/>
      <c r="AU8" s="374"/>
      <c r="AV8" s="374"/>
      <c r="AW8" s="374"/>
      <c r="AX8" s="374"/>
      <c r="AY8" s="374"/>
      <c r="AZ8" s="374"/>
      <c r="BA8" s="374"/>
      <c r="BB8" s="374"/>
      <c r="BC8" s="1245"/>
    </row>
    <row r="9" spans="2:56" ht="15" thickTop="1" thickBot="1" x14ac:dyDescent="0.2">
      <c r="B9" s="1298">
        <f>AP29/$B$7</f>
        <v>19361.333333333336</v>
      </c>
      <c r="C9" s="1299"/>
      <c r="E9" s="665" t="str">
        <f>'Mark &amp; Communication marketing'!E9</f>
        <v>Janvier 2021</v>
      </c>
      <c r="F9" s="666"/>
      <c r="G9" s="293"/>
      <c r="H9" s="667" t="str">
        <f>'Mark &amp; Communication marketing'!H9</f>
        <v>Février 2021</v>
      </c>
      <c r="I9" s="668"/>
      <c r="J9" s="293"/>
      <c r="K9" s="667" t="str">
        <f>'Mark &amp; Communication marketing'!K9</f>
        <v>Mars 2021</v>
      </c>
      <c r="L9" s="668"/>
      <c r="M9" s="293"/>
      <c r="N9" s="665" t="str">
        <f>'Mark &amp; Communication marketing'!N9</f>
        <v>Avril 2021</v>
      </c>
      <c r="O9" s="666"/>
      <c r="P9" s="669"/>
      <c r="Q9" s="665" t="str">
        <f>'Mark &amp; Communication marketing'!Q9</f>
        <v>Mai 2021</v>
      </c>
      <c r="R9" s="666"/>
      <c r="S9" s="669"/>
      <c r="T9" s="667" t="str">
        <f>'Mark &amp; Communication marketing'!T9</f>
        <v>Juin 2021</v>
      </c>
      <c r="U9" s="668"/>
      <c r="V9" s="293"/>
      <c r="W9" s="667" t="str">
        <f>'Mark &amp; Communication marketing'!W9</f>
        <v>Juillet 2021</v>
      </c>
      <c r="X9" s="668"/>
      <c r="Y9" s="293"/>
      <c r="Z9" s="667" t="str">
        <f>'Mark &amp; Communication marketing'!Z9</f>
        <v>Août 2021</v>
      </c>
      <c r="AA9" s="668"/>
      <c r="AB9" s="293"/>
      <c r="AC9" s="667" t="str">
        <f>'Mark &amp; Communication marketing'!AC9</f>
        <v>Septembre 2021</v>
      </c>
      <c r="AD9" s="668"/>
      <c r="AE9" s="293"/>
      <c r="AF9" s="667" t="str">
        <f>'Mark &amp; Communication marketing'!AF9</f>
        <v>Octobre 2021</v>
      </c>
      <c r="AG9" s="668"/>
      <c r="AH9" s="293"/>
      <c r="AI9" s="667" t="str">
        <f>'Mark &amp; Communication marketing'!AI9</f>
        <v>Novembre 2021</v>
      </c>
      <c r="AJ9" s="668"/>
      <c r="AK9" s="293"/>
      <c r="AL9" s="667" t="str">
        <f>'Mark &amp; Communication marketing'!AL9</f>
        <v>Décembre 2021</v>
      </c>
      <c r="AM9" s="668"/>
      <c r="AN9" s="293"/>
      <c r="AO9" s="293"/>
      <c r="AP9" s="670" t="str">
        <f>'Mark &amp; Communication marketing'!AP9</f>
        <v>Année</v>
      </c>
      <c r="AQ9" s="671"/>
      <c r="AR9" s="703"/>
      <c r="AS9" s="703"/>
      <c r="AT9" s="650"/>
      <c r="AU9" s="650"/>
      <c r="AV9" s="650"/>
      <c r="AW9" s="650"/>
      <c r="AX9" s="650"/>
      <c r="AY9" s="650"/>
      <c r="AZ9" s="650"/>
    </row>
    <row r="10" spans="2:56" ht="15" thickTop="1" thickBot="1" x14ac:dyDescent="0.2">
      <c r="D10" s="251"/>
      <c r="G10" s="389"/>
      <c r="J10" s="389"/>
      <c r="M10" s="389"/>
      <c r="P10" s="434"/>
      <c r="S10" s="434"/>
      <c r="V10" s="389"/>
      <c r="Y10" s="187"/>
      <c r="AB10" s="389"/>
      <c r="AE10" s="389"/>
      <c r="AH10" s="389"/>
      <c r="AK10" s="389"/>
      <c r="AN10" s="389"/>
      <c r="AO10" s="389"/>
      <c r="AR10" s="170"/>
      <c r="AS10" s="170"/>
      <c r="AT10" s="170"/>
    </row>
    <row r="11" spans="2:56" ht="14" thickTop="1" x14ac:dyDescent="0.15">
      <c r="B11" s="651"/>
      <c r="C11" s="714" t="s">
        <v>335</v>
      </c>
      <c r="E11" s="651"/>
      <c r="F11" s="652"/>
      <c r="H11" s="651"/>
      <c r="I11" s="652"/>
      <c r="K11" s="651"/>
      <c r="L11" s="652"/>
      <c r="N11" s="651"/>
      <c r="O11" s="652"/>
      <c r="Q11" s="651"/>
      <c r="R11" s="652"/>
      <c r="T11" s="651"/>
      <c r="U11" s="652"/>
      <c r="W11" s="651"/>
      <c r="X11" s="652"/>
      <c r="Z11" s="651"/>
      <c r="AA11" s="652"/>
      <c r="AC11" s="651"/>
      <c r="AD11" s="652"/>
      <c r="AF11" s="651"/>
      <c r="AG11" s="652"/>
      <c r="AI11" s="651"/>
      <c r="AJ11" s="652"/>
      <c r="AL11" s="651"/>
      <c r="AM11" s="652"/>
      <c r="AP11" s="614"/>
      <c r="AQ11" s="616"/>
      <c r="AR11" s="187"/>
      <c r="AS11" s="187"/>
      <c r="AT11" s="187"/>
      <c r="AU11" s="187"/>
      <c r="AV11" s="187"/>
      <c r="AW11" s="187"/>
      <c r="AX11" s="187"/>
      <c r="AY11" s="187"/>
      <c r="AZ11" s="187"/>
      <c r="BA11" s="187"/>
      <c r="BB11" s="187"/>
      <c r="BC11" s="187"/>
      <c r="BD11" s="187"/>
    </row>
    <row r="12" spans="2:56" x14ac:dyDescent="0.15">
      <c r="B12" s="190"/>
      <c r="C12" s="653"/>
      <c r="E12" s="190"/>
      <c r="F12" s="392"/>
      <c r="H12" s="190"/>
      <c r="I12" s="392"/>
      <c r="K12" s="190"/>
      <c r="L12" s="392"/>
      <c r="N12" s="190"/>
      <c r="O12" s="392"/>
      <c r="Q12" s="190"/>
      <c r="R12" s="392"/>
      <c r="T12" s="190"/>
      <c r="U12" s="392"/>
      <c r="W12" s="190"/>
      <c r="X12" s="392"/>
      <c r="Z12" s="190"/>
      <c r="AA12" s="392"/>
      <c r="AC12" s="190"/>
      <c r="AD12" s="392"/>
      <c r="AF12" s="190"/>
      <c r="AG12" s="392"/>
      <c r="AI12" s="190"/>
      <c r="AJ12" s="392"/>
      <c r="AL12" s="190"/>
      <c r="AM12" s="191"/>
      <c r="AP12" s="193"/>
      <c r="AQ12" s="495"/>
      <c r="AR12" s="187"/>
      <c r="AS12" s="187"/>
      <c r="AT12" s="187"/>
      <c r="AU12" s="187"/>
      <c r="AV12" s="187"/>
      <c r="AW12" s="187"/>
      <c r="AX12" s="187"/>
      <c r="AY12" s="187"/>
      <c r="AZ12" s="187"/>
      <c r="BA12" s="187"/>
      <c r="BB12" s="187"/>
      <c r="BC12" s="187"/>
      <c r="BD12" s="187"/>
    </row>
    <row r="13" spans="2:56" x14ac:dyDescent="0.15">
      <c r="B13" s="190">
        <v>7805</v>
      </c>
      <c r="C13" s="392" t="s">
        <v>336</v>
      </c>
      <c r="E13" s="1115">
        <v>50</v>
      </c>
      <c r="F13" s="655">
        <f>E13/'État des Résultats'!E$14</f>
        <v>1.3701132626963827E-3</v>
      </c>
      <c r="H13" s="1115">
        <f>+E13</f>
        <v>50</v>
      </c>
      <c r="I13" s="655">
        <f>H13/'État des Résultats'!H$14</f>
        <v>1.4135441084659511E-3</v>
      </c>
      <c r="K13" s="1115">
        <f>+H13</f>
        <v>50</v>
      </c>
      <c r="L13" s="655">
        <f>K13/'État des Résultats'!K$14</f>
        <v>1.2685123521390289E-3</v>
      </c>
      <c r="N13" s="1115">
        <f>+K13</f>
        <v>50</v>
      </c>
      <c r="O13" s="655">
        <f>N13/'État des Résultats'!N$14</f>
        <v>1.2538791887401648E-3</v>
      </c>
      <c r="Q13" s="1115">
        <f>+N13</f>
        <v>50</v>
      </c>
      <c r="R13" s="655">
        <f>Q13/'État des Résultats'!Q$14</f>
        <v>1.1645962732919255E-3</v>
      </c>
      <c r="T13" s="1115">
        <f>+Q13</f>
        <v>50</v>
      </c>
      <c r="U13" s="655">
        <f>T13/'État des Résultats'!T$14</f>
        <v>1.1332300834812827E-3</v>
      </c>
      <c r="W13" s="1115">
        <f>+T13</f>
        <v>50</v>
      </c>
      <c r="X13" s="655">
        <f>W13/'État des Résultats'!W$14</f>
        <v>1.0931052387068564E-3</v>
      </c>
      <c r="Z13" s="1115">
        <f>+W13</f>
        <v>50</v>
      </c>
      <c r="AA13" s="655">
        <f>Z13/'État des Résultats'!Z$14</f>
        <v>1.0788650339842486E-3</v>
      </c>
      <c r="AC13" s="1115">
        <f>+Z13</f>
        <v>50</v>
      </c>
      <c r="AD13" s="655">
        <f>AC13/'État des Résultats'!AC$14</f>
        <v>1.179871394018052E-3</v>
      </c>
      <c r="AF13" s="1115">
        <f>+AC13</f>
        <v>50</v>
      </c>
      <c r="AG13" s="655">
        <f>AF13/'État des Résultats'!AF$14</f>
        <v>1.1788050845792648E-3</v>
      </c>
      <c r="AI13" s="1115">
        <f>+AF13</f>
        <v>50</v>
      </c>
      <c r="AJ13" s="655">
        <f>AI13/'État des Résultats'!AI$14</f>
        <v>1.2682040117520238E-3</v>
      </c>
      <c r="AL13" s="1115">
        <f>+AI13</f>
        <v>50</v>
      </c>
      <c r="AM13" s="655">
        <f>AL13/'État des Résultats'!AL$14</f>
        <v>1.1411617026132602E-3</v>
      </c>
      <c r="AP13" s="815">
        <f>SUM(+$AL13+$AI13+$AF13+$AC13+$Z13+$W13+$T13+$Q13+$N13+$K13+$H13+$E13)</f>
        <v>600</v>
      </c>
      <c r="AQ13" s="657">
        <f>AP13/'État des Résultats'!$AP$14</f>
        <v>1.2040133779264214E-3</v>
      </c>
    </row>
    <row r="14" spans="2:56" x14ac:dyDescent="0.15">
      <c r="B14" s="190">
        <v>7810</v>
      </c>
      <c r="C14" s="392" t="s">
        <v>337</v>
      </c>
      <c r="E14" s="1115">
        <v>0</v>
      </c>
      <c r="F14" s="655">
        <f>E14/'État des Résultats'!E$14</f>
        <v>0</v>
      </c>
      <c r="H14" s="1115">
        <v>0</v>
      </c>
      <c r="I14" s="655">
        <f>H14/'État des Résultats'!H$14</f>
        <v>0</v>
      </c>
      <c r="K14" s="1115">
        <v>0</v>
      </c>
      <c r="L14" s="655">
        <f>K14/'État des Résultats'!K$14</f>
        <v>0</v>
      </c>
      <c r="N14" s="1115">
        <v>0</v>
      </c>
      <c r="O14" s="655">
        <f>N14/'État des Résultats'!N$14</f>
        <v>0</v>
      </c>
      <c r="Q14" s="1115">
        <v>0</v>
      </c>
      <c r="R14" s="655">
        <f>Q14/'État des Résultats'!Q$14</f>
        <v>0</v>
      </c>
      <c r="T14" s="1115">
        <v>0</v>
      </c>
      <c r="U14" s="655">
        <f>T14/'État des Résultats'!T$14</f>
        <v>0</v>
      </c>
      <c r="W14" s="1115">
        <v>0</v>
      </c>
      <c r="X14" s="655">
        <f>W14/'État des Résultats'!W$14</f>
        <v>0</v>
      </c>
      <c r="Z14" s="1115">
        <v>0</v>
      </c>
      <c r="AA14" s="655">
        <f>Z14/'État des Résultats'!Z$14</f>
        <v>0</v>
      </c>
      <c r="AC14" s="1115">
        <v>0</v>
      </c>
      <c r="AD14" s="655">
        <f>AC14/'État des Résultats'!AC$14</f>
        <v>0</v>
      </c>
      <c r="AF14" s="1115">
        <v>0</v>
      </c>
      <c r="AG14" s="655">
        <f>AF14/'État des Résultats'!AF$14</f>
        <v>0</v>
      </c>
      <c r="AI14" s="1115">
        <v>0</v>
      </c>
      <c r="AJ14" s="655">
        <f>AI14/'État des Résultats'!AI$14</f>
        <v>0</v>
      </c>
      <c r="AL14" s="1115">
        <v>0</v>
      </c>
      <c r="AM14" s="655">
        <f>AL14/'État des Résultats'!AL$14</f>
        <v>0</v>
      </c>
      <c r="AP14" s="815">
        <f>SUM(+$AL14+$AI14+$AF14+$AC14+$Z14+$W14+$T14+$Q14+$N14+$K14+$H14+$E14)</f>
        <v>0</v>
      </c>
      <c r="AQ14" s="657">
        <f>AP14/'État des Résultats'!$AP$14</f>
        <v>0</v>
      </c>
    </row>
    <row r="15" spans="2:56" x14ac:dyDescent="0.15">
      <c r="B15" s="715">
        <v>7815</v>
      </c>
      <c r="C15" s="716" t="s">
        <v>338</v>
      </c>
      <c r="E15" s="1115">
        <v>0</v>
      </c>
      <c r="F15" s="655">
        <f>E15/'État des Résultats'!E$14</f>
        <v>0</v>
      </c>
      <c r="G15" s="659" t="s">
        <v>2</v>
      </c>
      <c r="H15" s="1115">
        <v>0</v>
      </c>
      <c r="I15" s="655">
        <f>H15/'État des Résultats'!H$14</f>
        <v>0</v>
      </c>
      <c r="K15" s="1115">
        <v>0</v>
      </c>
      <c r="L15" s="655">
        <f>K15/'État des Résultats'!K$14</f>
        <v>0</v>
      </c>
      <c r="N15" s="1115">
        <v>0</v>
      </c>
      <c r="O15" s="655">
        <f>N15/'État des Résultats'!N$14</f>
        <v>0</v>
      </c>
      <c r="Q15" s="1115">
        <v>0</v>
      </c>
      <c r="R15" s="655">
        <f>Q15/'État des Résultats'!Q$14</f>
        <v>0</v>
      </c>
      <c r="T15" s="1115">
        <v>0</v>
      </c>
      <c r="U15" s="655">
        <f>T15/'État des Résultats'!T$14</f>
        <v>0</v>
      </c>
      <c r="W15" s="1115">
        <v>0</v>
      </c>
      <c r="X15" s="655">
        <f>W15/'État des Résultats'!W$14</f>
        <v>0</v>
      </c>
      <c r="Z15" s="1115">
        <v>0</v>
      </c>
      <c r="AA15" s="655">
        <f>Z15/'État des Résultats'!Z$14</f>
        <v>0</v>
      </c>
      <c r="AC15" s="1115">
        <v>0</v>
      </c>
      <c r="AD15" s="655">
        <f>AC15/'État des Résultats'!AC$14</f>
        <v>0</v>
      </c>
      <c r="AF15" s="1115">
        <v>0</v>
      </c>
      <c r="AG15" s="655">
        <f>AF15/'État des Résultats'!AF$14</f>
        <v>0</v>
      </c>
      <c r="AI15" s="1115">
        <v>0</v>
      </c>
      <c r="AJ15" s="655">
        <f>AI15/'État des Résultats'!AI$14</f>
        <v>0</v>
      </c>
      <c r="AL15" s="1115">
        <v>0</v>
      </c>
      <c r="AM15" s="655">
        <f>AL15/'État des Résultats'!AL$14</f>
        <v>0</v>
      </c>
      <c r="AP15" s="815">
        <f t="shared" ref="AP15:AP27" si="0">SUM(+$AL15+$AI15+$AF15+$AC15+$Z15+$W15+$T15+$Q15+$N15+$K15+$H15+$E15)</f>
        <v>0</v>
      </c>
      <c r="AQ15" s="657">
        <f>AP15/'État des Résultats'!$AP$14</f>
        <v>0</v>
      </c>
    </row>
    <row r="16" spans="2:56" x14ac:dyDescent="0.15">
      <c r="B16" s="190">
        <v>7820</v>
      </c>
      <c r="C16" s="392" t="s">
        <v>339</v>
      </c>
      <c r="E16" s="1115">
        <f>(1108/12)</f>
        <v>92.333333333333329</v>
      </c>
      <c r="F16" s="655">
        <f>E16/'État des Résultats'!E$14</f>
        <v>2.5301424917793199E-3</v>
      </c>
      <c r="H16" s="1115">
        <f>(1108/12)</f>
        <v>92.333333333333329</v>
      </c>
      <c r="I16" s="655">
        <f>H16/'État des Résultats'!H$14</f>
        <v>2.6103447869671231E-3</v>
      </c>
      <c r="K16" s="1115">
        <f>(1108/12)</f>
        <v>92.333333333333329</v>
      </c>
      <c r="L16" s="655">
        <f>K16/'État des Résultats'!K$14</f>
        <v>2.3425194769500736E-3</v>
      </c>
      <c r="N16" s="1115">
        <f>(1108/12)</f>
        <v>92.333333333333329</v>
      </c>
      <c r="O16" s="655">
        <f>N16/'État des Résultats'!N$14</f>
        <v>2.3154969018735045E-3</v>
      </c>
      <c r="Q16" s="1115">
        <f>(1108/12)</f>
        <v>92.333333333333329</v>
      </c>
      <c r="R16" s="655">
        <f>Q16/'État des Résultats'!Q$14</f>
        <v>2.150621118012422E-3</v>
      </c>
      <c r="T16" s="1115">
        <f>(1108/12)</f>
        <v>92.333333333333329</v>
      </c>
      <c r="U16" s="655">
        <f>T16/'État des Résultats'!T$14</f>
        <v>2.0926982208287685E-3</v>
      </c>
      <c r="W16" s="1115">
        <f>(1108/12)</f>
        <v>92.333333333333329</v>
      </c>
      <c r="X16" s="655">
        <f>W16/'État des Résultats'!W$14</f>
        <v>2.0186010074786614E-3</v>
      </c>
      <c r="Z16" s="1115">
        <f>(1108/12)</f>
        <v>92.333333333333329</v>
      </c>
      <c r="AA16" s="655">
        <f>Z16/'État des Résultats'!Z$14</f>
        <v>1.9923040960909124E-3</v>
      </c>
      <c r="AC16" s="1115">
        <f>(1108/12)</f>
        <v>92.333333333333329</v>
      </c>
      <c r="AD16" s="655">
        <f>AC16/'État des Résultats'!AC$14</f>
        <v>2.1788291742866695E-3</v>
      </c>
      <c r="AF16" s="1115">
        <f>(1108/12)</f>
        <v>92.333333333333329</v>
      </c>
      <c r="AG16" s="655">
        <f>AF16/'État des Résultats'!AF$14</f>
        <v>2.1768600561897088E-3</v>
      </c>
      <c r="AI16" s="1115">
        <f>(1108/12)</f>
        <v>92.333333333333329</v>
      </c>
      <c r="AJ16" s="655">
        <f>AI16/'État des Résultats'!AI$14</f>
        <v>2.3419500750354039E-3</v>
      </c>
      <c r="AL16" s="1115">
        <f>(1108/12)</f>
        <v>92.333333333333329</v>
      </c>
      <c r="AM16" s="655">
        <f>AL16/'État des Résultats'!AL$14</f>
        <v>2.1073452774924874E-3</v>
      </c>
      <c r="AP16" s="815">
        <f t="shared" si="0"/>
        <v>1108.0000000000002</v>
      </c>
      <c r="AQ16" s="657">
        <f>AP16/'État des Résultats'!$AP$14</f>
        <v>2.2234113712374585E-3</v>
      </c>
    </row>
    <row r="17" spans="2:47" x14ac:dyDescent="0.15">
      <c r="B17" s="190">
        <v>7825</v>
      </c>
      <c r="C17" s="392" t="s">
        <v>581</v>
      </c>
      <c r="E17" s="1115">
        <v>32.916666666666664</v>
      </c>
      <c r="F17" s="655">
        <f>E17/'État des Résultats'!E$14</f>
        <v>9.0199123127511862E-4</v>
      </c>
      <c r="H17" s="1115">
        <f>+E17</f>
        <v>32.916666666666664</v>
      </c>
      <c r="I17" s="655">
        <f>H17/'État des Résultats'!H$14</f>
        <v>9.305832047400845E-4</v>
      </c>
      <c r="K17" s="1115">
        <f>+H17</f>
        <v>32.916666666666664</v>
      </c>
      <c r="L17" s="655">
        <f>K17/'État des Résultats'!K$14</f>
        <v>8.3510396515819405E-4</v>
      </c>
      <c r="N17" s="1115">
        <f>+K17</f>
        <v>32.916666666666664</v>
      </c>
      <c r="O17" s="655">
        <f>N17/'État des Résultats'!N$14</f>
        <v>8.2547046592060854E-4</v>
      </c>
      <c r="Q17" s="1115">
        <f>+N17</f>
        <v>32.916666666666664</v>
      </c>
      <c r="R17" s="655">
        <f>Q17/'État des Résultats'!Q$14</f>
        <v>7.666925465838508E-4</v>
      </c>
      <c r="T17" s="1115">
        <f>+Q17</f>
        <v>32.916666666666664</v>
      </c>
      <c r="U17" s="655">
        <f>T17/'État des Résultats'!T$14</f>
        <v>7.4604313829184439E-4</v>
      </c>
      <c r="W17" s="1115">
        <f>+T17</f>
        <v>32.916666666666664</v>
      </c>
      <c r="X17" s="655">
        <f>W17/'État des Résultats'!W$14</f>
        <v>7.196276154820138E-4</v>
      </c>
      <c r="Z17" s="1115">
        <f>+W17</f>
        <v>32.916666666666664</v>
      </c>
      <c r="AA17" s="655">
        <f>Z17/'État des Résultats'!Z$14</f>
        <v>7.1025281403963028E-4</v>
      </c>
      <c r="AC17" s="1115">
        <f>+Z17</f>
        <v>32.916666666666664</v>
      </c>
      <c r="AD17" s="655">
        <f>AC17/'État des Résultats'!AC$14</f>
        <v>7.767486677285509E-4</v>
      </c>
      <c r="AF17" s="1115">
        <f>+AC17</f>
        <v>32.916666666666664</v>
      </c>
      <c r="AG17" s="655">
        <f>AF17/'État des Résultats'!AF$14</f>
        <v>7.7604668068134925E-4</v>
      </c>
      <c r="AI17" s="1115">
        <f>+AF17</f>
        <v>32.916666666666664</v>
      </c>
      <c r="AJ17" s="655">
        <f>AI17/'État des Résultats'!AI$14</f>
        <v>8.3490097440341556E-4</v>
      </c>
      <c r="AL17" s="1115">
        <f>+AI17</f>
        <v>32.916666666666664</v>
      </c>
      <c r="AM17" s="655">
        <f>AL17/'État des Résultats'!AL$14</f>
        <v>7.5126478755372966E-4</v>
      </c>
      <c r="AP17" s="815">
        <f t="shared" si="0"/>
        <v>395.00000000000006</v>
      </c>
      <c r="AQ17" s="657">
        <f>AP17/'État des Résultats'!$AP$14</f>
        <v>7.9264214046822752E-4</v>
      </c>
    </row>
    <row r="18" spans="2:47" x14ac:dyDescent="0.15">
      <c r="B18" s="190">
        <v>7830</v>
      </c>
      <c r="C18" s="392" t="s">
        <v>340</v>
      </c>
      <c r="E18" s="1115">
        <v>0</v>
      </c>
      <c r="F18" s="655">
        <f>E18/'État des Résultats'!E$14</f>
        <v>0</v>
      </c>
      <c r="H18" s="1115">
        <v>0</v>
      </c>
      <c r="I18" s="655">
        <f>H18/'État des Résultats'!H$14</f>
        <v>0</v>
      </c>
      <c r="K18" s="1115">
        <v>0</v>
      </c>
      <c r="L18" s="655">
        <f>K18/'État des Résultats'!K$14</f>
        <v>0</v>
      </c>
      <c r="N18" s="1115">
        <v>0</v>
      </c>
      <c r="O18" s="655">
        <f>N18/'État des Résultats'!N$14</f>
        <v>0</v>
      </c>
      <c r="Q18" s="1115">
        <v>0</v>
      </c>
      <c r="R18" s="655">
        <f>Q18/'État des Résultats'!Q$14</f>
        <v>0</v>
      </c>
      <c r="T18" s="1115">
        <v>0</v>
      </c>
      <c r="U18" s="655">
        <f>T18/'État des Résultats'!T$14</f>
        <v>0</v>
      </c>
      <c r="W18" s="1115">
        <v>0</v>
      </c>
      <c r="X18" s="655">
        <f>W18/'État des Résultats'!W$14</f>
        <v>0</v>
      </c>
      <c r="Z18" s="1115">
        <v>0</v>
      </c>
      <c r="AA18" s="655">
        <f>Z18/'État des Résultats'!Z$14</f>
        <v>0</v>
      </c>
      <c r="AC18" s="1115">
        <v>0</v>
      </c>
      <c r="AD18" s="655">
        <f>AC18/'État des Résultats'!AC$14</f>
        <v>0</v>
      </c>
      <c r="AF18" s="1115">
        <v>0</v>
      </c>
      <c r="AG18" s="655">
        <f>AF18/'État des Résultats'!AF$14</f>
        <v>0</v>
      </c>
      <c r="AI18" s="1115">
        <v>0</v>
      </c>
      <c r="AJ18" s="655">
        <f>AI18/'État des Résultats'!AI$14</f>
        <v>0</v>
      </c>
      <c r="AL18" s="1115">
        <v>0</v>
      </c>
      <c r="AM18" s="655">
        <f>AL18/'État des Résultats'!AL$14</f>
        <v>0</v>
      </c>
      <c r="AP18" s="815">
        <f t="shared" si="0"/>
        <v>0</v>
      </c>
      <c r="AQ18" s="657">
        <f>AP18/'État des Résultats'!$AP$14</f>
        <v>0</v>
      </c>
      <c r="AS18" s="209"/>
    </row>
    <row r="19" spans="2:47" x14ac:dyDescent="0.15">
      <c r="B19" s="190">
        <v>7835</v>
      </c>
      <c r="C19" s="392" t="s">
        <v>341</v>
      </c>
      <c r="E19" s="1115">
        <v>150</v>
      </c>
      <c r="F19" s="655">
        <f>E19/'État des Résultats'!E$14</f>
        <v>4.1103397880891488E-3</v>
      </c>
      <c r="H19" s="1115">
        <f>+E19</f>
        <v>150</v>
      </c>
      <c r="I19" s="655">
        <f>H19/'État des Résultats'!H$14</f>
        <v>4.2406323253978539E-3</v>
      </c>
      <c r="K19" s="1115">
        <f>+H19</f>
        <v>150</v>
      </c>
      <c r="L19" s="655">
        <f>K19/'État des Résultats'!K$14</f>
        <v>3.805537056417087E-3</v>
      </c>
      <c r="N19" s="1115">
        <f>+K19</f>
        <v>150</v>
      </c>
      <c r="O19" s="655">
        <f>N19/'État des Résultats'!N$14</f>
        <v>3.7616375662204945E-3</v>
      </c>
      <c r="Q19" s="1115">
        <f>+N19</f>
        <v>150</v>
      </c>
      <c r="R19" s="655">
        <f>Q19/'État des Résultats'!Q$14</f>
        <v>3.4937888198757761E-3</v>
      </c>
      <c r="T19" s="1115">
        <f>+Q19</f>
        <v>150</v>
      </c>
      <c r="U19" s="655">
        <f>T19/'État des Résultats'!T$14</f>
        <v>3.3996902504438479E-3</v>
      </c>
      <c r="W19" s="1115">
        <f>+T19</f>
        <v>150</v>
      </c>
      <c r="X19" s="655">
        <f>W19/'État des Résultats'!W$14</f>
        <v>3.2793157161205696E-3</v>
      </c>
      <c r="Z19" s="1115">
        <f>+W19</f>
        <v>150</v>
      </c>
      <c r="AA19" s="655">
        <f>Z19/'État des Résultats'!Z$14</f>
        <v>3.2365951019527458E-3</v>
      </c>
      <c r="AC19" s="1115">
        <f>+Z19</f>
        <v>150</v>
      </c>
      <c r="AD19" s="655">
        <f>AC19/'État des Résultats'!AC$14</f>
        <v>3.539614182054156E-3</v>
      </c>
      <c r="AF19" s="1115">
        <f>+AC19</f>
        <v>150</v>
      </c>
      <c r="AG19" s="655">
        <f>AF19/'État des Résultats'!AF$14</f>
        <v>3.5364152537377944E-3</v>
      </c>
      <c r="AI19" s="1115">
        <f>+AF19</f>
        <v>150</v>
      </c>
      <c r="AJ19" s="655">
        <f>AI19/'État des Résultats'!AI$14</f>
        <v>3.8046120352560713E-3</v>
      </c>
      <c r="AL19" s="1115">
        <f>+AI19</f>
        <v>150</v>
      </c>
      <c r="AM19" s="655">
        <f>AL19/'État des Résultats'!AL$14</f>
        <v>3.4234851078397809E-3</v>
      </c>
      <c r="AP19" s="815">
        <f t="shared" si="0"/>
        <v>1800</v>
      </c>
      <c r="AQ19" s="657">
        <f>AP19/'État des Résultats'!$AP$14</f>
        <v>3.6120401337792645E-3</v>
      </c>
    </row>
    <row r="20" spans="2:47" x14ac:dyDescent="0.15">
      <c r="B20" s="190">
        <v>7840</v>
      </c>
      <c r="C20" s="392" t="s">
        <v>342</v>
      </c>
      <c r="E20" s="1115">
        <f>+(0.025*'État des Résultats'!E14)</f>
        <v>912.33333333333348</v>
      </c>
      <c r="F20" s="655">
        <f>E20/'État des Résultats'!E$14</f>
        <v>2.5000000000000001E-2</v>
      </c>
      <c r="H20" s="1115">
        <f>+(0.025*'État des Résultats'!H14)</f>
        <v>884.30208333333348</v>
      </c>
      <c r="I20" s="655">
        <f>H20/'État des Résultats'!H$14</f>
        <v>2.5000000000000001E-2</v>
      </c>
      <c r="K20" s="1115">
        <f>+(0.025*'État des Résultats'!K14)</f>
        <v>985.40625</v>
      </c>
      <c r="L20" s="655">
        <f>K20/'État des Résultats'!K$14</f>
        <v>2.5000000000000001E-2</v>
      </c>
      <c r="N20" s="1115">
        <f>+(0.025*'État des Résultats'!N14)</f>
        <v>996.90625</v>
      </c>
      <c r="O20" s="655">
        <f>N20/'État des Résultats'!N$14</f>
        <v>2.5000000000000001E-2</v>
      </c>
      <c r="Q20" s="1115">
        <f>+(0.025*'État des Résultats'!Q14)</f>
        <v>1073.3333333333335</v>
      </c>
      <c r="R20" s="655">
        <f>Q20/'État des Résultats'!Q$14</f>
        <v>2.5000000000000001E-2</v>
      </c>
      <c r="T20" s="1115">
        <f>+(0.025*'État des Résultats'!T14)</f>
        <v>1103.0416666666667</v>
      </c>
      <c r="U20" s="655">
        <f>T20/'État des Résultats'!T$14</f>
        <v>2.4999999999999998E-2</v>
      </c>
      <c r="W20" s="1115">
        <f>+(0.025*'État des Résultats'!W14)</f>
        <v>1143.53125</v>
      </c>
      <c r="X20" s="655">
        <f>W20/'État des Résultats'!W$14</f>
        <v>2.5000000000000001E-2</v>
      </c>
      <c r="Z20" s="1115">
        <f>+(0.025*'État des Résultats'!Z14)</f>
        <v>1158.625</v>
      </c>
      <c r="AA20" s="655">
        <f>Z20/'État des Résultats'!Z$14</f>
        <v>2.5000000000000001E-2</v>
      </c>
      <c r="AC20" s="1115">
        <f>+(0.025*'État des Résultats'!AC14)</f>
        <v>1059.4375</v>
      </c>
      <c r="AD20" s="655">
        <f>AC20/'État des Résultats'!AC$14</f>
        <v>2.5000000000000001E-2</v>
      </c>
      <c r="AF20" s="1115">
        <f>+(0.025*'État des Résultats'!AF14)</f>
        <v>1060.3958333333335</v>
      </c>
      <c r="AG20" s="655">
        <f>AF20/'État des Résultats'!AF$14</f>
        <v>2.5000000000000001E-2</v>
      </c>
      <c r="AI20" s="1115">
        <f>+(0.025*'État des Résultats'!AI14)</f>
        <v>985.64583333333348</v>
      </c>
      <c r="AJ20" s="655">
        <f>AI20/'État des Résultats'!AI$14</f>
        <v>2.5000000000000001E-2</v>
      </c>
      <c r="AL20" s="1115">
        <f>+(0.025*'État des Résultats'!AL14)</f>
        <v>1095.375</v>
      </c>
      <c r="AM20" s="655">
        <f>AL20/'État des Résultats'!AL$14</f>
        <v>2.5000000000000001E-2</v>
      </c>
      <c r="AP20" s="815">
        <f t="shared" si="0"/>
        <v>12458.333333333336</v>
      </c>
      <c r="AQ20" s="657">
        <f>AP20/'État des Résultats'!$AP$14</f>
        <v>2.5000000000000005E-2</v>
      </c>
    </row>
    <row r="21" spans="2:47" x14ac:dyDescent="0.15">
      <c r="B21" s="190">
        <v>7845</v>
      </c>
      <c r="C21" s="392" t="s">
        <v>343</v>
      </c>
      <c r="E21" s="1115">
        <v>0</v>
      </c>
      <c r="F21" s="655">
        <f>E21/'État des Résultats'!E$14</f>
        <v>0</v>
      </c>
      <c r="H21" s="1115">
        <v>0</v>
      </c>
      <c r="I21" s="655">
        <f>H21/'État des Résultats'!H$14</f>
        <v>0</v>
      </c>
      <c r="K21" s="1115">
        <v>0</v>
      </c>
      <c r="L21" s="655">
        <f>K21/'État des Résultats'!K$14</f>
        <v>0</v>
      </c>
      <c r="N21" s="1115">
        <v>0</v>
      </c>
      <c r="O21" s="655">
        <f>N21/'État des Résultats'!N$14</f>
        <v>0</v>
      </c>
      <c r="Q21" s="1115">
        <v>0</v>
      </c>
      <c r="R21" s="655">
        <f>Q21/'État des Résultats'!Q$14</f>
        <v>0</v>
      </c>
      <c r="T21" s="1115">
        <v>0</v>
      </c>
      <c r="U21" s="655">
        <f>T21/'État des Résultats'!T$14</f>
        <v>0</v>
      </c>
      <c r="W21" s="1115">
        <v>0</v>
      </c>
      <c r="X21" s="655">
        <f>W21/'État des Résultats'!W$14</f>
        <v>0</v>
      </c>
      <c r="Z21" s="1115">
        <v>0</v>
      </c>
      <c r="AA21" s="655">
        <f>Z21/'État des Résultats'!Z$14</f>
        <v>0</v>
      </c>
      <c r="AC21" s="1115">
        <v>0</v>
      </c>
      <c r="AD21" s="655">
        <f>AC21/'État des Résultats'!AC$14</f>
        <v>0</v>
      </c>
      <c r="AF21" s="1115">
        <v>0</v>
      </c>
      <c r="AG21" s="655">
        <f>AF21/'État des Résultats'!AF$14</f>
        <v>0</v>
      </c>
      <c r="AI21" s="1115">
        <v>0</v>
      </c>
      <c r="AJ21" s="655">
        <f>AI21/'État des Résultats'!AI$14</f>
        <v>0</v>
      </c>
      <c r="AL21" s="1115">
        <v>0</v>
      </c>
      <c r="AM21" s="655">
        <f>AL21/'État des Résultats'!AL$14</f>
        <v>0</v>
      </c>
      <c r="AP21" s="815">
        <f t="shared" si="0"/>
        <v>0</v>
      </c>
      <c r="AQ21" s="657">
        <f>AP21/'État des Résultats'!$AP$14</f>
        <v>0</v>
      </c>
    </row>
    <row r="22" spans="2:47" x14ac:dyDescent="0.15">
      <c r="B22" s="190">
        <v>7850</v>
      </c>
      <c r="C22" s="392" t="s">
        <v>344</v>
      </c>
      <c r="E22" s="1115">
        <v>0</v>
      </c>
      <c r="F22" s="655">
        <f>E22/'État des Résultats'!E$14</f>
        <v>0</v>
      </c>
      <c r="H22" s="1115">
        <v>0</v>
      </c>
      <c r="I22" s="655">
        <f>H22/'État des Résultats'!H$14</f>
        <v>0</v>
      </c>
      <c r="K22" s="1115">
        <v>0</v>
      </c>
      <c r="L22" s="655">
        <f>K22/'État des Résultats'!K$14</f>
        <v>0</v>
      </c>
      <c r="N22" s="1115">
        <v>0</v>
      </c>
      <c r="O22" s="655">
        <f>N22/'État des Résultats'!N$14</f>
        <v>0</v>
      </c>
      <c r="Q22" s="1115">
        <v>0</v>
      </c>
      <c r="R22" s="655">
        <f>Q22/'État des Résultats'!Q$14</f>
        <v>0</v>
      </c>
      <c r="T22" s="1115">
        <v>0</v>
      </c>
      <c r="U22" s="655">
        <f>T22/'État des Résultats'!T$14</f>
        <v>0</v>
      </c>
      <c r="W22" s="1115">
        <v>0</v>
      </c>
      <c r="X22" s="655">
        <f>W22/'État des Résultats'!W$14</f>
        <v>0</v>
      </c>
      <c r="Z22" s="1115">
        <v>0</v>
      </c>
      <c r="AA22" s="655">
        <f>Z22/'État des Résultats'!Z$14</f>
        <v>0</v>
      </c>
      <c r="AC22" s="1115">
        <v>0</v>
      </c>
      <c r="AD22" s="655">
        <f>AC22/'État des Résultats'!AC$14</f>
        <v>0</v>
      </c>
      <c r="AF22" s="1115">
        <v>0</v>
      </c>
      <c r="AG22" s="655">
        <f>AF22/'État des Résultats'!AF$14</f>
        <v>0</v>
      </c>
      <c r="AI22" s="1115">
        <v>0</v>
      </c>
      <c r="AJ22" s="655">
        <f>AI22/'État des Résultats'!AI$14</f>
        <v>0</v>
      </c>
      <c r="AL22" s="1115">
        <v>0</v>
      </c>
      <c r="AM22" s="655">
        <f>AL22/'État des Résultats'!AL$14</f>
        <v>0</v>
      </c>
      <c r="AP22" s="815">
        <f t="shared" si="0"/>
        <v>0</v>
      </c>
      <c r="AQ22" s="657">
        <f>AP22/'État des Résultats'!$AP$14</f>
        <v>0</v>
      </c>
    </row>
    <row r="23" spans="2:47" x14ac:dyDescent="0.15">
      <c r="B23" s="715">
        <v>7855</v>
      </c>
      <c r="C23" s="716" t="s">
        <v>345</v>
      </c>
      <c r="E23" s="1115">
        <f>(3000/12)</f>
        <v>250</v>
      </c>
      <c r="F23" s="655">
        <f>E23/'État des Résultats'!E$14</f>
        <v>6.8505663134819138E-3</v>
      </c>
      <c r="H23" s="1115">
        <f>(3000/12)</f>
        <v>250</v>
      </c>
      <c r="I23" s="655">
        <f>H23/'État des Résultats'!H$14</f>
        <v>7.0677205423297562E-3</v>
      </c>
      <c r="K23" s="1115">
        <f>(3000/12)</f>
        <v>250</v>
      </c>
      <c r="L23" s="655">
        <f>K23/'État des Résultats'!K$14</f>
        <v>6.3425617606951449E-3</v>
      </c>
      <c r="N23" s="1115">
        <f>(3000/12)</f>
        <v>250</v>
      </c>
      <c r="O23" s="655">
        <f>N23/'État des Résultats'!N$14</f>
        <v>6.2693959437008246E-3</v>
      </c>
      <c r="Q23" s="1115">
        <f>(3000/12)</f>
        <v>250</v>
      </c>
      <c r="R23" s="655">
        <f>Q23/'État des Résultats'!Q$14</f>
        <v>5.822981366459627E-3</v>
      </c>
      <c r="T23" s="1115">
        <f>(3000/12)</f>
        <v>250</v>
      </c>
      <c r="U23" s="655">
        <f>T23/'État des Résultats'!T$14</f>
        <v>5.6661504174064133E-3</v>
      </c>
      <c r="W23" s="1115">
        <f>(3000/12)</f>
        <v>250</v>
      </c>
      <c r="X23" s="655">
        <f>W23/'État des Résultats'!W$14</f>
        <v>5.4655261935342824E-3</v>
      </c>
      <c r="Z23" s="1115">
        <f>(3000/12)</f>
        <v>250</v>
      </c>
      <c r="AA23" s="655">
        <f>Z23/'État des Résultats'!Z$14</f>
        <v>5.394325169921243E-3</v>
      </c>
      <c r="AC23" s="1115">
        <f>(3000/12)</f>
        <v>250</v>
      </c>
      <c r="AD23" s="655">
        <f>AC23/'État des Résultats'!AC$14</f>
        <v>5.8993569700902604E-3</v>
      </c>
      <c r="AF23" s="1115">
        <f>(3000/12)</f>
        <v>250</v>
      </c>
      <c r="AG23" s="655">
        <f>AF23/'État des Résultats'!AF$14</f>
        <v>5.8940254228963236E-3</v>
      </c>
      <c r="AI23" s="1115">
        <f>(3000/12)</f>
        <v>250</v>
      </c>
      <c r="AJ23" s="655">
        <f>AI23/'État des Résultats'!AI$14</f>
        <v>6.3410200587601185E-3</v>
      </c>
      <c r="AL23" s="1115">
        <f>(3000/12)</f>
        <v>250</v>
      </c>
      <c r="AM23" s="655">
        <f>AL23/'État des Résultats'!AL$14</f>
        <v>5.7058085130663018E-3</v>
      </c>
      <c r="AP23" s="815">
        <f t="shared" si="0"/>
        <v>3000</v>
      </c>
      <c r="AQ23" s="657">
        <f>AP23/'État des Résultats'!$AP$14</f>
        <v>6.0200668896321068E-3</v>
      </c>
    </row>
    <row r="24" spans="2:47" x14ac:dyDescent="0.15">
      <c r="B24" s="190">
        <v>7860</v>
      </c>
      <c r="C24" s="392" t="s">
        <v>346</v>
      </c>
      <c r="E24" s="1115">
        <v>0</v>
      </c>
      <c r="F24" s="655">
        <f>E24/'État des Résultats'!E$14</f>
        <v>0</v>
      </c>
      <c r="H24" s="1115">
        <v>0</v>
      </c>
      <c r="I24" s="655">
        <f>H24/'État des Résultats'!H$14</f>
        <v>0</v>
      </c>
      <c r="K24" s="1115">
        <v>0</v>
      </c>
      <c r="L24" s="655">
        <f>K24/'État des Résultats'!K$14</f>
        <v>0</v>
      </c>
      <c r="N24" s="1115">
        <v>0</v>
      </c>
      <c r="O24" s="655">
        <f>N24/'État des Résultats'!N$14</f>
        <v>0</v>
      </c>
      <c r="Q24" s="1115">
        <v>0</v>
      </c>
      <c r="R24" s="655">
        <f>Q24/'État des Résultats'!Q$14</f>
        <v>0</v>
      </c>
      <c r="T24" s="1115">
        <v>0</v>
      </c>
      <c r="U24" s="655">
        <f>T24/'État des Résultats'!T$14</f>
        <v>0</v>
      </c>
      <c r="W24" s="1115">
        <v>0</v>
      </c>
      <c r="X24" s="655">
        <f>W24/'État des Résultats'!W$14</f>
        <v>0</v>
      </c>
      <c r="Z24" s="1115">
        <v>0</v>
      </c>
      <c r="AA24" s="655">
        <f>Z24/'État des Résultats'!Z$14</f>
        <v>0</v>
      </c>
      <c r="AC24" s="1115">
        <v>0</v>
      </c>
      <c r="AD24" s="655">
        <f>AC24/'État des Résultats'!AC$14</f>
        <v>0</v>
      </c>
      <c r="AF24" s="1115">
        <v>0</v>
      </c>
      <c r="AG24" s="655">
        <f>AF24/'État des Résultats'!AF$14</f>
        <v>0</v>
      </c>
      <c r="AI24" s="1115">
        <v>0</v>
      </c>
      <c r="AJ24" s="655">
        <f>AI24/'État des Résultats'!AI$14</f>
        <v>0</v>
      </c>
      <c r="AL24" s="1115">
        <v>0</v>
      </c>
      <c r="AM24" s="655">
        <f>AL24/'État des Résultats'!AL$14</f>
        <v>0</v>
      </c>
      <c r="AP24" s="815">
        <f t="shared" si="0"/>
        <v>0</v>
      </c>
      <c r="AQ24" s="657">
        <f>AP24/'État des Résultats'!$AP$14</f>
        <v>0</v>
      </c>
    </row>
    <row r="25" spans="2:47" x14ac:dyDescent="0.15">
      <c r="B25" s="190">
        <v>7865</v>
      </c>
      <c r="C25" s="392" t="s">
        <v>347</v>
      </c>
      <c r="E25" s="1115">
        <v>0</v>
      </c>
      <c r="F25" s="655">
        <f>E25/'État des Résultats'!E$14</f>
        <v>0</v>
      </c>
      <c r="H25" s="1115">
        <v>0</v>
      </c>
      <c r="I25" s="655">
        <f>H25/'État des Résultats'!H$14</f>
        <v>0</v>
      </c>
      <c r="K25" s="1115">
        <v>0</v>
      </c>
      <c r="L25" s="655">
        <f>K25/'État des Résultats'!K$14</f>
        <v>0</v>
      </c>
      <c r="N25" s="1115">
        <v>0</v>
      </c>
      <c r="O25" s="655">
        <f>N25/'État des Résultats'!N$14</f>
        <v>0</v>
      </c>
      <c r="Q25" s="1115">
        <v>0</v>
      </c>
      <c r="R25" s="655">
        <f>Q25/'État des Résultats'!Q$14</f>
        <v>0</v>
      </c>
      <c r="T25" s="1115">
        <v>0</v>
      </c>
      <c r="U25" s="655">
        <f>T25/'État des Résultats'!T$14</f>
        <v>0</v>
      </c>
      <c r="W25" s="1115">
        <v>0</v>
      </c>
      <c r="X25" s="655">
        <f>W25/'État des Résultats'!W$14</f>
        <v>0</v>
      </c>
      <c r="Z25" s="1115">
        <v>0</v>
      </c>
      <c r="AA25" s="655">
        <f>Z25/'État des Résultats'!Z$14</f>
        <v>0</v>
      </c>
      <c r="AC25" s="1115">
        <v>0</v>
      </c>
      <c r="AD25" s="655">
        <f>AC25/'État des Résultats'!AC$14</f>
        <v>0</v>
      </c>
      <c r="AF25" s="1115">
        <v>0</v>
      </c>
      <c r="AG25" s="655">
        <f>AF25/'État des Résultats'!AF$14</f>
        <v>0</v>
      </c>
      <c r="AI25" s="1115">
        <v>0</v>
      </c>
      <c r="AJ25" s="655">
        <f>AI25/'État des Résultats'!AI$14</f>
        <v>0</v>
      </c>
      <c r="AL25" s="1115">
        <v>0</v>
      </c>
      <c r="AM25" s="655">
        <f>AL25/'État des Résultats'!AL$14</f>
        <v>0</v>
      </c>
      <c r="AP25" s="815">
        <f t="shared" si="0"/>
        <v>0</v>
      </c>
      <c r="AQ25" s="657">
        <f>AP25/'État des Résultats'!$AP$14</f>
        <v>0</v>
      </c>
    </row>
    <row r="26" spans="2:47" x14ac:dyDescent="0.15">
      <c r="B26" s="190">
        <v>7880</v>
      </c>
      <c r="C26" s="392" t="s">
        <v>348</v>
      </c>
      <c r="E26" s="1115">
        <v>0</v>
      </c>
      <c r="F26" s="655">
        <f>E26/'État des Résultats'!E$14</f>
        <v>0</v>
      </c>
      <c r="H26" s="1115">
        <v>0</v>
      </c>
      <c r="I26" s="655">
        <f>H26/'État des Résultats'!H$14</f>
        <v>0</v>
      </c>
      <c r="K26" s="1115">
        <v>0</v>
      </c>
      <c r="L26" s="655">
        <f>K26/'État des Résultats'!K$14</f>
        <v>0</v>
      </c>
      <c r="N26" s="1115">
        <v>0</v>
      </c>
      <c r="O26" s="655">
        <f>N26/'État des Résultats'!N$14</f>
        <v>0</v>
      </c>
      <c r="Q26" s="1115">
        <v>0</v>
      </c>
      <c r="R26" s="655">
        <f>Q26/'État des Résultats'!Q$14</f>
        <v>0</v>
      </c>
      <c r="T26" s="1115">
        <v>0</v>
      </c>
      <c r="U26" s="655">
        <f>T26/'État des Résultats'!T$14</f>
        <v>0</v>
      </c>
      <c r="W26" s="1115">
        <v>0</v>
      </c>
      <c r="X26" s="655">
        <f>W26/'État des Résultats'!W$14</f>
        <v>0</v>
      </c>
      <c r="Z26" s="1115">
        <v>0</v>
      </c>
      <c r="AA26" s="655">
        <f>Z26/'État des Résultats'!Z$14</f>
        <v>0</v>
      </c>
      <c r="AC26" s="1115">
        <v>0</v>
      </c>
      <c r="AD26" s="655">
        <f>AC26/'État des Résultats'!AC$14</f>
        <v>0</v>
      </c>
      <c r="AF26" s="1115">
        <v>0</v>
      </c>
      <c r="AG26" s="655">
        <f>AF26/'État des Résultats'!AF$14</f>
        <v>0</v>
      </c>
      <c r="AI26" s="1115">
        <v>0</v>
      </c>
      <c r="AJ26" s="655">
        <f>AI26/'État des Résultats'!AI$14</f>
        <v>0</v>
      </c>
      <c r="AL26" s="1115">
        <v>0</v>
      </c>
      <c r="AM26" s="655">
        <f>AL26/'État des Résultats'!AL$14</f>
        <v>0</v>
      </c>
      <c r="AP26" s="815">
        <f t="shared" si="0"/>
        <v>0</v>
      </c>
      <c r="AQ26" s="657">
        <f>AP26/'État des Résultats'!$AP$14</f>
        <v>0</v>
      </c>
    </row>
    <row r="27" spans="2:47" x14ac:dyDescent="0.15">
      <c r="B27" s="190">
        <v>7899</v>
      </c>
      <c r="C27" s="392" t="s">
        <v>215</v>
      </c>
      <c r="E27" s="1115">
        <v>0</v>
      </c>
      <c r="F27" s="655">
        <f>E27/'État des Résultats'!E$14</f>
        <v>0</v>
      </c>
      <c r="H27" s="1115">
        <v>0</v>
      </c>
      <c r="I27" s="655">
        <f>H27/'État des Résultats'!H$14</f>
        <v>0</v>
      </c>
      <c r="K27" s="1115">
        <v>0</v>
      </c>
      <c r="L27" s="655">
        <f>K27/'État des Résultats'!K$14</f>
        <v>0</v>
      </c>
      <c r="N27" s="1115">
        <v>0</v>
      </c>
      <c r="O27" s="655">
        <f>N27/'État des Résultats'!N$14</f>
        <v>0</v>
      </c>
      <c r="Q27" s="1115">
        <v>0</v>
      </c>
      <c r="R27" s="655">
        <f>Q27/'État des Résultats'!Q$14</f>
        <v>0</v>
      </c>
      <c r="T27" s="1115">
        <v>0</v>
      </c>
      <c r="U27" s="655">
        <f>T27/'État des Résultats'!T$14</f>
        <v>0</v>
      </c>
      <c r="W27" s="1115">
        <v>0</v>
      </c>
      <c r="X27" s="655">
        <f>W27/'État des Résultats'!W$14</f>
        <v>0</v>
      </c>
      <c r="Z27" s="1115">
        <v>0</v>
      </c>
      <c r="AA27" s="655">
        <f>Z27/'État des Résultats'!Z$14</f>
        <v>0</v>
      </c>
      <c r="AC27" s="1115">
        <v>0</v>
      </c>
      <c r="AD27" s="655">
        <f>AC27/'État des Résultats'!AC$14</f>
        <v>0</v>
      </c>
      <c r="AF27" s="1115">
        <v>0</v>
      </c>
      <c r="AG27" s="655">
        <f>AF27/'État des Résultats'!AF$14</f>
        <v>0</v>
      </c>
      <c r="AI27" s="1115">
        <v>0</v>
      </c>
      <c r="AJ27" s="655">
        <f>AI27/'État des Résultats'!AI$14</f>
        <v>0</v>
      </c>
      <c r="AL27" s="1115">
        <v>0</v>
      </c>
      <c r="AM27" s="655">
        <f>AL27/'État des Résultats'!AL$14</f>
        <v>0</v>
      </c>
      <c r="AP27" s="815">
        <f t="shared" si="0"/>
        <v>0</v>
      </c>
      <c r="AQ27" s="657">
        <f>AP27/'État des Résultats'!$AP$14</f>
        <v>0</v>
      </c>
    </row>
    <row r="28" spans="2:47" ht="14" thickBot="1" x14ac:dyDescent="0.2">
      <c r="B28" s="654"/>
      <c r="C28" s="392"/>
      <c r="E28" s="816"/>
      <c r="F28" s="688"/>
      <c r="H28" s="816"/>
      <c r="I28" s="688"/>
      <c r="K28" s="816"/>
      <c r="L28" s="688"/>
      <c r="N28" s="816"/>
      <c r="O28" s="688"/>
      <c r="Q28" s="816"/>
      <c r="R28" s="688"/>
      <c r="T28" s="816"/>
      <c r="U28" s="688"/>
      <c r="W28" s="816"/>
      <c r="X28" s="688"/>
      <c r="Z28" s="816"/>
      <c r="AA28" s="688"/>
      <c r="AC28" s="816"/>
      <c r="AD28" s="688"/>
      <c r="AF28" s="816"/>
      <c r="AG28" s="688"/>
      <c r="AI28" s="816"/>
      <c r="AJ28" s="688"/>
      <c r="AL28" s="816"/>
      <c r="AM28" s="688"/>
      <c r="AP28" s="815"/>
      <c r="AQ28" s="689"/>
    </row>
    <row r="29" spans="2:47" ht="15" thickTop="1" thickBot="1" x14ac:dyDescent="0.2">
      <c r="B29" s="470">
        <v>7800</v>
      </c>
      <c r="C29" s="471" t="s">
        <v>349</v>
      </c>
      <c r="D29" s="213"/>
      <c r="E29" s="814">
        <f>SUM(E13:E27)</f>
        <v>1487.5833333333335</v>
      </c>
      <c r="F29" s="663">
        <f>SUM(F13:F27)</f>
        <v>4.0763153087321889E-2</v>
      </c>
      <c r="G29" s="213"/>
      <c r="H29" s="814">
        <f>SUM(H13:H27)</f>
        <v>1459.5520833333335</v>
      </c>
      <c r="I29" s="663">
        <f>SUM(I13:I27)</f>
        <v>4.126282496790077E-2</v>
      </c>
      <c r="J29" s="213"/>
      <c r="K29" s="814">
        <f>SUM(K13:K27)</f>
        <v>1560.65625</v>
      </c>
      <c r="L29" s="663">
        <f>SUM(L13:L27)</f>
        <v>3.9594234611359524E-2</v>
      </c>
      <c r="M29" s="213"/>
      <c r="N29" s="814">
        <f>SUM(N13:N27)</f>
        <v>1572.15625</v>
      </c>
      <c r="O29" s="663">
        <f>SUM(O13:O27)</f>
        <v>3.9425880066455594E-2</v>
      </c>
      <c r="P29" s="213"/>
      <c r="Q29" s="814">
        <f>SUM(Q13:Q27)</f>
        <v>1648.5833333333335</v>
      </c>
      <c r="R29" s="663">
        <f>SUM(R13:R27)</f>
        <v>3.8398680124223601E-2</v>
      </c>
      <c r="S29" s="213"/>
      <c r="T29" s="814">
        <f>SUM(T13:T27)</f>
        <v>1678.2916666666667</v>
      </c>
      <c r="U29" s="663">
        <f>SUM(U13:U27)</f>
        <v>3.8037812110452152E-2</v>
      </c>
      <c r="V29" s="213"/>
      <c r="W29" s="814">
        <f>SUM(W13:W27)</f>
        <v>1718.78125</v>
      </c>
      <c r="X29" s="663">
        <f>SUM(X13:X27)</f>
        <v>3.7576175771322384E-2</v>
      </c>
      <c r="Y29" s="213"/>
      <c r="Z29" s="814">
        <f>SUM(Z13:Z27)</f>
        <v>1733.875</v>
      </c>
      <c r="AA29" s="663">
        <f>SUM(AA13:AA27)</f>
        <v>3.7412342215988777E-2</v>
      </c>
      <c r="AB29" s="213"/>
      <c r="AC29" s="814">
        <f>SUM(AC13:AC27)</f>
        <v>1634.6875</v>
      </c>
      <c r="AD29" s="663">
        <f>SUM(AD13:AD27)</f>
        <v>3.857442038817769E-2</v>
      </c>
      <c r="AE29" s="213"/>
      <c r="AF29" s="814">
        <f>SUM(AF13:AF27)</f>
        <v>1635.6458333333335</v>
      </c>
      <c r="AG29" s="663">
        <f>SUM(AG13:AG27)</f>
        <v>3.8562152498084444E-2</v>
      </c>
      <c r="AH29" s="213"/>
      <c r="AI29" s="814">
        <f>SUM(AI13:AI27)</f>
        <v>1560.8958333333335</v>
      </c>
      <c r="AJ29" s="663">
        <f>SUM(AJ13:AJ27)</f>
        <v>3.9590687155207034E-2</v>
      </c>
      <c r="AK29" s="213"/>
      <c r="AL29" s="814">
        <f>SUM(AL13:AL27)</f>
        <v>1670.625</v>
      </c>
      <c r="AM29" s="663">
        <f>SUM(AM13:AM27)</f>
        <v>3.8129065388565565E-2</v>
      </c>
      <c r="AN29" s="213"/>
      <c r="AO29" s="213"/>
      <c r="AP29" s="814">
        <f>SUM(AP13:AP27)</f>
        <v>19361.333333333336</v>
      </c>
      <c r="AQ29" s="663">
        <f>SUM(AQ13:AQ27)</f>
        <v>3.8852173913043485E-2</v>
      </c>
      <c r="AR29" s="213"/>
      <c r="AS29" s="213"/>
      <c r="AT29" s="213"/>
      <c r="AU29" s="251"/>
    </row>
    <row r="30" spans="2:47" ht="14" thickTop="1" x14ac:dyDescent="0.15">
      <c r="L30" s="315"/>
      <c r="O30" s="315"/>
      <c r="R30" s="315"/>
      <c r="U30" s="315"/>
      <c r="X30" s="315"/>
      <c r="AA30" s="315"/>
      <c r="AD30" s="315"/>
      <c r="AG30" s="315"/>
      <c r="AJ30" s="315"/>
      <c r="AM30" s="315"/>
      <c r="AQ30" s="315"/>
    </row>
    <row r="31" spans="2:47" x14ac:dyDescent="0.15">
      <c r="R31" s="315"/>
      <c r="U31" s="315"/>
      <c r="X31" s="315"/>
      <c r="AD31" s="315"/>
      <c r="AG31" s="315"/>
      <c r="AJ31" s="315"/>
      <c r="AM31" s="315"/>
    </row>
    <row r="32" spans="2:47" x14ac:dyDescent="0.15">
      <c r="U32" s="315"/>
      <c r="AG32" s="315"/>
      <c r="AJ32" s="315"/>
      <c r="AM32" s="315"/>
    </row>
    <row r="33" spans="3:69" x14ac:dyDescent="0.15">
      <c r="C33" s="161" t="s">
        <v>2</v>
      </c>
      <c r="E33" s="161" t="s">
        <v>2</v>
      </c>
      <c r="G33" s="161" t="s">
        <v>2</v>
      </c>
      <c r="H33" s="161" t="s">
        <v>2</v>
      </c>
      <c r="U33" s="315"/>
      <c r="AG33" s="315"/>
      <c r="AJ33" s="315"/>
      <c r="AM33" s="315"/>
    </row>
    <row r="34" spans="3:69" x14ac:dyDescent="0.15">
      <c r="H34" s="161" t="s">
        <v>2</v>
      </c>
      <c r="AG34" s="315"/>
      <c r="AJ34" s="315"/>
      <c r="AM34" s="315"/>
    </row>
    <row r="35" spans="3:69" x14ac:dyDescent="0.15">
      <c r="H35" s="161" t="s">
        <v>2</v>
      </c>
      <c r="AM35" s="315"/>
    </row>
    <row r="36" spans="3:69" x14ac:dyDescent="0.15">
      <c r="H36" s="161" t="s">
        <v>2</v>
      </c>
      <c r="BB36" s="170"/>
      <c r="BC36" s="170"/>
      <c r="BD36" s="170"/>
      <c r="BE36" s="170"/>
      <c r="BF36" s="170"/>
      <c r="BG36" s="170"/>
      <c r="BH36" s="170"/>
      <c r="BI36" s="170"/>
      <c r="BJ36" s="170"/>
      <c r="BK36" s="170"/>
      <c r="BL36" s="170"/>
      <c r="BM36" s="170"/>
      <c r="BN36" s="170"/>
      <c r="BO36" s="170"/>
      <c r="BP36" s="170"/>
      <c r="BQ36" s="170"/>
    </row>
    <row r="37" spans="3:69" x14ac:dyDescent="0.15">
      <c r="H37" s="161" t="s">
        <v>2</v>
      </c>
    </row>
    <row r="38" spans="3:69" x14ac:dyDescent="0.15">
      <c r="H38" s="161" t="s">
        <v>2</v>
      </c>
    </row>
    <row r="48" spans="3:69" x14ac:dyDescent="0.15">
      <c r="H48" s="664"/>
    </row>
  </sheetData>
  <sheetProtection algorithmName="SHA-512" hashValue="yEwiqnuOQnZIm7GEzUhdCP9BCyXKzBpMpbAX2OmeAsC1b1KdRFzLeIvA8CQFSzgoDcGupt3kdeJ6wxppmfKdmg==" saltValue="FbD/vccU8GbDNKGz67MIrw=="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20 H19:H20 K19:K20 N19:N20 Q19:Q20 T19:T20 W19:W20 Z19:Z20 AC19:AC20 AF19:AF20 AI19:AI20 AL19:AL20 E16 H16:H17 K16:K17 N16:N17 Q16:Q17 T16:T17 W16:W17 Z16:Z17 AC16:AC17 AF16:AF17 AI16:AI17 AL16:AL17 E23 H23 K23 N23 Q23 T23 W23 Z23 AC23 AF23 AI23 AL23 H13 K13 N13 Q13 T13 W13 Z13 AC13 AF13 AI13 AL13" unlockedFormula="1"/>
  </ignoredError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8FCD-653E-CF48-8616-2F0D723D926D}">
  <sheetPr>
    <tabColor theme="1"/>
    <pageSetUpPr fitToPage="1"/>
  </sheetPr>
  <dimension ref="B1:BQ50"/>
  <sheetViews>
    <sheetView zoomScale="113" zoomScaleNormal="113" zoomScalePageLayoutView="125" workbookViewId="0"/>
  </sheetViews>
  <sheetFormatPr baseColWidth="10" defaultRowHeight="13" x14ac:dyDescent="0.15"/>
  <cols>
    <col min="1" max="1" width="2.1640625" style="161" customWidth="1"/>
    <col min="2" max="2" width="5.1640625" style="161" customWidth="1"/>
    <col min="3" max="3" width="4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82" t="str">
        <f>'État des Résultats'!C2</f>
        <v>Chez Les Petites Gâteries &amp; Cie.</v>
      </c>
      <c r="C2" s="1283"/>
      <c r="AS2" s="1240" t="s">
        <v>42</v>
      </c>
      <c r="AT2" s="367"/>
      <c r="AU2" s="367"/>
      <c r="AV2" s="367"/>
      <c r="AW2" s="367"/>
      <c r="AX2" s="367"/>
      <c r="AY2" s="367"/>
      <c r="AZ2" s="367"/>
      <c r="BA2" s="367"/>
      <c r="BB2" s="367"/>
      <c r="BC2" s="1243" t="s">
        <v>43</v>
      </c>
    </row>
    <row r="3" spans="2:56" ht="20" customHeight="1" x14ac:dyDescent="0.2">
      <c r="B3" s="1284" t="str">
        <f>'État des Résultats'!C3</f>
        <v xml:space="preserve">États des résultats </v>
      </c>
      <c r="C3" s="1285"/>
      <c r="AS3" s="1241"/>
      <c r="AT3" s="368"/>
      <c r="AU3" s="368"/>
      <c r="AV3" s="368"/>
      <c r="AW3" s="368"/>
      <c r="AX3" s="368"/>
      <c r="AY3" s="368"/>
      <c r="AZ3" s="368"/>
      <c r="BA3" s="368"/>
      <c r="BB3" s="368"/>
      <c r="BC3" s="1244"/>
    </row>
    <row r="4" spans="2:56" ht="20" customHeight="1" thickBot="1" x14ac:dyDescent="0.3">
      <c r="B4" s="1286" t="str">
        <f>'État des Résultats'!C4</f>
        <v>Pour la période du 1er janvier 2021 au 31 décembre 2021</v>
      </c>
      <c r="C4" s="1287"/>
      <c r="AS4" s="1241"/>
      <c r="AT4" s="369" t="str">
        <f>'Formule pour le calcul D'!BA103</f>
        <v>Coût annuel</v>
      </c>
      <c r="AU4" s="369" t="s">
        <v>44</v>
      </c>
      <c r="AV4" s="369" t="str">
        <f>'Formule pour le calcul D'!BC103</f>
        <v>Achalandage annuelle</v>
      </c>
      <c r="AW4" s="369" t="s">
        <v>45</v>
      </c>
      <c r="AX4" s="369" t="s">
        <v>46</v>
      </c>
      <c r="AY4" s="369" t="str">
        <f>'Formule pour le calcul D'!BF103</f>
        <v>Um/A</v>
      </c>
      <c r="AZ4" s="369" t="s">
        <v>45</v>
      </c>
      <c r="BA4" s="369" t="str">
        <f>'Formule pour le calcul D'!BH103</f>
        <v>CmO</v>
      </c>
      <c r="BB4" s="369" t="s">
        <v>49</v>
      </c>
      <c r="BC4" s="1244"/>
    </row>
    <row r="5" spans="2:56" ht="21" thickTop="1" thickBot="1" x14ac:dyDescent="0.3">
      <c r="AS5" s="1241"/>
      <c r="AT5" s="370" t="s">
        <v>2</v>
      </c>
      <c r="AU5" s="371"/>
      <c r="AV5" s="370"/>
      <c r="AW5" s="371"/>
      <c r="AX5" s="371"/>
      <c r="AY5" s="371"/>
      <c r="AZ5" s="371"/>
      <c r="BA5" s="371"/>
      <c r="BB5" s="371"/>
      <c r="BC5" s="1244"/>
    </row>
    <row r="6" spans="2:56" ht="27" thickTop="1" x14ac:dyDescent="0.3">
      <c r="B6" s="1258" t="str">
        <f>'État des Résultats'!C6</f>
        <v>Nb de places</v>
      </c>
      <c r="C6" s="1300"/>
      <c r="E6" s="638" t="str">
        <f>'Coût marchandises vendues'!D6</f>
        <v>Coût / place / jour</v>
      </c>
      <c r="F6" s="639">
        <f>+E31/$B$7/'Calendrier 2021'!D8</f>
        <v>16.129032258064516</v>
      </c>
      <c r="G6" s="170"/>
      <c r="H6" s="638" t="str">
        <f>+E6</f>
        <v>Coût / place / jour</v>
      </c>
      <c r="I6" s="639">
        <f>+H31/$B$7/'Calendrier 2021'!E8</f>
        <v>17.857142857142858</v>
      </c>
      <c r="J6" s="170"/>
      <c r="K6" s="638" t="str">
        <f>+H6</f>
        <v>Coût / place / jour</v>
      </c>
      <c r="L6" s="639">
        <f>+K31/$B$7/'Calendrier 2021'!F8</f>
        <v>16.129032258064516</v>
      </c>
      <c r="M6" s="170"/>
      <c r="N6" s="638" t="str">
        <f>+K6</f>
        <v>Coût / place / jour</v>
      </c>
      <c r="O6" s="639">
        <f>+N31/$B$7/'Calendrier 2021'!G8</f>
        <v>16.666666666666668</v>
      </c>
      <c r="P6" s="423"/>
      <c r="Q6" s="638" t="str">
        <f>+N6</f>
        <v>Coût / place / jour</v>
      </c>
      <c r="R6" s="639">
        <f>+Q31/$B$7/'Calendrier 2021'!H8</f>
        <v>16.129032258064516</v>
      </c>
      <c r="S6" s="423"/>
      <c r="T6" s="638" t="str">
        <f>+Q6</f>
        <v>Coût / place / jour</v>
      </c>
      <c r="U6" s="639">
        <f>+T31/$B$7/'Calendrier 2021'!I8</f>
        <v>16.666666666666668</v>
      </c>
      <c r="V6" s="170"/>
      <c r="W6" s="638" t="str">
        <f>+T6</f>
        <v>Coût / place / jour</v>
      </c>
      <c r="X6" s="639">
        <f>+W31/$B$7/'Calendrier 2021'!J8</f>
        <v>16.129032258064516</v>
      </c>
      <c r="Y6" s="170"/>
      <c r="Z6" s="638" t="str">
        <f>+W6</f>
        <v>Coût / place / jour</v>
      </c>
      <c r="AA6" s="639">
        <f>+Z31/$B$7/'Calendrier 2021'!K8</f>
        <v>16.129032258064516</v>
      </c>
      <c r="AB6" s="170"/>
      <c r="AC6" s="638" t="str">
        <f>+Z6</f>
        <v>Coût / place / jour</v>
      </c>
      <c r="AD6" s="639">
        <f>+AC31/$B$7/'Calendrier 2021'!L8</f>
        <v>16.666666666666668</v>
      </c>
      <c r="AE6" s="170"/>
      <c r="AF6" s="638" t="str">
        <f>+AC6</f>
        <v>Coût / place / jour</v>
      </c>
      <c r="AG6" s="639">
        <f>+AF31/$B$7/'Calendrier 2021'!M8</f>
        <v>16.129032258064516</v>
      </c>
      <c r="AH6" s="170"/>
      <c r="AI6" s="638" t="str">
        <f>+AF6</f>
        <v>Coût / place / jour</v>
      </c>
      <c r="AJ6" s="639">
        <f>+AI31/$B$7/'Calendrier 2021'!N8</f>
        <v>16.666666666666668</v>
      </c>
      <c r="AK6" s="170"/>
      <c r="AL6" s="638" t="str">
        <f>+AI6</f>
        <v>Coût / place / jour</v>
      </c>
      <c r="AM6" s="639">
        <f>+AL31/$B$7/'Calendrier 2021'!O8</f>
        <v>16.129032258064516</v>
      </c>
      <c r="AN6" s="170"/>
      <c r="AO6" s="170"/>
      <c r="AP6" s="640" t="str">
        <f>+AL6</f>
        <v>Coût / place / jour</v>
      </c>
      <c r="AQ6" s="641">
        <f>+AP31/$B$7/'% Occupation'!P9</f>
        <v>16.438356164383563</v>
      </c>
      <c r="AS6" s="1241"/>
      <c r="AT6" s="630" t="str">
        <f>'Formule pour le calcul D'!BA105</f>
        <v xml:space="preserve">C </v>
      </c>
      <c r="AU6" s="373"/>
      <c r="AV6" s="372" t="str">
        <f>'Formule pour le calcul D'!BC105</f>
        <v>A</v>
      </c>
      <c r="AW6" s="373"/>
      <c r="AX6" s="373"/>
      <c r="AY6" s="372" t="str">
        <f>AY4</f>
        <v>Um/A</v>
      </c>
      <c r="AZ6" s="373"/>
      <c r="BA6" s="372" t="str">
        <f>BA4</f>
        <v>CmO</v>
      </c>
      <c r="BB6" s="373"/>
      <c r="BC6" s="1244"/>
    </row>
    <row r="7" spans="2:56" ht="21" x14ac:dyDescent="0.25">
      <c r="B7" s="1290">
        <f>'Coût marchandises vendues'!B7</f>
        <v>1</v>
      </c>
      <c r="C7" s="1289"/>
      <c r="E7" s="425">
        <f>+E31/$AP31</f>
        <v>8.3333333333333329E-2</v>
      </c>
      <c r="F7" s="642"/>
      <c r="H7" s="425">
        <f>+H31/$AP31</f>
        <v>8.3333333333333329E-2</v>
      </c>
      <c r="I7" s="642"/>
      <c r="K7" s="425">
        <f>+K31/$AP31</f>
        <v>8.3333333333333329E-2</v>
      </c>
      <c r="L7" s="426"/>
      <c r="N7" s="425">
        <f>+N31/$AP31</f>
        <v>8.3333333333333329E-2</v>
      </c>
      <c r="O7" s="426"/>
      <c r="P7" s="643"/>
      <c r="Q7" s="425">
        <f>+Q31/$AP31</f>
        <v>8.3333333333333329E-2</v>
      </c>
      <c r="R7" s="426"/>
      <c r="S7" s="643"/>
      <c r="T7" s="425">
        <f>+T31/$AP31</f>
        <v>8.3333333333333329E-2</v>
      </c>
      <c r="U7" s="426"/>
      <c r="W7" s="425">
        <f>+W31/$AP31</f>
        <v>8.3333333333333329E-2</v>
      </c>
      <c r="X7" s="426"/>
      <c r="Z7" s="425">
        <f>+Z31/$AP31</f>
        <v>8.3333333333333329E-2</v>
      </c>
      <c r="AA7" s="426"/>
      <c r="AC7" s="425">
        <f>+AC31/$AP31</f>
        <v>8.3333333333333329E-2</v>
      </c>
      <c r="AD7" s="426"/>
      <c r="AF7" s="425">
        <f>+AF31/$AP31</f>
        <v>8.3333333333333329E-2</v>
      </c>
      <c r="AG7" s="426"/>
      <c r="AI7" s="425">
        <f>+AI31/$AP31</f>
        <v>8.3333333333333329E-2</v>
      </c>
      <c r="AJ7" s="426"/>
      <c r="AL7" s="425">
        <f>+AL31/$AP31</f>
        <v>8.3333333333333329E-2</v>
      </c>
      <c r="AM7" s="426"/>
      <c r="AP7" s="644">
        <f>+AP31/$AP31</f>
        <v>1</v>
      </c>
      <c r="AQ7" s="645" t="s">
        <v>136</v>
      </c>
      <c r="AS7" s="1241"/>
      <c r="AT7" s="631">
        <f>AP31</f>
        <v>6000</v>
      </c>
      <c r="AU7" s="369" t="s">
        <v>44</v>
      </c>
      <c r="AV7" s="632">
        <f>'Formule pour le calcul D'!G114</f>
        <v>52000</v>
      </c>
      <c r="AW7" s="369" t="s">
        <v>45</v>
      </c>
      <c r="AX7" s="369" t="s">
        <v>46</v>
      </c>
      <c r="AY7" s="633">
        <f>'Formule pour le calcul D'!J106</f>
        <v>2</v>
      </c>
      <c r="AZ7" s="369" t="s">
        <v>45</v>
      </c>
      <c r="BA7" s="634">
        <f>AT7/AV7/AY7</f>
        <v>5.7692307692307696E-2</v>
      </c>
      <c r="BB7" s="369" t="s">
        <v>49</v>
      </c>
      <c r="BC7" s="1244"/>
    </row>
    <row r="8" spans="2:56" ht="17" thickBot="1" x14ac:dyDescent="0.25">
      <c r="B8" s="1262" t="s">
        <v>334</v>
      </c>
      <c r="C8" s="1289"/>
      <c r="E8" s="647" t="str">
        <f>'État des Résultats'!E8</f>
        <v>Pér.01</v>
      </c>
      <c r="F8" s="718" t="str">
        <f>'État des Résultats'!AD8</f>
        <v>(%)</v>
      </c>
      <c r="G8" s="383"/>
      <c r="H8" s="647" t="str">
        <f>'État des Résultats'!H8</f>
        <v>Pér.02</v>
      </c>
      <c r="I8" s="718" t="str">
        <f>F8</f>
        <v>(%)</v>
      </c>
      <c r="J8" s="383"/>
      <c r="K8" s="647" t="str">
        <f>'État des Résultats'!K8</f>
        <v>Pér.03</v>
      </c>
      <c r="L8" s="718" t="str">
        <f>I8</f>
        <v>(%)</v>
      </c>
      <c r="M8" s="383"/>
      <c r="N8" s="647" t="str">
        <f>'État des Résultats'!N8</f>
        <v>Pér.04</v>
      </c>
      <c r="O8" s="718" t="str">
        <f>L8</f>
        <v>(%)</v>
      </c>
      <c r="P8" s="427"/>
      <c r="Q8" s="647" t="str">
        <f>'État des Résultats'!Q8</f>
        <v>Pér.05</v>
      </c>
      <c r="R8" s="718" t="str">
        <f>O8</f>
        <v>(%)</v>
      </c>
      <c r="S8" s="427"/>
      <c r="T8" s="647" t="str">
        <f>'État des Résultats'!T8</f>
        <v>Pér.06</v>
      </c>
      <c r="U8" s="718" t="str">
        <f>R8</f>
        <v>(%)</v>
      </c>
      <c r="V8" s="383"/>
      <c r="W8" s="647" t="str">
        <f>'État des Résultats'!W8</f>
        <v>Pér.07</v>
      </c>
      <c r="X8" s="718" t="str">
        <f>U8</f>
        <v>(%)</v>
      </c>
      <c r="Y8" s="383"/>
      <c r="Z8" s="647" t="str">
        <f>'État des Résultats'!Z8</f>
        <v>Pér.08</v>
      </c>
      <c r="AA8" s="718" t="str">
        <f>X8</f>
        <v>(%)</v>
      </c>
      <c r="AB8" s="383"/>
      <c r="AC8" s="647" t="str">
        <f>'État des Résultats'!AC8</f>
        <v>Pér.09</v>
      </c>
      <c r="AD8" s="718" t="str">
        <f>AA8</f>
        <v>(%)</v>
      </c>
      <c r="AE8" s="383"/>
      <c r="AF8" s="647" t="str">
        <f>'État des Résultats'!AF8</f>
        <v>Pér.10</v>
      </c>
      <c r="AG8" s="718" t="str">
        <f>AD8</f>
        <v>(%)</v>
      </c>
      <c r="AH8" s="383"/>
      <c r="AI8" s="647" t="str">
        <f>'État des Résultats'!AI8</f>
        <v>Pér.11</v>
      </c>
      <c r="AJ8" s="718" t="str">
        <f>AG8</f>
        <v>(%)</v>
      </c>
      <c r="AK8" s="383"/>
      <c r="AL8" s="647" t="str">
        <f>'État des Résultats'!AL8</f>
        <v>Pér.12</v>
      </c>
      <c r="AM8" s="718" t="str">
        <f>AJ8</f>
        <v>(%)</v>
      </c>
      <c r="AN8" s="648" t="s">
        <v>2</v>
      </c>
      <c r="AO8" s="383"/>
      <c r="AP8" s="649" t="str">
        <f>'État des Résultats'!AP8</f>
        <v>Total</v>
      </c>
      <c r="AQ8" s="718" t="str">
        <f>AM8</f>
        <v>(%)</v>
      </c>
      <c r="AS8" s="1242"/>
      <c r="AT8" s="374"/>
      <c r="AU8" s="374"/>
      <c r="AV8" s="374"/>
      <c r="AW8" s="374"/>
      <c r="AX8" s="374"/>
      <c r="AY8" s="374"/>
      <c r="AZ8" s="374"/>
      <c r="BA8" s="374"/>
      <c r="BB8" s="374"/>
      <c r="BC8" s="1245"/>
    </row>
    <row r="9" spans="2:56" ht="15" thickTop="1" thickBot="1" x14ac:dyDescent="0.2">
      <c r="B9" s="1298">
        <f>AP31/$B$7</f>
        <v>6000</v>
      </c>
      <c r="C9" s="1299"/>
      <c r="E9" s="665" t="str">
        <f>'État des Résultats'!E9</f>
        <v>Janvier 2021</v>
      </c>
      <c r="F9" s="666"/>
      <c r="G9" s="293"/>
      <c r="H9" s="667" t="str">
        <f>'État des Résultats'!H9</f>
        <v>Février 2021</v>
      </c>
      <c r="I9" s="668"/>
      <c r="J9" s="293"/>
      <c r="K9" s="667" t="str">
        <f>'État des Résultats'!K9</f>
        <v>Mars 2021</v>
      </c>
      <c r="L9" s="668"/>
      <c r="M9" s="293"/>
      <c r="N9" s="665" t="str">
        <f>'État des Résultats'!N9</f>
        <v>Avril 2021</v>
      </c>
      <c r="O9" s="666"/>
      <c r="P9" s="669"/>
      <c r="Q9" s="665" t="str">
        <f>'État des Résultats'!Q9</f>
        <v>Mai 2021</v>
      </c>
      <c r="R9" s="666"/>
      <c r="S9" s="669"/>
      <c r="T9" s="667" t="str">
        <f>'État des Résultats'!T9</f>
        <v>Juin 2021</v>
      </c>
      <c r="U9" s="668"/>
      <c r="V9" s="293"/>
      <c r="W9" s="667" t="str">
        <f>'État des Résultats'!W9</f>
        <v>Juillet 2021</v>
      </c>
      <c r="X9" s="668"/>
      <c r="Y9" s="293"/>
      <c r="Z9" s="667" t="str">
        <f>'État des Résultats'!Z9</f>
        <v>Août 2021</v>
      </c>
      <c r="AA9" s="668"/>
      <c r="AB9" s="293"/>
      <c r="AC9" s="667" t="str">
        <f>'État des Résultats'!AC9</f>
        <v>Septembre 2021</v>
      </c>
      <c r="AD9" s="668"/>
      <c r="AE9" s="293"/>
      <c r="AF9" s="667" t="str">
        <f>'État des Résultats'!AF9</f>
        <v>Octobre 2021</v>
      </c>
      <c r="AG9" s="668"/>
      <c r="AH9" s="293"/>
      <c r="AI9" s="667" t="str">
        <f>'État des Résultats'!AI9</f>
        <v>Novembre 2021</v>
      </c>
      <c r="AJ9" s="668"/>
      <c r="AK9" s="293"/>
      <c r="AL9" s="667" t="str">
        <f>'État des Résultats'!AL9</f>
        <v>Décembre 2021</v>
      </c>
      <c r="AM9" s="668"/>
      <c r="AN9" s="293"/>
      <c r="AO9" s="293"/>
      <c r="AP9" s="670" t="str">
        <f>'État des Résultats'!AP9</f>
        <v>Année</v>
      </c>
      <c r="AQ9" s="671"/>
      <c r="AR9" s="703"/>
      <c r="AS9" s="703"/>
      <c r="AT9" s="650"/>
      <c r="AU9" s="650"/>
      <c r="AV9" s="650"/>
      <c r="AW9" s="650"/>
      <c r="AX9" s="650"/>
      <c r="AY9" s="650"/>
      <c r="AZ9" s="650"/>
    </row>
    <row r="10" spans="2:56" ht="15" thickTop="1" thickBot="1" x14ac:dyDescent="0.2">
      <c r="D10" s="251"/>
      <c r="G10" s="389"/>
      <c r="J10" s="389"/>
      <c r="M10" s="389"/>
      <c r="P10" s="434"/>
      <c r="S10" s="434"/>
      <c r="V10" s="389"/>
      <c r="Y10" s="187"/>
      <c r="AB10" s="389"/>
      <c r="AE10" s="389"/>
      <c r="AH10" s="389"/>
      <c r="AK10" s="389"/>
      <c r="AN10" s="389"/>
      <c r="AO10" s="389"/>
      <c r="AR10" s="170"/>
      <c r="AS10" s="170"/>
      <c r="AT10" s="170"/>
    </row>
    <row r="11" spans="2:56" ht="17" thickTop="1" x14ac:dyDescent="0.2">
      <c r="B11" s="651"/>
      <c r="C11" s="713" t="s">
        <v>350</v>
      </c>
      <c r="E11" s="651"/>
      <c r="F11" s="652"/>
      <c r="H11" s="651"/>
      <c r="I11" s="652"/>
      <c r="K11" s="651"/>
      <c r="L11" s="652"/>
      <c r="N11" s="651"/>
      <c r="O11" s="652"/>
      <c r="Q11" s="651"/>
      <c r="R11" s="652"/>
      <c r="T11" s="651"/>
      <c r="U11" s="652"/>
      <c r="W11" s="651"/>
      <c r="X11" s="652"/>
      <c r="Z11" s="651"/>
      <c r="AA11" s="652"/>
      <c r="AC11" s="651"/>
      <c r="AD11" s="652"/>
      <c r="AF11" s="651"/>
      <c r="AG11" s="652"/>
      <c r="AI11" s="651"/>
      <c r="AJ11" s="652"/>
      <c r="AL11" s="651"/>
      <c r="AM11" s="652"/>
      <c r="AP11" s="614"/>
      <c r="AQ11" s="616"/>
      <c r="AR11" s="187"/>
      <c r="AS11" s="187"/>
      <c r="AT11" s="187"/>
      <c r="AU11" s="187"/>
      <c r="AV11" s="187"/>
      <c r="AW11" s="187"/>
      <c r="AX11" s="187"/>
      <c r="AY11" s="187"/>
      <c r="AZ11" s="187"/>
      <c r="BA11" s="187"/>
      <c r="BB11" s="187"/>
      <c r="BC11" s="187"/>
      <c r="BD11" s="187"/>
    </row>
    <row r="12" spans="2:56" x14ac:dyDescent="0.15">
      <c r="B12" s="190"/>
      <c r="C12" s="653"/>
      <c r="E12" s="190"/>
      <c r="F12" s="392"/>
      <c r="H12" s="190"/>
      <c r="I12" s="392"/>
      <c r="K12" s="190"/>
      <c r="L12" s="392"/>
      <c r="N12" s="190"/>
      <c r="O12" s="392"/>
      <c r="Q12" s="190"/>
      <c r="R12" s="392"/>
      <c r="T12" s="190"/>
      <c r="U12" s="392"/>
      <c r="W12" s="190"/>
      <c r="X12" s="392"/>
      <c r="Z12" s="190"/>
      <c r="AA12" s="392"/>
      <c r="AC12" s="190"/>
      <c r="AD12" s="392"/>
      <c r="AF12" s="190"/>
      <c r="AG12" s="392"/>
      <c r="AI12" s="190"/>
      <c r="AJ12" s="392"/>
      <c r="AL12" s="190"/>
      <c r="AM12" s="191"/>
      <c r="AP12" s="193"/>
      <c r="AQ12" s="495"/>
      <c r="AR12" s="187"/>
      <c r="AS12" s="187"/>
      <c r="AT12" s="187"/>
      <c r="AU12" s="187"/>
      <c r="AV12" s="187"/>
      <c r="AW12" s="187"/>
      <c r="AX12" s="187"/>
      <c r="AY12" s="187"/>
      <c r="AZ12" s="187"/>
      <c r="BA12" s="187"/>
      <c r="BB12" s="187"/>
      <c r="BC12" s="187"/>
      <c r="BD12" s="187"/>
    </row>
    <row r="13" spans="2:56" x14ac:dyDescent="0.15">
      <c r="B13" s="717">
        <v>7902</v>
      </c>
      <c r="C13" s="392" t="s">
        <v>351</v>
      </c>
      <c r="E13" s="812">
        <v>0</v>
      </c>
      <c r="F13" s="655">
        <f>E13/'État des Résultats'!E$14</f>
        <v>0</v>
      </c>
      <c r="H13" s="812">
        <v>0</v>
      </c>
      <c r="I13" s="655">
        <f>H13/'État des Résultats'!H$14</f>
        <v>0</v>
      </c>
      <c r="K13" s="812">
        <v>0</v>
      </c>
      <c r="L13" s="655">
        <f>K13/'État des Résultats'!K$14</f>
        <v>0</v>
      </c>
      <c r="N13" s="812">
        <v>0</v>
      </c>
      <c r="O13" s="655">
        <f>N13/'État des Résultats'!N$14</f>
        <v>0</v>
      </c>
      <c r="Q13" s="812">
        <v>0</v>
      </c>
      <c r="R13" s="655">
        <f>Q13/'État des Résultats'!Q$14</f>
        <v>0</v>
      </c>
      <c r="T13" s="812">
        <v>0</v>
      </c>
      <c r="U13" s="655">
        <f>T13/'État des Résultats'!T$14</f>
        <v>0</v>
      </c>
      <c r="W13" s="812">
        <v>0</v>
      </c>
      <c r="X13" s="655">
        <f>W13/'État des Résultats'!W$14</f>
        <v>0</v>
      </c>
      <c r="Z13" s="812">
        <v>0</v>
      </c>
      <c r="AA13" s="655">
        <f>Z13/'État des Résultats'!Z$14</f>
        <v>0</v>
      </c>
      <c r="AC13" s="812">
        <v>0</v>
      </c>
      <c r="AD13" s="655">
        <f>AC13/'État des Résultats'!AC$14</f>
        <v>0</v>
      </c>
      <c r="AF13" s="812">
        <v>0</v>
      </c>
      <c r="AG13" s="655">
        <f>AF13/'État des Résultats'!AF$14</f>
        <v>0</v>
      </c>
      <c r="AI13" s="812">
        <v>0</v>
      </c>
      <c r="AJ13" s="655">
        <f>AI13/'État des Résultats'!AI$14</f>
        <v>0</v>
      </c>
      <c r="AL13" s="812">
        <v>0</v>
      </c>
      <c r="AM13" s="655">
        <f>AL13/'État des Résultats'!AL$14</f>
        <v>0</v>
      </c>
      <c r="AP13" s="815">
        <f>SUM(+$AL13+$AI13+$AF13+$AC13+$Z13+$W13+$T13+$Q13+$N13+$K13+$H13+$E13)</f>
        <v>0</v>
      </c>
      <c r="AQ13" s="657">
        <f>AP13/'État des Résultats'!$AP$14</f>
        <v>0</v>
      </c>
    </row>
    <row r="14" spans="2:56" x14ac:dyDescent="0.15">
      <c r="B14" s="654">
        <v>7904</v>
      </c>
      <c r="C14" s="392" t="s">
        <v>352</v>
      </c>
      <c r="E14" s="812">
        <f>+(6000/12)</f>
        <v>500</v>
      </c>
      <c r="F14" s="655">
        <f>E14/'État des Résultats'!E$14</f>
        <v>1.3701132626963828E-2</v>
      </c>
      <c r="H14" s="812">
        <f>+(6000/12)</f>
        <v>500</v>
      </c>
      <c r="I14" s="655">
        <f>H14/'État des Résultats'!H$14</f>
        <v>1.4135441084659512E-2</v>
      </c>
      <c r="K14" s="812">
        <f>+(6000/12)</f>
        <v>500</v>
      </c>
      <c r="L14" s="655">
        <f>K14/'État des Résultats'!K$14</f>
        <v>1.268512352139029E-2</v>
      </c>
      <c r="N14" s="812">
        <f>+(6000/12)</f>
        <v>500</v>
      </c>
      <c r="O14" s="655">
        <f>N14/'État des Résultats'!N$14</f>
        <v>1.2538791887401649E-2</v>
      </c>
      <c r="Q14" s="812">
        <f>+(6000/12)</f>
        <v>500</v>
      </c>
      <c r="R14" s="655">
        <f>Q14/'État des Résultats'!Q$14</f>
        <v>1.1645962732919254E-2</v>
      </c>
      <c r="T14" s="812">
        <f>+(6000/12)</f>
        <v>500</v>
      </c>
      <c r="U14" s="655">
        <f>T14/'État des Résultats'!T$14</f>
        <v>1.1332300834812827E-2</v>
      </c>
      <c r="W14" s="812">
        <f>+(6000/12)</f>
        <v>500</v>
      </c>
      <c r="X14" s="655">
        <f>W14/'État des Résultats'!W$14</f>
        <v>1.0931052387068565E-2</v>
      </c>
      <c r="Z14" s="812">
        <f>+(6000/12)</f>
        <v>500</v>
      </c>
      <c r="AA14" s="655">
        <f>Z14/'État des Résultats'!Z$14</f>
        <v>1.0788650339842486E-2</v>
      </c>
      <c r="AC14" s="812">
        <f>+(6000/12)</f>
        <v>500</v>
      </c>
      <c r="AD14" s="655">
        <f>AC14/'État des Résultats'!AC$14</f>
        <v>1.1798713940180521E-2</v>
      </c>
      <c r="AF14" s="812">
        <f>+(6000/12)</f>
        <v>500</v>
      </c>
      <c r="AG14" s="655">
        <f>AF14/'État des Résultats'!AF$14</f>
        <v>1.1788050845792647E-2</v>
      </c>
      <c r="AI14" s="812">
        <f>+(6000/12)</f>
        <v>500</v>
      </c>
      <c r="AJ14" s="655">
        <f>AI14/'État des Résultats'!AI$14</f>
        <v>1.2682040117520237E-2</v>
      </c>
      <c r="AL14" s="812">
        <f>+(6000/12)</f>
        <v>500</v>
      </c>
      <c r="AM14" s="655">
        <f>AL14/'État des Résultats'!AL$14</f>
        <v>1.1411617026132604E-2</v>
      </c>
      <c r="AP14" s="815">
        <f>SUM(+$AL14+$AI14+$AF14+$AC14+$Z14+$W14+$T14+$Q14+$N14+$K14+$H14+$E14)</f>
        <v>6000</v>
      </c>
      <c r="AQ14" s="657">
        <f>AP14/'État des Résultats'!$AP$14</f>
        <v>1.2040133779264214E-2</v>
      </c>
    </row>
    <row r="15" spans="2:56" x14ac:dyDescent="0.15">
      <c r="B15" s="654">
        <v>7906</v>
      </c>
      <c r="C15" s="392" t="s">
        <v>353</v>
      </c>
      <c r="E15" s="812">
        <v>0</v>
      </c>
      <c r="F15" s="655">
        <f>E15/'État des Résultats'!E$14</f>
        <v>0</v>
      </c>
      <c r="G15" s="659" t="s">
        <v>2</v>
      </c>
      <c r="H15" s="812">
        <v>0</v>
      </c>
      <c r="I15" s="655">
        <f>H15/'État des Résultats'!H$14</f>
        <v>0</v>
      </c>
      <c r="K15" s="812">
        <v>0</v>
      </c>
      <c r="L15" s="655">
        <f>K15/'État des Résultats'!K$14</f>
        <v>0</v>
      </c>
      <c r="N15" s="812">
        <v>0</v>
      </c>
      <c r="O15" s="655">
        <f>N15/'État des Résultats'!N$14</f>
        <v>0</v>
      </c>
      <c r="Q15" s="812">
        <v>0</v>
      </c>
      <c r="R15" s="655">
        <f>Q15/'État des Résultats'!Q$14</f>
        <v>0</v>
      </c>
      <c r="T15" s="812">
        <v>0</v>
      </c>
      <c r="U15" s="655">
        <f>T15/'État des Résultats'!T$14</f>
        <v>0</v>
      </c>
      <c r="W15" s="812">
        <v>0</v>
      </c>
      <c r="X15" s="655">
        <f>W15/'État des Résultats'!W$14</f>
        <v>0</v>
      </c>
      <c r="Z15" s="812">
        <v>0</v>
      </c>
      <c r="AA15" s="655">
        <f>Z15/'État des Résultats'!Z$14</f>
        <v>0</v>
      </c>
      <c r="AC15" s="812">
        <v>0</v>
      </c>
      <c r="AD15" s="655">
        <f>AC15/'État des Résultats'!AC$14</f>
        <v>0</v>
      </c>
      <c r="AF15" s="812">
        <v>0</v>
      </c>
      <c r="AG15" s="655">
        <f>AF15/'État des Résultats'!AF$14</f>
        <v>0</v>
      </c>
      <c r="AI15" s="812">
        <v>0</v>
      </c>
      <c r="AJ15" s="655">
        <f>AI15/'État des Résultats'!AI$14</f>
        <v>0</v>
      </c>
      <c r="AL15" s="812">
        <v>0</v>
      </c>
      <c r="AM15" s="655">
        <f>AL15/'État des Résultats'!AL$14</f>
        <v>0</v>
      </c>
      <c r="AP15" s="815">
        <f t="shared" ref="AP15:AP29" si="0">SUM(+$AL15+$AI15+$AF15+$AC15+$Z15+$W15+$T15+$Q15+$N15+$K15+$H15+$E15)</f>
        <v>0</v>
      </c>
      <c r="AQ15" s="657">
        <f>AP15/'État des Résultats'!$AP$14</f>
        <v>0</v>
      </c>
    </row>
    <row r="16" spans="2:56" x14ac:dyDescent="0.15">
      <c r="B16" s="654">
        <v>7908</v>
      </c>
      <c r="C16" s="392" t="s">
        <v>354</v>
      </c>
      <c r="E16" s="812">
        <v>0</v>
      </c>
      <c r="F16" s="655">
        <f>E16/'État des Résultats'!E$14</f>
        <v>0</v>
      </c>
      <c r="H16" s="812">
        <v>0</v>
      </c>
      <c r="I16" s="655">
        <f>H16/'État des Résultats'!H$14</f>
        <v>0</v>
      </c>
      <c r="K16" s="812">
        <v>0</v>
      </c>
      <c r="L16" s="655">
        <f>K16/'État des Résultats'!K$14</f>
        <v>0</v>
      </c>
      <c r="N16" s="812">
        <v>0</v>
      </c>
      <c r="O16" s="655">
        <f>N16/'État des Résultats'!N$14</f>
        <v>0</v>
      </c>
      <c r="Q16" s="812">
        <v>0</v>
      </c>
      <c r="R16" s="655">
        <f>Q16/'État des Résultats'!Q$14</f>
        <v>0</v>
      </c>
      <c r="T16" s="812">
        <v>0</v>
      </c>
      <c r="U16" s="655">
        <f>T16/'État des Résultats'!T$14</f>
        <v>0</v>
      </c>
      <c r="W16" s="812">
        <v>0</v>
      </c>
      <c r="X16" s="655">
        <f>W16/'État des Résultats'!W$14</f>
        <v>0</v>
      </c>
      <c r="Z16" s="812">
        <v>0</v>
      </c>
      <c r="AA16" s="655">
        <f>Z16/'État des Résultats'!Z$14</f>
        <v>0</v>
      </c>
      <c r="AC16" s="812">
        <v>0</v>
      </c>
      <c r="AD16" s="655">
        <f>AC16/'État des Résultats'!AC$14</f>
        <v>0</v>
      </c>
      <c r="AF16" s="812">
        <v>0</v>
      </c>
      <c r="AG16" s="655">
        <f>AF16/'État des Résultats'!AF$14</f>
        <v>0</v>
      </c>
      <c r="AI16" s="812">
        <v>0</v>
      </c>
      <c r="AJ16" s="655">
        <f>AI16/'État des Résultats'!AI$14</f>
        <v>0</v>
      </c>
      <c r="AL16" s="812">
        <v>0</v>
      </c>
      <c r="AM16" s="655">
        <f>AL16/'État des Résultats'!AL$14</f>
        <v>0</v>
      </c>
      <c r="AP16" s="815">
        <f t="shared" si="0"/>
        <v>0</v>
      </c>
      <c r="AQ16" s="657">
        <f>AP16/'État des Résultats'!$AP$14</f>
        <v>0</v>
      </c>
    </row>
    <row r="17" spans="2:47" x14ac:dyDescent="0.15">
      <c r="B17" s="654">
        <v>7910</v>
      </c>
      <c r="C17" s="392" t="s">
        <v>355</v>
      </c>
      <c r="E17" s="812">
        <v>0</v>
      </c>
      <c r="F17" s="655">
        <f>E17/'État des Résultats'!E$14</f>
        <v>0</v>
      </c>
      <c r="H17" s="812">
        <v>0</v>
      </c>
      <c r="I17" s="655">
        <f>H17/'État des Résultats'!H$14</f>
        <v>0</v>
      </c>
      <c r="K17" s="812">
        <v>0</v>
      </c>
      <c r="L17" s="655">
        <f>K17/'État des Résultats'!K$14</f>
        <v>0</v>
      </c>
      <c r="N17" s="812">
        <v>0</v>
      </c>
      <c r="O17" s="655">
        <f>N17/'État des Résultats'!N$14</f>
        <v>0</v>
      </c>
      <c r="Q17" s="812">
        <v>0</v>
      </c>
      <c r="R17" s="655">
        <f>Q17/'État des Résultats'!Q$14</f>
        <v>0</v>
      </c>
      <c r="T17" s="812">
        <v>0</v>
      </c>
      <c r="U17" s="655">
        <f>T17/'État des Résultats'!T$14</f>
        <v>0</v>
      </c>
      <c r="W17" s="812">
        <v>0</v>
      </c>
      <c r="X17" s="655">
        <f>W17/'État des Résultats'!W$14</f>
        <v>0</v>
      </c>
      <c r="Z17" s="812">
        <v>0</v>
      </c>
      <c r="AA17" s="655">
        <f>Z17/'État des Résultats'!Z$14</f>
        <v>0</v>
      </c>
      <c r="AC17" s="812">
        <v>0</v>
      </c>
      <c r="AD17" s="655">
        <f>AC17/'État des Résultats'!AC$14</f>
        <v>0</v>
      </c>
      <c r="AF17" s="812">
        <v>0</v>
      </c>
      <c r="AG17" s="655">
        <f>AF17/'État des Résultats'!AF$14</f>
        <v>0</v>
      </c>
      <c r="AI17" s="812">
        <v>0</v>
      </c>
      <c r="AJ17" s="655">
        <f>AI17/'État des Résultats'!AI$14</f>
        <v>0</v>
      </c>
      <c r="AL17" s="812">
        <v>0</v>
      </c>
      <c r="AM17" s="655">
        <f>AL17/'État des Résultats'!AL$14</f>
        <v>0</v>
      </c>
      <c r="AP17" s="815">
        <f t="shared" si="0"/>
        <v>0</v>
      </c>
      <c r="AQ17" s="657">
        <f>AP17/'État des Résultats'!$AP$14</f>
        <v>0</v>
      </c>
    </row>
    <row r="18" spans="2:47" x14ac:dyDescent="0.15">
      <c r="B18" s="654">
        <v>7912</v>
      </c>
      <c r="C18" s="392" t="s">
        <v>356</v>
      </c>
      <c r="E18" s="812">
        <v>0</v>
      </c>
      <c r="F18" s="655">
        <f>E18/'État des Résultats'!E$14</f>
        <v>0</v>
      </c>
      <c r="H18" s="812">
        <v>0</v>
      </c>
      <c r="I18" s="655">
        <f>H18/'État des Résultats'!H$14</f>
        <v>0</v>
      </c>
      <c r="K18" s="812">
        <v>0</v>
      </c>
      <c r="L18" s="655">
        <f>K18/'État des Résultats'!K$14</f>
        <v>0</v>
      </c>
      <c r="N18" s="812">
        <v>0</v>
      </c>
      <c r="O18" s="655">
        <f>N18/'État des Résultats'!N$14</f>
        <v>0</v>
      </c>
      <c r="Q18" s="812">
        <v>0</v>
      </c>
      <c r="R18" s="655">
        <f>Q18/'État des Résultats'!Q$14</f>
        <v>0</v>
      </c>
      <c r="T18" s="812">
        <v>0</v>
      </c>
      <c r="U18" s="655">
        <f>T18/'État des Résultats'!T$14</f>
        <v>0</v>
      </c>
      <c r="W18" s="812">
        <v>0</v>
      </c>
      <c r="X18" s="655">
        <f>W18/'État des Résultats'!W$14</f>
        <v>0</v>
      </c>
      <c r="Z18" s="812">
        <v>0</v>
      </c>
      <c r="AA18" s="655">
        <f>Z18/'État des Résultats'!Z$14</f>
        <v>0</v>
      </c>
      <c r="AC18" s="812">
        <v>0</v>
      </c>
      <c r="AD18" s="655">
        <f>AC18/'État des Résultats'!AC$14</f>
        <v>0</v>
      </c>
      <c r="AF18" s="812">
        <v>0</v>
      </c>
      <c r="AG18" s="655">
        <f>AF18/'État des Résultats'!AF$14</f>
        <v>0</v>
      </c>
      <c r="AI18" s="812">
        <v>0</v>
      </c>
      <c r="AJ18" s="655">
        <f>AI18/'État des Résultats'!AI$14</f>
        <v>0</v>
      </c>
      <c r="AL18" s="812">
        <v>0</v>
      </c>
      <c r="AM18" s="655">
        <f>AL18/'État des Résultats'!AL$14</f>
        <v>0</v>
      </c>
      <c r="AP18" s="815">
        <f t="shared" si="0"/>
        <v>0</v>
      </c>
      <c r="AQ18" s="657">
        <f>AP18/'État des Résultats'!$AP$14</f>
        <v>0</v>
      </c>
      <c r="AS18" s="209"/>
    </row>
    <row r="19" spans="2:47" x14ac:dyDescent="0.15">
      <c r="B19" s="654">
        <v>7914</v>
      </c>
      <c r="C19" s="392" t="s">
        <v>357</v>
      </c>
      <c r="E19" s="812">
        <v>0</v>
      </c>
      <c r="F19" s="655">
        <f>E19/'État des Résultats'!E$14</f>
        <v>0</v>
      </c>
      <c r="H19" s="812">
        <v>0</v>
      </c>
      <c r="I19" s="655">
        <f>H19/'État des Résultats'!H$14</f>
        <v>0</v>
      </c>
      <c r="K19" s="812">
        <v>0</v>
      </c>
      <c r="L19" s="655">
        <f>K19/'État des Résultats'!K$14</f>
        <v>0</v>
      </c>
      <c r="N19" s="812">
        <v>0</v>
      </c>
      <c r="O19" s="655">
        <f>N19/'État des Résultats'!N$14</f>
        <v>0</v>
      </c>
      <c r="Q19" s="812">
        <v>0</v>
      </c>
      <c r="R19" s="655">
        <f>Q19/'État des Résultats'!Q$14</f>
        <v>0</v>
      </c>
      <c r="T19" s="812">
        <v>0</v>
      </c>
      <c r="U19" s="655">
        <f>T19/'État des Résultats'!T$14</f>
        <v>0</v>
      </c>
      <c r="W19" s="812">
        <v>0</v>
      </c>
      <c r="X19" s="655">
        <f>W19/'État des Résultats'!W$14</f>
        <v>0</v>
      </c>
      <c r="Z19" s="812">
        <v>0</v>
      </c>
      <c r="AA19" s="655">
        <f>Z19/'État des Résultats'!Z$14</f>
        <v>0</v>
      </c>
      <c r="AC19" s="812">
        <v>0</v>
      </c>
      <c r="AD19" s="655">
        <f>AC19/'État des Résultats'!AC$14</f>
        <v>0</v>
      </c>
      <c r="AF19" s="812">
        <v>0</v>
      </c>
      <c r="AG19" s="655">
        <f>AF19/'État des Résultats'!AF$14</f>
        <v>0</v>
      </c>
      <c r="AI19" s="812">
        <v>0</v>
      </c>
      <c r="AJ19" s="655">
        <f>AI19/'État des Résultats'!AI$14</f>
        <v>0</v>
      </c>
      <c r="AL19" s="812">
        <v>0</v>
      </c>
      <c r="AM19" s="655">
        <f>AL19/'État des Résultats'!AL$14</f>
        <v>0</v>
      </c>
      <c r="AP19" s="815">
        <f t="shared" si="0"/>
        <v>0</v>
      </c>
      <c r="AQ19" s="657">
        <f>AP19/'État des Résultats'!$AP$14</f>
        <v>0</v>
      </c>
    </row>
    <row r="20" spans="2:47" x14ac:dyDescent="0.15">
      <c r="B20" s="717">
        <v>7916</v>
      </c>
      <c r="C20" s="392" t="s">
        <v>358</v>
      </c>
      <c r="E20" s="812">
        <v>0</v>
      </c>
      <c r="F20" s="655">
        <f>E20/'État des Résultats'!E$14</f>
        <v>0</v>
      </c>
      <c r="H20" s="812">
        <v>0</v>
      </c>
      <c r="I20" s="655">
        <f>H20/'État des Résultats'!H$14</f>
        <v>0</v>
      </c>
      <c r="K20" s="812">
        <v>0</v>
      </c>
      <c r="L20" s="655">
        <f>K20/'État des Résultats'!K$14</f>
        <v>0</v>
      </c>
      <c r="N20" s="812">
        <v>0</v>
      </c>
      <c r="O20" s="655">
        <f>N20/'État des Résultats'!N$14</f>
        <v>0</v>
      </c>
      <c r="Q20" s="812">
        <v>0</v>
      </c>
      <c r="R20" s="655">
        <f>Q20/'État des Résultats'!Q$14</f>
        <v>0</v>
      </c>
      <c r="T20" s="812">
        <v>0</v>
      </c>
      <c r="U20" s="655">
        <f>T20/'État des Résultats'!T$14</f>
        <v>0</v>
      </c>
      <c r="W20" s="812">
        <v>0</v>
      </c>
      <c r="X20" s="655">
        <f>W20/'État des Résultats'!W$14</f>
        <v>0</v>
      </c>
      <c r="Z20" s="812">
        <v>0</v>
      </c>
      <c r="AA20" s="655">
        <f>Z20/'État des Résultats'!Z$14</f>
        <v>0</v>
      </c>
      <c r="AC20" s="812">
        <v>0</v>
      </c>
      <c r="AD20" s="655">
        <f>AC20/'État des Résultats'!AC$14</f>
        <v>0</v>
      </c>
      <c r="AF20" s="812">
        <v>0</v>
      </c>
      <c r="AG20" s="655">
        <f>AF20/'État des Résultats'!AF$14</f>
        <v>0</v>
      </c>
      <c r="AI20" s="812">
        <v>0</v>
      </c>
      <c r="AJ20" s="655">
        <f>AI20/'État des Résultats'!AI$14</f>
        <v>0</v>
      </c>
      <c r="AL20" s="812">
        <v>0</v>
      </c>
      <c r="AM20" s="655">
        <f>AL20/'État des Résultats'!AL$14</f>
        <v>0</v>
      </c>
      <c r="AP20" s="815">
        <f t="shared" si="0"/>
        <v>0</v>
      </c>
      <c r="AQ20" s="657">
        <f>AP20/'État des Résultats'!$AP$14</f>
        <v>0</v>
      </c>
    </row>
    <row r="21" spans="2:47" x14ac:dyDescent="0.15">
      <c r="B21" s="654">
        <v>7918</v>
      </c>
      <c r="C21" s="392" t="s">
        <v>359</v>
      </c>
      <c r="E21" s="812">
        <v>0</v>
      </c>
      <c r="F21" s="655">
        <f>E21/'État des Résultats'!E$14</f>
        <v>0</v>
      </c>
      <c r="H21" s="812">
        <v>0</v>
      </c>
      <c r="I21" s="655">
        <f>H21/'État des Résultats'!H$14</f>
        <v>0</v>
      </c>
      <c r="K21" s="812">
        <v>0</v>
      </c>
      <c r="L21" s="655">
        <f>K21/'État des Résultats'!K$14</f>
        <v>0</v>
      </c>
      <c r="N21" s="812">
        <v>0</v>
      </c>
      <c r="O21" s="655">
        <f>N21/'État des Résultats'!N$14</f>
        <v>0</v>
      </c>
      <c r="Q21" s="812">
        <v>0</v>
      </c>
      <c r="R21" s="655">
        <f>Q21/'État des Résultats'!Q$14</f>
        <v>0</v>
      </c>
      <c r="T21" s="812">
        <v>0</v>
      </c>
      <c r="U21" s="655">
        <f>T21/'État des Résultats'!T$14</f>
        <v>0</v>
      </c>
      <c r="W21" s="812">
        <v>0</v>
      </c>
      <c r="X21" s="655">
        <f>W21/'État des Résultats'!W$14</f>
        <v>0</v>
      </c>
      <c r="Z21" s="812">
        <v>0</v>
      </c>
      <c r="AA21" s="655">
        <f>Z21/'État des Résultats'!Z$14</f>
        <v>0</v>
      </c>
      <c r="AC21" s="812">
        <v>0</v>
      </c>
      <c r="AD21" s="655">
        <f>AC21/'État des Résultats'!AC$14</f>
        <v>0</v>
      </c>
      <c r="AF21" s="812">
        <v>0</v>
      </c>
      <c r="AG21" s="655">
        <f>AF21/'État des Résultats'!AF$14</f>
        <v>0</v>
      </c>
      <c r="AI21" s="812">
        <v>0</v>
      </c>
      <c r="AJ21" s="655">
        <f>AI21/'État des Résultats'!AI$14</f>
        <v>0</v>
      </c>
      <c r="AL21" s="812">
        <v>0</v>
      </c>
      <c r="AM21" s="655">
        <f>AL21/'État des Résultats'!AL$14</f>
        <v>0</v>
      </c>
      <c r="AP21" s="815">
        <f t="shared" si="0"/>
        <v>0</v>
      </c>
      <c r="AQ21" s="657">
        <f>AP21/'État des Résultats'!$AP$14</f>
        <v>0</v>
      </c>
    </row>
    <row r="22" spans="2:47" x14ac:dyDescent="0.15">
      <c r="B22" s="654">
        <v>7920</v>
      </c>
      <c r="C22" s="392" t="s">
        <v>360</v>
      </c>
      <c r="E22" s="812">
        <v>0</v>
      </c>
      <c r="F22" s="655">
        <f>E22/'État des Résultats'!E$14</f>
        <v>0</v>
      </c>
      <c r="H22" s="812">
        <v>0</v>
      </c>
      <c r="I22" s="655">
        <f>H22/'État des Résultats'!H$14</f>
        <v>0</v>
      </c>
      <c r="K22" s="812">
        <v>0</v>
      </c>
      <c r="L22" s="655">
        <f>K22/'État des Résultats'!K$14</f>
        <v>0</v>
      </c>
      <c r="N22" s="812">
        <v>0</v>
      </c>
      <c r="O22" s="655">
        <f>N22/'État des Résultats'!N$14</f>
        <v>0</v>
      </c>
      <c r="Q22" s="812">
        <v>0</v>
      </c>
      <c r="R22" s="655">
        <f>Q22/'État des Résultats'!Q$14</f>
        <v>0</v>
      </c>
      <c r="T22" s="812">
        <v>0</v>
      </c>
      <c r="U22" s="655">
        <f>T22/'État des Résultats'!T$14</f>
        <v>0</v>
      </c>
      <c r="W22" s="812">
        <v>0</v>
      </c>
      <c r="X22" s="655">
        <f>W22/'État des Résultats'!W$14</f>
        <v>0</v>
      </c>
      <c r="Z22" s="812">
        <v>0</v>
      </c>
      <c r="AA22" s="655">
        <f>Z22/'État des Résultats'!Z$14</f>
        <v>0</v>
      </c>
      <c r="AC22" s="812">
        <v>0</v>
      </c>
      <c r="AD22" s="655">
        <f>AC22/'État des Résultats'!AC$14</f>
        <v>0</v>
      </c>
      <c r="AF22" s="812">
        <v>0</v>
      </c>
      <c r="AG22" s="655">
        <f>AF22/'État des Résultats'!AF$14</f>
        <v>0</v>
      </c>
      <c r="AI22" s="812">
        <v>0</v>
      </c>
      <c r="AJ22" s="655">
        <f>AI22/'État des Résultats'!AI$14</f>
        <v>0</v>
      </c>
      <c r="AL22" s="812">
        <v>0</v>
      </c>
      <c r="AM22" s="655">
        <f>AL22/'État des Résultats'!AL$14</f>
        <v>0</v>
      </c>
      <c r="AP22" s="815">
        <f t="shared" si="0"/>
        <v>0</v>
      </c>
      <c r="AQ22" s="657">
        <f>AP22/'État des Résultats'!$AP$14</f>
        <v>0</v>
      </c>
    </row>
    <row r="23" spans="2:47" x14ac:dyDescent="0.15">
      <c r="B23" s="654">
        <v>7922</v>
      </c>
      <c r="C23" s="392" t="s">
        <v>361</v>
      </c>
      <c r="E23" s="812">
        <v>0</v>
      </c>
      <c r="F23" s="655">
        <f>E23/'État des Résultats'!E$14</f>
        <v>0</v>
      </c>
      <c r="H23" s="812">
        <v>0</v>
      </c>
      <c r="I23" s="655">
        <f>H23/'État des Résultats'!H$14</f>
        <v>0</v>
      </c>
      <c r="K23" s="812">
        <v>0</v>
      </c>
      <c r="L23" s="655">
        <f>K23/'État des Résultats'!K$14</f>
        <v>0</v>
      </c>
      <c r="N23" s="812">
        <v>0</v>
      </c>
      <c r="O23" s="655">
        <f>N23/'État des Résultats'!N$14</f>
        <v>0</v>
      </c>
      <c r="Q23" s="812">
        <v>0</v>
      </c>
      <c r="R23" s="655">
        <f>Q23/'État des Résultats'!Q$14</f>
        <v>0</v>
      </c>
      <c r="T23" s="812">
        <v>0</v>
      </c>
      <c r="U23" s="655">
        <f>T23/'État des Résultats'!T$14</f>
        <v>0</v>
      </c>
      <c r="W23" s="812">
        <v>0</v>
      </c>
      <c r="X23" s="655">
        <f>W23/'État des Résultats'!W$14</f>
        <v>0</v>
      </c>
      <c r="Z23" s="812">
        <v>0</v>
      </c>
      <c r="AA23" s="655">
        <f>Z23/'État des Résultats'!Z$14</f>
        <v>0</v>
      </c>
      <c r="AC23" s="812">
        <v>0</v>
      </c>
      <c r="AD23" s="655">
        <f>AC23/'État des Résultats'!AC$14</f>
        <v>0</v>
      </c>
      <c r="AF23" s="812">
        <v>0</v>
      </c>
      <c r="AG23" s="655">
        <f>AF23/'État des Résultats'!AF$14</f>
        <v>0</v>
      </c>
      <c r="AI23" s="812">
        <v>0</v>
      </c>
      <c r="AJ23" s="655">
        <f>AI23/'État des Résultats'!AI$14</f>
        <v>0</v>
      </c>
      <c r="AL23" s="812">
        <v>0</v>
      </c>
      <c r="AM23" s="655">
        <f>AL23/'État des Résultats'!AL$14</f>
        <v>0</v>
      </c>
      <c r="AP23" s="815">
        <f t="shared" si="0"/>
        <v>0</v>
      </c>
      <c r="AQ23" s="657">
        <f>AP23/'État des Résultats'!$AP$14</f>
        <v>0</v>
      </c>
    </row>
    <row r="24" spans="2:47" x14ac:dyDescent="0.15">
      <c r="B24" s="654">
        <v>7924</v>
      </c>
      <c r="C24" s="392" t="s">
        <v>362</v>
      </c>
      <c r="E24" s="812">
        <v>0</v>
      </c>
      <c r="F24" s="655">
        <f>E24/'État des Résultats'!E$14</f>
        <v>0</v>
      </c>
      <c r="H24" s="812">
        <v>0</v>
      </c>
      <c r="I24" s="655">
        <f>H24/'État des Résultats'!H$14</f>
        <v>0</v>
      </c>
      <c r="K24" s="812">
        <v>0</v>
      </c>
      <c r="L24" s="655">
        <f>K24/'État des Résultats'!K$14</f>
        <v>0</v>
      </c>
      <c r="N24" s="812">
        <v>0</v>
      </c>
      <c r="O24" s="655">
        <f>N24/'État des Résultats'!N$14</f>
        <v>0</v>
      </c>
      <c r="Q24" s="812">
        <v>0</v>
      </c>
      <c r="R24" s="655">
        <f>Q24/'État des Résultats'!Q$14</f>
        <v>0</v>
      </c>
      <c r="T24" s="812">
        <v>0</v>
      </c>
      <c r="U24" s="655">
        <f>T24/'État des Résultats'!T$14</f>
        <v>0</v>
      </c>
      <c r="W24" s="812">
        <v>0</v>
      </c>
      <c r="X24" s="655">
        <f>W24/'État des Résultats'!W$14</f>
        <v>0</v>
      </c>
      <c r="Z24" s="812">
        <v>0</v>
      </c>
      <c r="AA24" s="655">
        <f>Z24/'État des Résultats'!Z$14</f>
        <v>0</v>
      </c>
      <c r="AC24" s="812">
        <v>0</v>
      </c>
      <c r="AD24" s="655">
        <f>AC24/'État des Résultats'!AC$14</f>
        <v>0</v>
      </c>
      <c r="AF24" s="812">
        <v>0</v>
      </c>
      <c r="AG24" s="655">
        <f>AF24/'État des Résultats'!AF$14</f>
        <v>0</v>
      </c>
      <c r="AI24" s="812">
        <v>0</v>
      </c>
      <c r="AJ24" s="655">
        <f>AI24/'État des Résultats'!AI$14</f>
        <v>0</v>
      </c>
      <c r="AL24" s="812">
        <v>0</v>
      </c>
      <c r="AM24" s="655">
        <f>AL24/'État des Résultats'!AL$14</f>
        <v>0</v>
      </c>
      <c r="AP24" s="815">
        <f t="shared" si="0"/>
        <v>0</v>
      </c>
      <c r="AQ24" s="657">
        <f>AP24/'État des Résultats'!$AP$14</f>
        <v>0</v>
      </c>
    </row>
    <row r="25" spans="2:47" x14ac:dyDescent="0.15">
      <c r="B25" s="654">
        <v>7928</v>
      </c>
      <c r="C25" s="392" t="s">
        <v>363</v>
      </c>
      <c r="E25" s="812">
        <v>0</v>
      </c>
      <c r="F25" s="655">
        <f>E25/'État des Résultats'!E$14</f>
        <v>0</v>
      </c>
      <c r="H25" s="812">
        <v>0</v>
      </c>
      <c r="I25" s="655">
        <f>H25/'État des Résultats'!H$14</f>
        <v>0</v>
      </c>
      <c r="K25" s="812">
        <v>0</v>
      </c>
      <c r="L25" s="655">
        <f>K25/'État des Résultats'!K$14</f>
        <v>0</v>
      </c>
      <c r="N25" s="812">
        <v>0</v>
      </c>
      <c r="O25" s="655">
        <f>N25/'État des Résultats'!N$14</f>
        <v>0</v>
      </c>
      <c r="Q25" s="812">
        <v>0</v>
      </c>
      <c r="R25" s="655">
        <f>Q25/'État des Résultats'!Q$14</f>
        <v>0</v>
      </c>
      <c r="T25" s="812">
        <v>0</v>
      </c>
      <c r="U25" s="655">
        <f>T25/'État des Résultats'!T$14</f>
        <v>0</v>
      </c>
      <c r="W25" s="812">
        <v>0</v>
      </c>
      <c r="X25" s="655">
        <f>W25/'État des Résultats'!W$14</f>
        <v>0</v>
      </c>
      <c r="Z25" s="812">
        <v>0</v>
      </c>
      <c r="AA25" s="655">
        <f>Z25/'État des Résultats'!Z$14</f>
        <v>0</v>
      </c>
      <c r="AC25" s="812">
        <v>0</v>
      </c>
      <c r="AD25" s="655">
        <f>AC25/'État des Résultats'!AC$14</f>
        <v>0</v>
      </c>
      <c r="AF25" s="812">
        <v>0</v>
      </c>
      <c r="AG25" s="655">
        <f>AF25/'État des Résultats'!AF$14</f>
        <v>0</v>
      </c>
      <c r="AI25" s="812">
        <v>0</v>
      </c>
      <c r="AJ25" s="655">
        <f>AI25/'État des Résultats'!AI$14</f>
        <v>0</v>
      </c>
      <c r="AL25" s="812">
        <v>0</v>
      </c>
      <c r="AM25" s="655">
        <f>AL25/'État des Résultats'!AL$14</f>
        <v>0</v>
      </c>
      <c r="AP25" s="815">
        <f t="shared" si="0"/>
        <v>0</v>
      </c>
      <c r="AQ25" s="657">
        <f>AP25/'État des Résultats'!$AP$14</f>
        <v>0</v>
      </c>
    </row>
    <row r="26" spans="2:47" x14ac:dyDescent="0.15">
      <c r="B26" s="654">
        <v>7990</v>
      </c>
      <c r="C26" s="392" t="s">
        <v>368</v>
      </c>
      <c r="E26" s="812">
        <v>0</v>
      </c>
      <c r="F26" s="655">
        <f>E26/'État des Résultats'!E$14</f>
        <v>0</v>
      </c>
      <c r="H26" s="812">
        <v>0</v>
      </c>
      <c r="I26" s="655">
        <f>H26/'État des Résultats'!H$14</f>
        <v>0</v>
      </c>
      <c r="K26" s="812">
        <v>0</v>
      </c>
      <c r="L26" s="655">
        <f>K26/'État des Résultats'!K$14</f>
        <v>0</v>
      </c>
      <c r="N26" s="812">
        <v>0</v>
      </c>
      <c r="O26" s="655">
        <f>N26/'État des Résultats'!N$14</f>
        <v>0</v>
      </c>
      <c r="Q26" s="812">
        <v>0</v>
      </c>
      <c r="R26" s="655">
        <f>Q26/'État des Résultats'!Q$14</f>
        <v>0</v>
      </c>
      <c r="T26" s="812">
        <v>0</v>
      </c>
      <c r="U26" s="655">
        <f>T26/'État des Résultats'!T$14</f>
        <v>0</v>
      </c>
      <c r="W26" s="812">
        <v>0</v>
      </c>
      <c r="X26" s="655">
        <f>W26/'État des Résultats'!W$14</f>
        <v>0</v>
      </c>
      <c r="Z26" s="812">
        <v>0</v>
      </c>
      <c r="AA26" s="655">
        <f>Z26/'État des Résultats'!Z$14</f>
        <v>0</v>
      </c>
      <c r="AC26" s="812">
        <v>0</v>
      </c>
      <c r="AD26" s="655">
        <f>AC26/'État des Résultats'!AC$14</f>
        <v>0</v>
      </c>
      <c r="AF26" s="812">
        <v>0</v>
      </c>
      <c r="AG26" s="655">
        <f>AF26/'État des Résultats'!AF$14</f>
        <v>0</v>
      </c>
      <c r="AI26" s="812">
        <v>0</v>
      </c>
      <c r="AJ26" s="655">
        <f>AI26/'État des Résultats'!AI$14</f>
        <v>0</v>
      </c>
      <c r="AL26" s="812">
        <v>0</v>
      </c>
      <c r="AM26" s="655">
        <f>AL26/'État des Résultats'!AL$14</f>
        <v>0</v>
      </c>
      <c r="AP26" s="815">
        <f t="shared" si="0"/>
        <v>0</v>
      </c>
      <c r="AQ26" s="657">
        <f>AP26/'État des Résultats'!$AP$14</f>
        <v>0</v>
      </c>
    </row>
    <row r="27" spans="2:47" x14ac:dyDescent="0.15">
      <c r="B27" s="717">
        <v>7996</v>
      </c>
      <c r="C27" s="392" t="s">
        <v>364</v>
      </c>
      <c r="E27" s="812">
        <v>0</v>
      </c>
      <c r="F27" s="655">
        <f>E27/'État des Résultats'!E$14</f>
        <v>0</v>
      </c>
      <c r="H27" s="812">
        <v>0</v>
      </c>
      <c r="I27" s="655">
        <f>H27/'État des Résultats'!H$14</f>
        <v>0</v>
      </c>
      <c r="K27" s="812">
        <v>0</v>
      </c>
      <c r="L27" s="655">
        <f>K27/'État des Résultats'!K$14</f>
        <v>0</v>
      </c>
      <c r="N27" s="812">
        <v>0</v>
      </c>
      <c r="O27" s="655">
        <f>N27/'État des Résultats'!N$14</f>
        <v>0</v>
      </c>
      <c r="Q27" s="812">
        <v>0</v>
      </c>
      <c r="R27" s="655">
        <f>Q27/'État des Résultats'!Q$14</f>
        <v>0</v>
      </c>
      <c r="T27" s="812">
        <v>0</v>
      </c>
      <c r="U27" s="655">
        <f>T27/'État des Résultats'!T$14</f>
        <v>0</v>
      </c>
      <c r="W27" s="812">
        <v>0</v>
      </c>
      <c r="X27" s="655">
        <f>W27/'État des Résultats'!W$14</f>
        <v>0</v>
      </c>
      <c r="Z27" s="812">
        <v>0</v>
      </c>
      <c r="AA27" s="655">
        <f>Z27/'État des Résultats'!Z$14</f>
        <v>0</v>
      </c>
      <c r="AC27" s="812">
        <v>0</v>
      </c>
      <c r="AD27" s="655">
        <f>AC27/'État des Résultats'!AC$14</f>
        <v>0</v>
      </c>
      <c r="AF27" s="812">
        <v>0</v>
      </c>
      <c r="AG27" s="655">
        <f>AF27/'État des Résultats'!AF$14</f>
        <v>0</v>
      </c>
      <c r="AI27" s="812">
        <v>0</v>
      </c>
      <c r="AJ27" s="655">
        <f>AI27/'État des Résultats'!AI$14</f>
        <v>0</v>
      </c>
      <c r="AL27" s="812">
        <v>0</v>
      </c>
      <c r="AM27" s="655">
        <f>AL27/'État des Résultats'!AL$14</f>
        <v>0</v>
      </c>
      <c r="AP27" s="815">
        <f t="shared" si="0"/>
        <v>0</v>
      </c>
      <c r="AQ27" s="657">
        <f>AP27/'État des Résultats'!$AP$14</f>
        <v>0</v>
      </c>
    </row>
    <row r="28" spans="2:47" x14ac:dyDescent="0.15">
      <c r="B28" s="654">
        <v>7998</v>
      </c>
      <c r="C28" s="392" t="s">
        <v>365</v>
      </c>
      <c r="E28" s="812">
        <v>0</v>
      </c>
      <c r="F28" s="655">
        <f>E28/'État des Résultats'!E$14</f>
        <v>0</v>
      </c>
      <c r="H28" s="812">
        <v>0</v>
      </c>
      <c r="I28" s="655">
        <f>H28/'État des Résultats'!H$14</f>
        <v>0</v>
      </c>
      <c r="K28" s="812">
        <v>0</v>
      </c>
      <c r="L28" s="655">
        <f>K28/'État des Résultats'!K$14</f>
        <v>0</v>
      </c>
      <c r="N28" s="812">
        <v>0</v>
      </c>
      <c r="O28" s="655">
        <f>N28/'État des Résultats'!N$14</f>
        <v>0</v>
      </c>
      <c r="Q28" s="812">
        <v>0</v>
      </c>
      <c r="R28" s="655">
        <f>Q28/'État des Résultats'!Q$14</f>
        <v>0</v>
      </c>
      <c r="T28" s="812">
        <v>0</v>
      </c>
      <c r="U28" s="655">
        <f>T28/'État des Résultats'!T$14</f>
        <v>0</v>
      </c>
      <c r="W28" s="812">
        <v>0</v>
      </c>
      <c r="X28" s="655">
        <f>W28/'État des Résultats'!W$14</f>
        <v>0</v>
      </c>
      <c r="Z28" s="812">
        <v>0</v>
      </c>
      <c r="AA28" s="655">
        <f>Z28/'État des Résultats'!Z$14</f>
        <v>0</v>
      </c>
      <c r="AC28" s="812">
        <v>0</v>
      </c>
      <c r="AD28" s="655">
        <f>AC28/'État des Résultats'!AC$14</f>
        <v>0</v>
      </c>
      <c r="AF28" s="812">
        <v>0</v>
      </c>
      <c r="AG28" s="655">
        <f>AF28/'État des Résultats'!AF$14</f>
        <v>0</v>
      </c>
      <c r="AI28" s="812">
        <v>0</v>
      </c>
      <c r="AJ28" s="655">
        <f>AI28/'État des Résultats'!AI$14</f>
        <v>0</v>
      </c>
      <c r="AL28" s="812">
        <v>0</v>
      </c>
      <c r="AM28" s="655">
        <f>AL28/'État des Résultats'!AL$14</f>
        <v>0</v>
      </c>
      <c r="AP28" s="815">
        <f t="shared" si="0"/>
        <v>0</v>
      </c>
      <c r="AQ28" s="657">
        <f>AP28/'État des Résultats'!$AP$14</f>
        <v>0</v>
      </c>
    </row>
    <row r="29" spans="2:47" x14ac:dyDescent="0.15">
      <c r="B29" s="654">
        <v>7999</v>
      </c>
      <c r="C29" s="392" t="s">
        <v>366</v>
      </c>
      <c r="E29" s="812">
        <v>0</v>
      </c>
      <c r="F29" s="655">
        <f>E29/'État des Résultats'!E$14</f>
        <v>0</v>
      </c>
      <c r="H29" s="812">
        <v>0</v>
      </c>
      <c r="I29" s="655">
        <f>H29/'État des Résultats'!H$14</f>
        <v>0</v>
      </c>
      <c r="K29" s="812">
        <v>0</v>
      </c>
      <c r="L29" s="655">
        <f>K29/'État des Résultats'!K$14</f>
        <v>0</v>
      </c>
      <c r="N29" s="812">
        <v>0</v>
      </c>
      <c r="O29" s="655">
        <f>N29/'État des Résultats'!N$14</f>
        <v>0</v>
      </c>
      <c r="Q29" s="812">
        <v>0</v>
      </c>
      <c r="R29" s="655">
        <f>Q29/'État des Résultats'!Q$14</f>
        <v>0</v>
      </c>
      <c r="T29" s="812">
        <v>0</v>
      </c>
      <c r="U29" s="655">
        <f>T29/'État des Résultats'!T$14</f>
        <v>0</v>
      </c>
      <c r="W29" s="812">
        <v>0</v>
      </c>
      <c r="X29" s="655">
        <f>W29/'État des Résultats'!W$14</f>
        <v>0</v>
      </c>
      <c r="Z29" s="812">
        <v>0</v>
      </c>
      <c r="AA29" s="655">
        <f>Z29/'État des Résultats'!Z$14</f>
        <v>0</v>
      </c>
      <c r="AC29" s="812">
        <v>0</v>
      </c>
      <c r="AD29" s="655">
        <f>AC29/'État des Résultats'!AC$14</f>
        <v>0</v>
      </c>
      <c r="AF29" s="812">
        <v>0</v>
      </c>
      <c r="AG29" s="655">
        <f>AF29/'État des Résultats'!AF$14</f>
        <v>0</v>
      </c>
      <c r="AI29" s="812">
        <v>0</v>
      </c>
      <c r="AJ29" s="655">
        <f>AI29/'État des Résultats'!AI$14</f>
        <v>0</v>
      </c>
      <c r="AL29" s="812">
        <v>0</v>
      </c>
      <c r="AM29" s="655">
        <f>AL29/'État des Résultats'!AL$14</f>
        <v>0</v>
      </c>
      <c r="AP29" s="815">
        <f t="shared" si="0"/>
        <v>0</v>
      </c>
      <c r="AQ29" s="657">
        <f>AP29/'État des Résultats'!$AP$14</f>
        <v>0</v>
      </c>
    </row>
    <row r="30" spans="2:47" ht="14" thickBot="1" x14ac:dyDescent="0.2">
      <c r="B30" s="690"/>
      <c r="C30" s="691"/>
      <c r="D30" s="683"/>
      <c r="E30" s="816"/>
      <c r="F30" s="688"/>
      <c r="G30" s="683"/>
      <c r="H30" s="816"/>
      <c r="I30" s="688"/>
      <c r="J30" s="683"/>
      <c r="K30" s="816"/>
      <c r="L30" s="688"/>
      <c r="M30" s="683"/>
      <c r="N30" s="816"/>
      <c r="O30" s="688"/>
      <c r="P30" s="683"/>
      <c r="Q30" s="816"/>
      <c r="R30" s="688"/>
      <c r="S30" s="683"/>
      <c r="T30" s="816"/>
      <c r="U30" s="688"/>
      <c r="V30" s="683"/>
      <c r="W30" s="816"/>
      <c r="X30" s="688"/>
      <c r="Y30" s="683"/>
      <c r="Z30" s="816"/>
      <c r="AA30" s="688"/>
      <c r="AB30" s="683"/>
      <c r="AC30" s="816"/>
      <c r="AD30" s="688"/>
      <c r="AE30" s="683"/>
      <c r="AF30" s="816"/>
      <c r="AG30" s="688"/>
      <c r="AH30" s="683"/>
      <c r="AI30" s="816"/>
      <c r="AJ30" s="688"/>
      <c r="AK30" s="683"/>
      <c r="AL30" s="816"/>
      <c r="AM30" s="688"/>
      <c r="AN30" s="683"/>
      <c r="AO30" s="683"/>
      <c r="AP30" s="815"/>
      <c r="AQ30" s="689"/>
    </row>
    <row r="31" spans="2:47" ht="15" thickTop="1" thickBot="1" x14ac:dyDescent="0.2">
      <c r="B31" s="470">
        <v>7900</v>
      </c>
      <c r="C31" s="471" t="s">
        <v>367</v>
      </c>
      <c r="D31" s="213"/>
      <c r="E31" s="814">
        <f>SUM(E13:E29)</f>
        <v>500</v>
      </c>
      <c r="F31" s="663">
        <f>E31/'État des Résultats'!E14</f>
        <v>1.3701132626963828E-2</v>
      </c>
      <c r="G31" s="213"/>
      <c r="H31" s="814">
        <f>SUM(H13:H29)</f>
        <v>500</v>
      </c>
      <c r="I31" s="663">
        <f>H31/'État des Résultats'!H14</f>
        <v>1.4135441084659512E-2</v>
      </c>
      <c r="J31" s="213"/>
      <c r="K31" s="814">
        <f>SUM(K13:K29)</f>
        <v>500</v>
      </c>
      <c r="L31" s="663">
        <f>K31/'État des Résultats'!K14</f>
        <v>1.268512352139029E-2</v>
      </c>
      <c r="M31" s="213"/>
      <c r="N31" s="814">
        <f>SUM(N13:N29)</f>
        <v>500</v>
      </c>
      <c r="O31" s="663">
        <f>N31/'État des Résultats'!N14</f>
        <v>1.2538791887401649E-2</v>
      </c>
      <c r="P31" s="213"/>
      <c r="Q31" s="814">
        <f>SUM(Q13:Q29)</f>
        <v>500</v>
      </c>
      <c r="R31" s="663">
        <f>Q31/'État des Résultats'!Q14</f>
        <v>1.1645962732919254E-2</v>
      </c>
      <c r="S31" s="213"/>
      <c r="T31" s="814">
        <f>SUM(T13:T29)</f>
        <v>500</v>
      </c>
      <c r="U31" s="663">
        <f>T31/'État des Résultats'!T14</f>
        <v>1.1332300834812827E-2</v>
      </c>
      <c r="V31" s="213"/>
      <c r="W31" s="814">
        <f>SUM(W13:W29)</f>
        <v>500</v>
      </c>
      <c r="X31" s="663">
        <f>W31/'État des Résultats'!W14</f>
        <v>1.0931052387068565E-2</v>
      </c>
      <c r="Y31" s="213"/>
      <c r="Z31" s="814">
        <f>SUM(Z13:Z29)</f>
        <v>500</v>
      </c>
      <c r="AA31" s="663">
        <f>Z31/'État des Résultats'!Z14</f>
        <v>1.0788650339842486E-2</v>
      </c>
      <c r="AB31" s="213"/>
      <c r="AC31" s="814">
        <f>SUM(AC13:AC29)</f>
        <v>500</v>
      </c>
      <c r="AD31" s="663">
        <f>AC31/'État des Résultats'!AC14</f>
        <v>1.1798713940180521E-2</v>
      </c>
      <c r="AE31" s="213"/>
      <c r="AF31" s="814">
        <f>SUM(AF13:AF29)</f>
        <v>500</v>
      </c>
      <c r="AG31" s="663">
        <f>AF31/'État des Résultats'!AF14</f>
        <v>1.1788050845792647E-2</v>
      </c>
      <c r="AH31" s="213"/>
      <c r="AI31" s="814">
        <f>SUM(AI13:AI29)</f>
        <v>500</v>
      </c>
      <c r="AJ31" s="663">
        <f>AI31/'État des Résultats'!AI14</f>
        <v>1.2682040117520237E-2</v>
      </c>
      <c r="AK31" s="213"/>
      <c r="AL31" s="814">
        <f>SUM(AL13:AL29)</f>
        <v>500</v>
      </c>
      <c r="AM31" s="663">
        <f>AL31/'État des Résultats'!AL14</f>
        <v>1.1411617026132604E-2</v>
      </c>
      <c r="AN31" s="213"/>
      <c r="AO31" s="213"/>
      <c r="AP31" s="814">
        <f>SUM(AP13:AP29)</f>
        <v>6000</v>
      </c>
      <c r="AQ31" s="663">
        <f>AP31/'État des Résultats'!AP14</f>
        <v>1.2040133779264214E-2</v>
      </c>
      <c r="AR31" s="213"/>
      <c r="AS31" s="213"/>
      <c r="AT31" s="213"/>
      <c r="AU31" s="251"/>
    </row>
    <row r="32" spans="2:47" ht="14" thickTop="1" x14ac:dyDescent="0.15">
      <c r="L32" s="315"/>
      <c r="O32" s="315"/>
      <c r="R32" s="315"/>
      <c r="U32" s="315"/>
      <c r="X32" s="315"/>
      <c r="AA32" s="315"/>
      <c r="AD32" s="315"/>
      <c r="AG32" s="315"/>
      <c r="AJ32" s="315"/>
      <c r="AM32" s="315"/>
      <c r="AQ32" s="315"/>
    </row>
    <row r="33" spans="3:69" x14ac:dyDescent="0.15">
      <c r="R33" s="315"/>
      <c r="U33" s="315"/>
      <c r="X33" s="315"/>
      <c r="AD33" s="315"/>
      <c r="AG33" s="315"/>
      <c r="AJ33" s="315"/>
      <c r="AM33" s="315"/>
    </row>
    <row r="34" spans="3:69" x14ac:dyDescent="0.15">
      <c r="U34" s="315"/>
      <c r="AG34" s="315"/>
      <c r="AJ34" s="315"/>
      <c r="AM34" s="315"/>
    </row>
    <row r="35" spans="3:69" x14ac:dyDescent="0.15">
      <c r="C35" s="161" t="s">
        <v>2</v>
      </c>
      <c r="E35" s="161" t="s">
        <v>2</v>
      </c>
      <c r="G35" s="161" t="s">
        <v>2</v>
      </c>
      <c r="H35" s="161" t="s">
        <v>2</v>
      </c>
      <c r="U35" s="315"/>
      <c r="AG35" s="315"/>
      <c r="AJ35" s="315"/>
      <c r="AM35" s="315"/>
    </row>
    <row r="36" spans="3:69" x14ac:dyDescent="0.15">
      <c r="H36" s="161" t="s">
        <v>2</v>
      </c>
      <c r="AG36" s="315"/>
      <c r="AJ36" s="315"/>
      <c r="AM36" s="315"/>
    </row>
    <row r="37" spans="3:69" x14ac:dyDescent="0.15">
      <c r="H37" s="161" t="s">
        <v>2</v>
      </c>
      <c r="AM37" s="315"/>
    </row>
    <row r="38" spans="3:69" x14ac:dyDescent="0.15">
      <c r="H38" s="161" t="s">
        <v>2</v>
      </c>
      <c r="BB38" s="170"/>
      <c r="BC38" s="170"/>
      <c r="BD38" s="170"/>
      <c r="BE38" s="170"/>
      <c r="BF38" s="170"/>
      <c r="BG38" s="170"/>
      <c r="BH38" s="170"/>
      <c r="BI38" s="170"/>
      <c r="BJ38" s="170"/>
      <c r="BK38" s="170"/>
      <c r="BL38" s="170"/>
      <c r="BM38" s="170"/>
      <c r="BN38" s="170"/>
      <c r="BO38" s="170"/>
      <c r="BP38" s="170"/>
      <c r="BQ38" s="170"/>
    </row>
    <row r="39" spans="3:69" x14ac:dyDescent="0.15">
      <c r="H39" s="161" t="s">
        <v>2</v>
      </c>
    </row>
    <row r="40" spans="3:69" x14ac:dyDescent="0.15">
      <c r="H40" s="161" t="s">
        <v>2</v>
      </c>
    </row>
    <row r="50" spans="8:8" x14ac:dyDescent="0.15">
      <c r="H50" s="664"/>
    </row>
  </sheetData>
  <sheetProtection algorithmName="SHA-512" hashValue="z41jWRtnUgvB2m0paKN9IjS7AlLX7qnyvD08qzQntdCAtgdJaf05EfUciD7//NySz/JypVO1bHCavN7HTUcTJQ==" saltValue="kx8jeUXrcRn2rsUAu+T+xA=="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3E33FB46-F15F-5C4C-B802-59F0EF5C2F99}"/>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4 H14 K14 N14 Q14 T14 W14 Z14 AC14 AF14 AI14 AL14" unlockedFormula="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16988-0F07-0049-BB2C-F5316A9FB195}">
  <sheetPr>
    <tabColor theme="1"/>
    <pageSetUpPr fitToPage="1"/>
  </sheetPr>
  <dimension ref="B1:BQ43"/>
  <sheetViews>
    <sheetView zoomScale="108" zoomScaleNormal="108" zoomScalePageLayoutView="125" workbookViewId="0"/>
  </sheetViews>
  <sheetFormatPr baseColWidth="10" defaultRowHeight="13" x14ac:dyDescent="0.15"/>
  <cols>
    <col min="1" max="1" width="2.1640625" style="161" customWidth="1"/>
    <col min="2" max="2" width="5.1640625" style="161" customWidth="1"/>
    <col min="3" max="3" width="75.6640625" style="161" bestFit="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5" style="161" bestFit="1" customWidth="1"/>
    <col min="47" max="47" width="2.6640625" style="161" bestFit="1" customWidth="1"/>
    <col min="48" max="48" width="26.83203125" style="161" bestFit="1" customWidth="1"/>
    <col min="49" max="49" width="2.6640625" style="161" bestFit="1" customWidth="1"/>
    <col min="50" max="50" width="2.1640625" style="161" bestFit="1" customWidth="1"/>
    <col min="51" max="51" width="10.83203125" style="161"/>
    <col min="52" max="52" width="2.6640625" style="161" bestFit="1" customWidth="1"/>
    <col min="53" max="53" width="10.83203125" style="161"/>
    <col min="54" max="54" width="2.1640625" style="161" bestFit="1" customWidth="1"/>
    <col min="55" max="55" width="8.5" style="161" bestFit="1" customWidth="1"/>
    <col min="56" max="16384" width="10.83203125" style="161"/>
  </cols>
  <sheetData>
    <row r="1" spans="2:56" ht="14" thickBot="1" x14ac:dyDescent="0.2"/>
    <row r="2" spans="2:56" ht="17" thickTop="1" x14ac:dyDescent="0.2">
      <c r="B2" s="1282" t="str">
        <f>'État des Résultats'!C2</f>
        <v>Chez Les Petites Gâteries &amp; Cie.</v>
      </c>
      <c r="C2" s="1283"/>
      <c r="AS2" s="1240" t="s">
        <v>42</v>
      </c>
      <c r="AT2" s="367"/>
      <c r="AU2" s="367"/>
      <c r="AV2" s="367"/>
      <c r="AW2" s="367"/>
      <c r="AX2" s="367"/>
      <c r="AY2" s="367"/>
      <c r="AZ2" s="367"/>
      <c r="BA2" s="367"/>
      <c r="BB2" s="367"/>
      <c r="BC2" s="1243" t="s">
        <v>43</v>
      </c>
    </row>
    <row r="3" spans="2:56" ht="16" x14ac:dyDescent="0.2">
      <c r="B3" s="1284" t="str">
        <f>'État des Résultats'!C3</f>
        <v xml:space="preserve">États des résultats </v>
      </c>
      <c r="C3" s="1285"/>
      <c r="AS3" s="1241"/>
      <c r="AT3" s="368"/>
      <c r="AU3" s="368"/>
      <c r="AV3" s="368"/>
      <c r="AW3" s="368"/>
      <c r="AX3" s="368"/>
      <c r="AY3" s="368"/>
      <c r="AZ3" s="368"/>
      <c r="BA3" s="368"/>
      <c r="BB3" s="368"/>
      <c r="BC3" s="1244"/>
    </row>
    <row r="4" spans="2:56" ht="22" thickBot="1" x14ac:dyDescent="0.3">
      <c r="B4" s="1286" t="str">
        <f>'État des Résultats'!C4</f>
        <v>Pour la période du 1er janvier 2021 au 31 décembre 2021</v>
      </c>
      <c r="C4" s="1287"/>
      <c r="AS4" s="1241"/>
      <c r="AT4" s="369" t="str">
        <f>'Formule pour le calcul D'!BA103</f>
        <v>Coût annuel</v>
      </c>
      <c r="AU4" s="369" t="s">
        <v>44</v>
      </c>
      <c r="AV4" s="369" t="str">
        <f>'Formule pour le calcul D'!BC103</f>
        <v>Achalandage annuelle</v>
      </c>
      <c r="AW4" s="369" t="s">
        <v>45</v>
      </c>
      <c r="AX4" s="369" t="s">
        <v>46</v>
      </c>
      <c r="AY4" s="369" t="str">
        <f>'Formule pour le calcul D'!BF103</f>
        <v>Um/A</v>
      </c>
      <c r="AZ4" s="369" t="s">
        <v>45</v>
      </c>
      <c r="BA4" s="369" t="str">
        <f>'Formule pour le calcul D'!BH103</f>
        <v>CmO</v>
      </c>
      <c r="BB4" s="369" t="s">
        <v>49</v>
      </c>
      <c r="BC4" s="1244"/>
    </row>
    <row r="5" spans="2:56" ht="21" thickTop="1" thickBot="1" x14ac:dyDescent="0.3">
      <c r="AS5" s="1241"/>
      <c r="AT5" s="370" t="s">
        <v>2</v>
      </c>
      <c r="AU5" s="371"/>
      <c r="AV5" s="370"/>
      <c r="AW5" s="371"/>
      <c r="AX5" s="371"/>
      <c r="AY5" s="371"/>
      <c r="AZ5" s="371"/>
      <c r="BA5" s="371"/>
      <c r="BB5" s="371"/>
      <c r="BC5" s="1244"/>
    </row>
    <row r="6" spans="2:56" ht="27" thickTop="1" x14ac:dyDescent="0.3">
      <c r="B6" s="1258" t="str">
        <f>'Coût marchandises vendues'!B6</f>
        <v>Nb de places</v>
      </c>
      <c r="C6" s="1300"/>
      <c r="E6" s="638" t="str">
        <f>'Coût marchandises vendues'!D6</f>
        <v>Coût / place / jour</v>
      </c>
      <c r="F6" s="639">
        <f>+E24/$B$7/'Calendrier 2021'!D8</f>
        <v>6.4516129032258063E-2</v>
      </c>
      <c r="G6" s="170"/>
      <c r="H6" s="638" t="str">
        <f>+E6</f>
        <v>Coût / place / jour</v>
      </c>
      <c r="I6" s="639">
        <f>+H24/$B$7/'Calendrier 2021'!E8</f>
        <v>7.1428571428571425E-2</v>
      </c>
      <c r="J6" s="170"/>
      <c r="K6" s="638" t="str">
        <f>+H6</f>
        <v>Coût / place / jour</v>
      </c>
      <c r="L6" s="639">
        <f>+K24/$B$7/'Calendrier 2021'!F8</f>
        <v>6.4516129032258063E-2</v>
      </c>
      <c r="M6" s="170"/>
      <c r="N6" s="638" t="str">
        <f>+K6</f>
        <v>Coût / place / jour</v>
      </c>
      <c r="O6" s="639">
        <f>+N24/$B$7/'Calendrier 2021'!G8</f>
        <v>6.6666666666666666E-2</v>
      </c>
      <c r="P6" s="423"/>
      <c r="Q6" s="638" t="str">
        <f>+N6</f>
        <v>Coût / place / jour</v>
      </c>
      <c r="R6" s="639">
        <f>+Q24/$B$7/'Calendrier 2021'!H8</f>
        <v>6.4516129032258063E-2</v>
      </c>
      <c r="S6" s="423"/>
      <c r="T6" s="638" t="str">
        <f>+Q6</f>
        <v>Coût / place / jour</v>
      </c>
      <c r="U6" s="639">
        <f>+T24/$B$7/'Calendrier 2021'!I8</f>
        <v>6.6666666666666666E-2</v>
      </c>
      <c r="V6" s="170"/>
      <c r="W6" s="638" t="str">
        <f>+T6</f>
        <v>Coût / place / jour</v>
      </c>
      <c r="X6" s="639">
        <f>+W24/$B$7/'Calendrier 2021'!J8</f>
        <v>6.4516129032258063E-2</v>
      </c>
      <c r="Y6" s="170"/>
      <c r="Z6" s="638" t="str">
        <f>+W6</f>
        <v>Coût / place / jour</v>
      </c>
      <c r="AA6" s="639">
        <f>+Z24/$B$7/'Calendrier 2021'!K8</f>
        <v>6.4516129032258063E-2</v>
      </c>
      <c r="AB6" s="170"/>
      <c r="AC6" s="638" t="str">
        <f>+Z6</f>
        <v>Coût / place / jour</v>
      </c>
      <c r="AD6" s="639">
        <f>+AC24/$B$7/'Calendrier 2021'!L8</f>
        <v>6.6666666666666666E-2</v>
      </c>
      <c r="AE6" s="170"/>
      <c r="AF6" s="638" t="str">
        <f>+AC6</f>
        <v>Coût / place / jour</v>
      </c>
      <c r="AG6" s="639">
        <f>+AF24/$B$7/'Calendrier 2021'!M8</f>
        <v>6.4516129032258063E-2</v>
      </c>
      <c r="AH6" s="170"/>
      <c r="AI6" s="638" t="str">
        <f>+AF6</f>
        <v>Coût / place / jour</v>
      </c>
      <c r="AJ6" s="639">
        <f>+AI24/$B$7/'Calendrier 2021'!N8</f>
        <v>6.6666666666666666E-2</v>
      </c>
      <c r="AK6" s="170"/>
      <c r="AL6" s="638" t="str">
        <f>+AI6</f>
        <v>Coût / place / jour</v>
      </c>
      <c r="AM6" s="639">
        <f>+AL24/$B$7/'Calendrier 2021'!O8</f>
        <v>6.4516129032258063E-2</v>
      </c>
      <c r="AN6" s="170"/>
      <c r="AO6" s="170"/>
      <c r="AP6" s="640" t="str">
        <f>+AL6</f>
        <v>Coût / place / jour</v>
      </c>
      <c r="AQ6" s="641">
        <f>+AP24/$B$7/'% Occupation'!P9</f>
        <v>6.575342465753424E-2</v>
      </c>
      <c r="AS6" s="1241"/>
      <c r="AT6" s="372" t="str">
        <f>'Formule pour le calcul D'!BA105</f>
        <v xml:space="preserve">C </v>
      </c>
      <c r="AU6" s="373"/>
      <c r="AV6" s="372" t="str">
        <f>'Formule pour le calcul D'!BC105</f>
        <v>A</v>
      </c>
      <c r="AW6" s="373"/>
      <c r="AX6" s="373"/>
      <c r="AY6" s="372" t="str">
        <f>AY4</f>
        <v>Um/A</v>
      </c>
      <c r="AZ6" s="373"/>
      <c r="BA6" s="372" t="str">
        <f>BA4</f>
        <v>CmO</v>
      </c>
      <c r="BB6" s="373"/>
      <c r="BC6" s="1244"/>
    </row>
    <row r="7" spans="2:56" ht="21" x14ac:dyDescent="0.25">
      <c r="B7" s="1290">
        <f>'Coût marchandises vendues'!B7</f>
        <v>1</v>
      </c>
      <c r="C7" s="1289"/>
      <c r="E7" s="425">
        <f>+E24/$AP24</f>
        <v>8.3333333333333329E-2</v>
      </c>
      <c r="F7" s="642"/>
      <c r="H7" s="425">
        <f>+H24/$AP24</f>
        <v>8.3333333333333329E-2</v>
      </c>
      <c r="I7" s="642"/>
      <c r="K7" s="425">
        <f>+K24/$AP24</f>
        <v>8.3333333333333329E-2</v>
      </c>
      <c r="L7" s="426"/>
      <c r="N7" s="425">
        <f>+N24/$AP24</f>
        <v>8.3333333333333329E-2</v>
      </c>
      <c r="O7" s="426"/>
      <c r="P7" s="643"/>
      <c r="Q7" s="425">
        <f>+Q24/$AP24</f>
        <v>8.3333333333333329E-2</v>
      </c>
      <c r="R7" s="426"/>
      <c r="S7" s="643"/>
      <c r="T7" s="425">
        <f>+T24/$AP24</f>
        <v>8.3333333333333329E-2</v>
      </c>
      <c r="U7" s="426"/>
      <c r="W7" s="425">
        <f>+W24/$AP24</f>
        <v>8.3333333333333329E-2</v>
      </c>
      <c r="X7" s="426"/>
      <c r="Z7" s="425">
        <f>+Z24/$AP24</f>
        <v>8.3333333333333329E-2</v>
      </c>
      <c r="AA7" s="426"/>
      <c r="AC7" s="425">
        <f>+AC24/$AP24</f>
        <v>8.3333333333333329E-2</v>
      </c>
      <c r="AD7" s="426"/>
      <c r="AF7" s="425">
        <f>+AF24/$AP24</f>
        <v>8.3333333333333329E-2</v>
      </c>
      <c r="AG7" s="426"/>
      <c r="AI7" s="425">
        <f>+AI24/$AP24</f>
        <v>8.3333333333333329E-2</v>
      </c>
      <c r="AJ7" s="426"/>
      <c r="AL7" s="425">
        <f>+AL24/$AP24</f>
        <v>8.3333333333333329E-2</v>
      </c>
      <c r="AM7" s="426"/>
      <c r="AP7" s="644">
        <f>+AP24/$AP24</f>
        <v>1</v>
      </c>
      <c r="AQ7" s="719" t="s">
        <v>136</v>
      </c>
      <c r="AS7" s="1241"/>
      <c r="AT7" s="631">
        <f>AP24</f>
        <v>24</v>
      </c>
      <c r="AU7" s="369" t="s">
        <v>44</v>
      </c>
      <c r="AV7" s="632">
        <f>'Formule pour le calcul D'!G106</f>
        <v>52000</v>
      </c>
      <c r="AW7" s="369" t="s">
        <v>45</v>
      </c>
      <c r="AX7" s="369" t="s">
        <v>46</v>
      </c>
      <c r="AY7" s="633">
        <f>'Formule pour le calcul D'!J106</f>
        <v>2</v>
      </c>
      <c r="AZ7" s="369" t="s">
        <v>45</v>
      </c>
      <c r="BA7" s="634">
        <f>AT7/AV7/AY7</f>
        <v>2.3076923076923076E-4</v>
      </c>
      <c r="BB7" s="369" t="s">
        <v>49</v>
      </c>
      <c r="BC7" s="1244"/>
    </row>
    <row r="8" spans="2:56" ht="17" thickBot="1" x14ac:dyDescent="0.25">
      <c r="B8" s="1262" t="s">
        <v>334</v>
      </c>
      <c r="C8" s="1289"/>
      <c r="E8" s="647" t="str">
        <f>'Calendrier 2021'!D5</f>
        <v>Pér.01</v>
      </c>
      <c r="F8" s="646" t="str">
        <f>'État des Résultats'!F8</f>
        <v>(%)</v>
      </c>
      <c r="G8" s="383"/>
      <c r="H8" s="647" t="str">
        <f>'Calendrier 2021'!E5</f>
        <v>Pér.02</v>
      </c>
      <c r="I8" s="646" t="str">
        <f>F8</f>
        <v>(%)</v>
      </c>
      <c r="J8" s="383"/>
      <c r="K8" s="647" t="str">
        <f>'Calendrier 2021'!F5</f>
        <v>Pér.03</v>
      </c>
      <c r="L8" s="646" t="str">
        <f>I8</f>
        <v>(%)</v>
      </c>
      <c r="M8" s="383"/>
      <c r="N8" s="647" t="str">
        <f>'Calendrier 2021'!G5</f>
        <v>Pér.04</v>
      </c>
      <c r="O8" s="646" t="str">
        <f>L8</f>
        <v>(%)</v>
      </c>
      <c r="P8" s="427"/>
      <c r="Q8" s="647" t="str">
        <f>'Calendrier 2021'!H5</f>
        <v>Pér.05</v>
      </c>
      <c r="R8" s="646" t="str">
        <f>O8</f>
        <v>(%)</v>
      </c>
      <c r="S8" s="427"/>
      <c r="T8" s="647" t="str">
        <f>'Calendrier 2021'!I5</f>
        <v>Pér.06</v>
      </c>
      <c r="U8" s="646" t="str">
        <f>R8</f>
        <v>(%)</v>
      </c>
      <c r="V8" s="383"/>
      <c r="W8" s="647" t="str">
        <f>'Calendrier 2021'!J5</f>
        <v>Pér.07</v>
      </c>
      <c r="X8" s="646" t="str">
        <f>U8</f>
        <v>(%)</v>
      </c>
      <c r="Y8" s="383"/>
      <c r="Z8" s="647" t="str">
        <f>'Calendrier 2021'!K5</f>
        <v>Pér.08</v>
      </c>
      <c r="AA8" s="646" t="str">
        <f>X8</f>
        <v>(%)</v>
      </c>
      <c r="AB8" s="383"/>
      <c r="AC8" s="647" t="str">
        <f>'Calendrier 2021'!L5</f>
        <v>Pér.09</v>
      </c>
      <c r="AD8" s="646" t="str">
        <f>AA8</f>
        <v>(%)</v>
      </c>
      <c r="AE8" s="383"/>
      <c r="AF8" s="647" t="str">
        <f>'Calendrier 2021'!M5</f>
        <v>Pér.10</v>
      </c>
      <c r="AG8" s="646" t="str">
        <f>AD8</f>
        <v>(%)</v>
      </c>
      <c r="AH8" s="383"/>
      <c r="AI8" s="647" t="str">
        <f>'Calendrier 2021'!N5</f>
        <v>Pér.11</v>
      </c>
      <c r="AJ8" s="646" t="str">
        <f>AG8</f>
        <v>(%)</v>
      </c>
      <c r="AK8" s="383"/>
      <c r="AL8" s="647" t="str">
        <f>'Calendrier 2021'!O5</f>
        <v>Pér.12</v>
      </c>
      <c r="AM8" s="646" t="str">
        <f>AJ8</f>
        <v>(%)</v>
      </c>
      <c r="AN8" s="648" t="s">
        <v>2</v>
      </c>
      <c r="AO8" s="383"/>
      <c r="AP8" s="649" t="str">
        <f>'État des Résultats'!AP8</f>
        <v>Total</v>
      </c>
      <c r="AQ8" s="646" t="str">
        <f>AM8</f>
        <v>(%)</v>
      </c>
      <c r="AS8" s="1242"/>
      <c r="AT8" s="374"/>
      <c r="AU8" s="374"/>
      <c r="AV8" s="374"/>
      <c r="AW8" s="374"/>
      <c r="AX8" s="374"/>
      <c r="AY8" s="374"/>
      <c r="AZ8" s="374"/>
      <c r="BA8" s="374"/>
      <c r="BB8" s="374"/>
      <c r="BC8" s="1245"/>
    </row>
    <row r="9" spans="2:56" ht="15" thickTop="1" thickBot="1" x14ac:dyDescent="0.2">
      <c r="B9" s="1298">
        <f>AP24/$B$7</f>
        <v>24</v>
      </c>
      <c r="C9" s="1299"/>
      <c r="E9" s="665" t="str">
        <f>'Calendrier 2021'!D6</f>
        <v>Janvier 2021</v>
      </c>
      <c r="F9" s="666"/>
      <c r="G9" s="293"/>
      <c r="H9" s="667" t="str">
        <f>'Calendrier 2021'!E6</f>
        <v>Février 2021</v>
      </c>
      <c r="I9" s="668"/>
      <c r="J9" s="293"/>
      <c r="K9" s="667" t="str">
        <f>'Calendrier 2021'!F6</f>
        <v>Mars 2021</v>
      </c>
      <c r="L9" s="668"/>
      <c r="M9" s="293"/>
      <c r="N9" s="665" t="str">
        <f>'Calendrier 2021'!G6</f>
        <v>Avril 2021</v>
      </c>
      <c r="O9" s="666"/>
      <c r="P9" s="669"/>
      <c r="Q9" s="665" t="str">
        <f>'Calendrier 2021'!H6</f>
        <v>Mai 2021</v>
      </c>
      <c r="R9" s="666"/>
      <c r="S9" s="669"/>
      <c r="T9" s="667" t="str">
        <f>'Calendrier 2021'!I6</f>
        <v>Juin 2021</v>
      </c>
      <c r="U9" s="668"/>
      <c r="V9" s="293"/>
      <c r="W9" s="667" t="str">
        <f>'Calendrier 2021'!J6</f>
        <v>Juillet 2021</v>
      </c>
      <c r="X9" s="668"/>
      <c r="Y9" s="293"/>
      <c r="Z9" s="667" t="str">
        <f>'Calendrier 2021'!K6</f>
        <v>Août 2021</v>
      </c>
      <c r="AA9" s="668"/>
      <c r="AB9" s="293"/>
      <c r="AC9" s="667" t="str">
        <f>'Calendrier 2021'!L6</f>
        <v>Septembre 2021</v>
      </c>
      <c r="AD9" s="668"/>
      <c r="AE9" s="293"/>
      <c r="AF9" s="667" t="str">
        <f>'Calendrier 2021'!M6</f>
        <v>Octobre 2021</v>
      </c>
      <c r="AG9" s="668"/>
      <c r="AH9" s="293"/>
      <c r="AI9" s="667" t="str">
        <f>'Calendrier 2021'!N6</f>
        <v>Novembre 2021</v>
      </c>
      <c r="AJ9" s="668"/>
      <c r="AK9" s="293"/>
      <c r="AL9" s="667" t="str">
        <f>'Calendrier 2021'!O6</f>
        <v>Décembre 2021</v>
      </c>
      <c r="AM9" s="668"/>
      <c r="AN9" s="293"/>
      <c r="AO9" s="293"/>
      <c r="AP9" s="670" t="str">
        <f>'État des Résultats'!AP9</f>
        <v>Année</v>
      </c>
      <c r="AQ9" s="671"/>
      <c r="AR9" s="672"/>
      <c r="AS9" s="672"/>
      <c r="AT9" s="329"/>
      <c r="AU9" s="329"/>
      <c r="AV9" s="329"/>
      <c r="AW9" s="329"/>
      <c r="AX9" s="650"/>
      <c r="AY9" s="650"/>
      <c r="AZ9" s="650"/>
    </row>
    <row r="10" spans="2:56" ht="15" thickTop="1" thickBot="1" x14ac:dyDescent="0.2">
      <c r="D10" s="251"/>
      <c r="G10" s="389"/>
      <c r="J10" s="389"/>
      <c r="M10" s="389"/>
      <c r="P10" s="434"/>
      <c r="S10" s="434"/>
      <c r="V10" s="389"/>
      <c r="Y10" s="187"/>
      <c r="AB10" s="389"/>
      <c r="AE10" s="389"/>
      <c r="AH10" s="389"/>
      <c r="AK10" s="389"/>
      <c r="AN10" s="389"/>
      <c r="AO10" s="389"/>
      <c r="AR10" s="170"/>
      <c r="AS10" s="170"/>
      <c r="AT10" s="170"/>
    </row>
    <row r="11" spans="2:56" ht="14" thickTop="1" x14ac:dyDescent="0.15">
      <c r="B11" s="651"/>
      <c r="C11" s="714" t="s">
        <v>369</v>
      </c>
      <c r="E11" s="651"/>
      <c r="F11" s="652"/>
      <c r="H11" s="651"/>
      <c r="I11" s="652"/>
      <c r="K11" s="651"/>
      <c r="L11" s="652"/>
      <c r="N11" s="651"/>
      <c r="O11" s="652"/>
      <c r="Q11" s="651"/>
      <c r="R11" s="652"/>
      <c r="T11" s="651"/>
      <c r="U11" s="652"/>
      <c r="W11" s="651"/>
      <c r="X11" s="652"/>
      <c r="Z11" s="651"/>
      <c r="AA11" s="652"/>
      <c r="AC11" s="651"/>
      <c r="AD11" s="652"/>
      <c r="AF11" s="651"/>
      <c r="AG11" s="652"/>
      <c r="AI11" s="651"/>
      <c r="AJ11" s="652"/>
      <c r="AL11" s="651"/>
      <c r="AM11" s="652"/>
      <c r="AP11" s="614"/>
      <c r="AQ11" s="616"/>
      <c r="AR11" s="187"/>
      <c r="AS11" s="187"/>
      <c r="AT11" s="187"/>
      <c r="AU11" s="187"/>
      <c r="AV11" s="187"/>
      <c r="AW11" s="187"/>
      <c r="AX11" s="187"/>
      <c r="AY11" s="187"/>
      <c r="AZ11" s="187"/>
      <c r="BA11" s="187"/>
      <c r="BB11" s="187"/>
      <c r="BC11" s="187"/>
      <c r="BD11" s="187"/>
    </row>
    <row r="12" spans="2:56" x14ac:dyDescent="0.15">
      <c r="B12" s="190"/>
      <c r="C12" s="653"/>
      <c r="E12" s="190"/>
      <c r="F12" s="392"/>
      <c r="H12" s="190"/>
      <c r="I12" s="392"/>
      <c r="K12" s="190"/>
      <c r="L12" s="392"/>
      <c r="N12" s="190"/>
      <c r="O12" s="392"/>
      <c r="Q12" s="190"/>
      <c r="R12" s="392"/>
      <c r="T12" s="190"/>
      <c r="U12" s="392"/>
      <c r="W12" s="190"/>
      <c r="X12" s="392"/>
      <c r="Z12" s="190"/>
      <c r="AA12" s="392"/>
      <c r="AC12" s="190"/>
      <c r="AD12" s="392"/>
      <c r="AF12" s="190"/>
      <c r="AG12" s="392"/>
      <c r="AI12" s="190"/>
      <c r="AJ12" s="392"/>
      <c r="AL12" s="190"/>
      <c r="AM12" s="191"/>
      <c r="AP12" s="193"/>
      <c r="AQ12" s="495"/>
      <c r="AR12" s="187"/>
      <c r="AS12" s="187"/>
      <c r="AT12" s="187"/>
      <c r="AU12" s="187"/>
      <c r="AV12" s="187"/>
      <c r="AW12" s="187"/>
      <c r="AX12" s="187"/>
      <c r="AY12" s="187"/>
      <c r="AZ12" s="187"/>
      <c r="BA12" s="187"/>
      <c r="BB12" s="187"/>
      <c r="BC12" s="187"/>
      <c r="BD12" s="187"/>
    </row>
    <row r="13" spans="2:56" x14ac:dyDescent="0.15">
      <c r="B13" s="705">
        <v>8110</v>
      </c>
      <c r="C13" s="706" t="s">
        <v>582</v>
      </c>
      <c r="E13" s="812">
        <v>1</v>
      </c>
      <c r="F13" s="655">
        <f>E13/'État des Résultats'!E$14</f>
        <v>2.7402265253927655E-5</v>
      </c>
      <c r="H13" s="812">
        <f>+E13</f>
        <v>1</v>
      </c>
      <c r="I13" s="655">
        <f>H13/'État des Résultats'!H$14</f>
        <v>2.8270882169319025E-5</v>
      </c>
      <c r="K13" s="812">
        <f>+H13</f>
        <v>1</v>
      </c>
      <c r="L13" s="655">
        <f>K13/'État des Résultats'!K$14</f>
        <v>2.537024704278058E-5</v>
      </c>
      <c r="N13" s="812">
        <f>+K13</f>
        <v>1</v>
      </c>
      <c r="O13" s="655">
        <f>N13/'État des Résultats'!N$14</f>
        <v>2.5077583774803299E-5</v>
      </c>
      <c r="Q13" s="812">
        <f>+N13</f>
        <v>1</v>
      </c>
      <c r="R13" s="655">
        <f>Q13/'État des Résultats'!Q$14</f>
        <v>2.3291925465838507E-5</v>
      </c>
      <c r="T13" s="812">
        <f>+Q13</f>
        <v>1</v>
      </c>
      <c r="U13" s="655">
        <f>T13/'État des Résultats'!T$14</f>
        <v>2.2664601669625653E-5</v>
      </c>
      <c r="W13" s="812">
        <f>+T13</f>
        <v>1</v>
      </c>
      <c r="X13" s="655">
        <f>W13/'État des Résultats'!W$14</f>
        <v>2.1862104774137129E-5</v>
      </c>
      <c r="Z13" s="812">
        <f>+W13</f>
        <v>1</v>
      </c>
      <c r="AA13" s="655">
        <f>Z13/'État des Résultats'!Z$14</f>
        <v>2.1577300679684971E-5</v>
      </c>
      <c r="AC13" s="812">
        <f>+Z13</f>
        <v>1</v>
      </c>
      <c r="AD13" s="655">
        <f>AC13/'État des Résultats'!AC$14</f>
        <v>2.359742788036104E-5</v>
      </c>
      <c r="AF13" s="812">
        <f>+AC13</f>
        <v>1</v>
      </c>
      <c r="AG13" s="655">
        <f>AF13/'État des Résultats'!AF$14</f>
        <v>2.3576101691585294E-5</v>
      </c>
      <c r="AI13" s="812">
        <f>+AF13</f>
        <v>1</v>
      </c>
      <c r="AJ13" s="655">
        <f>AI13/'État des Résultats'!AI$14</f>
        <v>2.5364080235040474E-5</v>
      </c>
      <c r="AL13" s="812">
        <f>+AI13</f>
        <v>1</v>
      </c>
      <c r="AM13" s="655">
        <f>AL13/'État des Résultats'!AL$14</f>
        <v>2.2823234052265207E-5</v>
      </c>
      <c r="AP13" s="815">
        <f>SUM(+$AL13+$AI13+$AF13+$AC13+$Z13+$W13+$T13+$Q13+$N13+$K13+$H13+$E13)</f>
        <v>12</v>
      </c>
      <c r="AQ13" s="657">
        <f>AP13/'État des Résultats'!AP$14</f>
        <v>2.408026755852843E-5</v>
      </c>
    </row>
    <row r="14" spans="2:56" x14ac:dyDescent="0.15">
      <c r="B14" s="705">
        <v>8120</v>
      </c>
      <c r="C14" s="706" t="s">
        <v>579</v>
      </c>
      <c r="E14" s="812">
        <v>1</v>
      </c>
      <c r="F14" s="655">
        <f>E14/'État des Résultats'!E$14</f>
        <v>2.7402265253927655E-5</v>
      </c>
      <c r="H14" s="812">
        <v>1</v>
      </c>
      <c r="I14" s="655">
        <f>H14/'État des Résultats'!H$14</f>
        <v>2.8270882169319025E-5</v>
      </c>
      <c r="K14" s="812">
        <v>1</v>
      </c>
      <c r="L14" s="655">
        <f>K14/'État des Résultats'!K$14</f>
        <v>2.537024704278058E-5</v>
      </c>
      <c r="N14" s="812">
        <v>1</v>
      </c>
      <c r="O14" s="655">
        <f>N14/'État des Résultats'!N$14</f>
        <v>2.5077583774803299E-5</v>
      </c>
      <c r="Q14" s="812">
        <v>1</v>
      </c>
      <c r="R14" s="655">
        <f>Q14/'État des Résultats'!Q$14</f>
        <v>2.3291925465838507E-5</v>
      </c>
      <c r="T14" s="812">
        <v>1</v>
      </c>
      <c r="U14" s="655">
        <f>T14/'État des Résultats'!T$14</f>
        <v>2.2664601669625653E-5</v>
      </c>
      <c r="W14" s="812">
        <v>1</v>
      </c>
      <c r="X14" s="655">
        <f>W14/'État des Résultats'!W$14</f>
        <v>2.1862104774137129E-5</v>
      </c>
      <c r="Z14" s="812">
        <v>1</v>
      </c>
      <c r="AA14" s="655">
        <f>Z14/'État des Résultats'!Z$14</f>
        <v>2.1577300679684971E-5</v>
      </c>
      <c r="AC14" s="812">
        <v>1</v>
      </c>
      <c r="AD14" s="655">
        <f>AC14/'État des Résultats'!AC$14</f>
        <v>2.359742788036104E-5</v>
      </c>
      <c r="AF14" s="812">
        <v>1</v>
      </c>
      <c r="AG14" s="655">
        <f>AF14/'État des Résultats'!AF$14</f>
        <v>2.3576101691585294E-5</v>
      </c>
      <c r="AI14" s="812">
        <v>1</v>
      </c>
      <c r="AJ14" s="655">
        <f>AI14/'État des Résultats'!AI$14</f>
        <v>2.5364080235040474E-5</v>
      </c>
      <c r="AL14" s="812">
        <v>1</v>
      </c>
      <c r="AM14" s="655">
        <f>AL14/'État des Résultats'!AL$14</f>
        <v>2.2823234052265207E-5</v>
      </c>
      <c r="AP14" s="815">
        <f>SUM(+$AL14+$AI14+$AF14+$AC14+$Z14+$W14+$T14+$Q14+$N14+$K14+$H14+$E14)</f>
        <v>12</v>
      </c>
      <c r="AQ14" s="657">
        <f>AP14/'État des Résultats'!AP$14</f>
        <v>2.408026755852843E-5</v>
      </c>
    </row>
    <row r="15" spans="2:56" x14ac:dyDescent="0.15">
      <c r="B15" s="707">
        <v>8130</v>
      </c>
      <c r="C15" s="706" t="s">
        <v>571</v>
      </c>
      <c r="E15" s="812">
        <v>0</v>
      </c>
      <c r="F15" s="655">
        <f>E15/'État des Résultats'!E$14</f>
        <v>0</v>
      </c>
      <c r="H15" s="812">
        <v>0</v>
      </c>
      <c r="I15" s="655">
        <f>H15/'État des Résultats'!H$14</f>
        <v>0</v>
      </c>
      <c r="K15" s="812">
        <v>0</v>
      </c>
      <c r="L15" s="655">
        <f>K15/'État des Résultats'!K$14</f>
        <v>0</v>
      </c>
      <c r="N15" s="812">
        <v>0</v>
      </c>
      <c r="O15" s="655">
        <f>N15/'État des Résultats'!N$14</f>
        <v>0</v>
      </c>
      <c r="Q15" s="812">
        <v>0</v>
      </c>
      <c r="R15" s="655">
        <f>Q15/'État des Résultats'!Q$14</f>
        <v>0</v>
      </c>
      <c r="T15" s="812">
        <v>0</v>
      </c>
      <c r="U15" s="655">
        <f>T15/'État des Résultats'!T$14</f>
        <v>0</v>
      </c>
      <c r="W15" s="812">
        <v>0</v>
      </c>
      <c r="X15" s="655">
        <f>W15/'État des Résultats'!W$14</f>
        <v>0</v>
      </c>
      <c r="Z15" s="812">
        <v>0</v>
      </c>
      <c r="AA15" s="655">
        <f>Z15/'État des Résultats'!Z$14</f>
        <v>0</v>
      </c>
      <c r="AC15" s="812">
        <v>0</v>
      </c>
      <c r="AD15" s="655">
        <f>AC15/'État des Résultats'!AC$14</f>
        <v>0</v>
      </c>
      <c r="AF15" s="812">
        <v>0</v>
      </c>
      <c r="AG15" s="655">
        <f>AF15/'État des Résultats'!AF$14</f>
        <v>0</v>
      </c>
      <c r="AI15" s="812">
        <v>0</v>
      </c>
      <c r="AJ15" s="655">
        <f>AI15/'État des Résultats'!AI$14</f>
        <v>0</v>
      </c>
      <c r="AL15" s="812">
        <v>0</v>
      </c>
      <c r="AM15" s="655">
        <f>AL15/'État des Résultats'!AL$14</f>
        <v>0</v>
      </c>
      <c r="AP15" s="815">
        <f>SUM(+$AL15+$AI15+$AF15+$AC15+$Z15+$W15+$T15+$Q15+$N15+$K15+$H15+$E15)</f>
        <v>0</v>
      </c>
      <c r="AQ15" s="657">
        <f>AP15/'État des Résultats'!AP$14</f>
        <v>0</v>
      </c>
    </row>
    <row r="16" spans="2:56" x14ac:dyDescent="0.15">
      <c r="B16" s="707">
        <v>8140</v>
      </c>
      <c r="C16" s="706" t="s">
        <v>572</v>
      </c>
      <c r="E16" s="812">
        <v>0</v>
      </c>
      <c r="F16" s="655">
        <f>E16/'État des Résultats'!E$14</f>
        <v>0</v>
      </c>
      <c r="G16" s="659" t="s">
        <v>2</v>
      </c>
      <c r="H16" s="812">
        <v>0</v>
      </c>
      <c r="I16" s="655">
        <f>H16/'État des Résultats'!H$14</f>
        <v>0</v>
      </c>
      <c r="K16" s="812">
        <v>0</v>
      </c>
      <c r="L16" s="655">
        <f>K16/'État des Résultats'!K$14</f>
        <v>0</v>
      </c>
      <c r="N16" s="812">
        <v>0</v>
      </c>
      <c r="O16" s="655">
        <f>N16/'État des Résultats'!N$14</f>
        <v>0</v>
      </c>
      <c r="Q16" s="812">
        <v>0</v>
      </c>
      <c r="R16" s="655">
        <f>Q16/'État des Résultats'!Q$14</f>
        <v>0</v>
      </c>
      <c r="T16" s="812">
        <v>0</v>
      </c>
      <c r="U16" s="655">
        <f>T16/'État des Résultats'!T$14</f>
        <v>0</v>
      </c>
      <c r="W16" s="812">
        <v>0</v>
      </c>
      <c r="X16" s="655">
        <f>W16/'État des Résultats'!W$14</f>
        <v>0</v>
      </c>
      <c r="Z16" s="812">
        <v>0</v>
      </c>
      <c r="AA16" s="655">
        <f>Z16/'État des Résultats'!Z$14</f>
        <v>0</v>
      </c>
      <c r="AC16" s="812">
        <v>0</v>
      </c>
      <c r="AD16" s="655">
        <f>AC16/'État des Résultats'!AC$14</f>
        <v>0</v>
      </c>
      <c r="AF16" s="812">
        <v>0</v>
      </c>
      <c r="AG16" s="655">
        <f>AF16/'État des Résultats'!AF$14</f>
        <v>0</v>
      </c>
      <c r="AI16" s="812">
        <v>0</v>
      </c>
      <c r="AJ16" s="655">
        <f>AI16/'État des Résultats'!AI$14</f>
        <v>0</v>
      </c>
      <c r="AL16" s="812">
        <v>0</v>
      </c>
      <c r="AM16" s="655">
        <f>AL16/'État des Résultats'!AL$14</f>
        <v>0</v>
      </c>
      <c r="AP16" s="815">
        <f t="shared" ref="AP16:AP22" si="0">SUM(+$AL16+$AI16+$AF16+$AC16+$Z16+$W16+$T16+$Q16+$N16+$K16+$H16+$E16)</f>
        <v>0</v>
      </c>
      <c r="AQ16" s="657">
        <f>AP16/'État des Résultats'!AP$14</f>
        <v>0</v>
      </c>
    </row>
    <row r="17" spans="2:69" x14ac:dyDescent="0.15">
      <c r="B17" s="707">
        <v>8150</v>
      </c>
      <c r="C17" s="706" t="s">
        <v>573</v>
      </c>
      <c r="E17" s="812">
        <v>0</v>
      </c>
      <c r="F17" s="655">
        <f>E17/'État des Résultats'!E$14</f>
        <v>0</v>
      </c>
      <c r="H17" s="812">
        <v>0</v>
      </c>
      <c r="I17" s="655">
        <f>H17/'État des Résultats'!H$14</f>
        <v>0</v>
      </c>
      <c r="K17" s="812">
        <v>0</v>
      </c>
      <c r="L17" s="655">
        <f>K17/'État des Résultats'!K$14</f>
        <v>0</v>
      </c>
      <c r="N17" s="812">
        <v>0</v>
      </c>
      <c r="O17" s="655">
        <f>N17/'État des Résultats'!N$14</f>
        <v>0</v>
      </c>
      <c r="Q17" s="812">
        <v>0</v>
      </c>
      <c r="R17" s="655">
        <f>Q17/'État des Résultats'!Q$14</f>
        <v>0</v>
      </c>
      <c r="T17" s="812">
        <v>0</v>
      </c>
      <c r="U17" s="655">
        <f>T17/'État des Résultats'!T$14</f>
        <v>0</v>
      </c>
      <c r="W17" s="812">
        <v>0</v>
      </c>
      <c r="X17" s="655">
        <f>W17/'État des Résultats'!W$14</f>
        <v>0</v>
      </c>
      <c r="Z17" s="812">
        <v>0</v>
      </c>
      <c r="AA17" s="655">
        <f>Z17/'État des Résultats'!Z$14</f>
        <v>0</v>
      </c>
      <c r="AC17" s="812">
        <v>0</v>
      </c>
      <c r="AD17" s="655">
        <f>AC17/'État des Résultats'!AC$14</f>
        <v>0</v>
      </c>
      <c r="AF17" s="812">
        <v>0</v>
      </c>
      <c r="AG17" s="655">
        <f>AF17/'État des Résultats'!AF$14</f>
        <v>0</v>
      </c>
      <c r="AI17" s="812">
        <v>0</v>
      </c>
      <c r="AJ17" s="655">
        <f>AI17/'État des Résultats'!AI$14</f>
        <v>0</v>
      </c>
      <c r="AL17" s="812">
        <v>0</v>
      </c>
      <c r="AM17" s="655">
        <f>AL17/'État des Résultats'!AL$14</f>
        <v>0</v>
      </c>
      <c r="AP17" s="815">
        <f t="shared" si="0"/>
        <v>0</v>
      </c>
      <c r="AQ17" s="657">
        <f>AP17/'État des Résultats'!AP$14</f>
        <v>0</v>
      </c>
    </row>
    <row r="18" spans="2:69" x14ac:dyDescent="0.15">
      <c r="B18" s="707">
        <v>8160</v>
      </c>
      <c r="C18" s="706" t="s">
        <v>574</v>
      </c>
      <c r="E18" s="812">
        <v>0</v>
      </c>
      <c r="F18" s="655">
        <f>E18/'État des Résultats'!E$14</f>
        <v>0</v>
      </c>
      <c r="H18" s="812">
        <v>0</v>
      </c>
      <c r="I18" s="655">
        <f>H18/'État des Résultats'!H$14</f>
        <v>0</v>
      </c>
      <c r="K18" s="812">
        <v>0</v>
      </c>
      <c r="L18" s="655">
        <f>K18/'État des Résultats'!K$14</f>
        <v>0</v>
      </c>
      <c r="N18" s="812">
        <v>0</v>
      </c>
      <c r="O18" s="655">
        <f>N18/'État des Résultats'!N$14</f>
        <v>0</v>
      </c>
      <c r="Q18" s="812">
        <v>0</v>
      </c>
      <c r="R18" s="655">
        <f>Q18/'État des Résultats'!Q$14</f>
        <v>0</v>
      </c>
      <c r="T18" s="812">
        <v>0</v>
      </c>
      <c r="U18" s="655">
        <f>T18/'État des Résultats'!T$14</f>
        <v>0</v>
      </c>
      <c r="W18" s="812">
        <v>0</v>
      </c>
      <c r="X18" s="655">
        <f>W18/'État des Résultats'!W$14</f>
        <v>0</v>
      </c>
      <c r="Z18" s="812">
        <v>0</v>
      </c>
      <c r="AA18" s="655">
        <f>Z18/'État des Résultats'!Z$14</f>
        <v>0</v>
      </c>
      <c r="AC18" s="812">
        <v>0</v>
      </c>
      <c r="AD18" s="655">
        <f>AC18/'État des Résultats'!AC$14</f>
        <v>0</v>
      </c>
      <c r="AF18" s="812">
        <v>0</v>
      </c>
      <c r="AG18" s="655">
        <f>AF18/'État des Résultats'!AF$14</f>
        <v>0</v>
      </c>
      <c r="AI18" s="812">
        <v>0</v>
      </c>
      <c r="AJ18" s="655">
        <f>AI18/'État des Résultats'!AI$14</f>
        <v>0</v>
      </c>
      <c r="AL18" s="812">
        <v>0</v>
      </c>
      <c r="AM18" s="655">
        <f>AL18/'État des Résultats'!AL$14</f>
        <v>0</v>
      </c>
      <c r="AP18" s="815">
        <f t="shared" si="0"/>
        <v>0</v>
      </c>
      <c r="AQ18" s="657">
        <f>AP18/'État des Résultats'!AP$14</f>
        <v>0</v>
      </c>
    </row>
    <row r="19" spans="2:69" x14ac:dyDescent="0.15">
      <c r="B19" s="707">
        <v>8170</v>
      </c>
      <c r="C19" s="706" t="s">
        <v>575</v>
      </c>
      <c r="E19" s="812">
        <v>0</v>
      </c>
      <c r="F19" s="655">
        <f>E19/'État des Résultats'!E$14</f>
        <v>0</v>
      </c>
      <c r="H19" s="812">
        <v>0</v>
      </c>
      <c r="I19" s="655">
        <f>H19/'État des Résultats'!H$14</f>
        <v>0</v>
      </c>
      <c r="K19" s="812">
        <v>0</v>
      </c>
      <c r="L19" s="655">
        <f>K19/'État des Résultats'!K$14</f>
        <v>0</v>
      </c>
      <c r="N19" s="812">
        <v>0</v>
      </c>
      <c r="O19" s="655">
        <f>N19/'État des Résultats'!N$14</f>
        <v>0</v>
      </c>
      <c r="Q19" s="812">
        <v>0</v>
      </c>
      <c r="R19" s="655">
        <f>Q19/'État des Résultats'!Q$14</f>
        <v>0</v>
      </c>
      <c r="T19" s="812">
        <v>0</v>
      </c>
      <c r="U19" s="655">
        <f>T19/'État des Résultats'!T$14</f>
        <v>0</v>
      </c>
      <c r="W19" s="812">
        <v>0</v>
      </c>
      <c r="X19" s="655">
        <f>W19/'État des Résultats'!W$14</f>
        <v>0</v>
      </c>
      <c r="Z19" s="812">
        <v>0</v>
      </c>
      <c r="AA19" s="655">
        <f>Z19/'État des Résultats'!Z$14</f>
        <v>0</v>
      </c>
      <c r="AC19" s="812">
        <v>0</v>
      </c>
      <c r="AD19" s="655">
        <f>AC19/'État des Résultats'!AC$14</f>
        <v>0</v>
      </c>
      <c r="AF19" s="812">
        <v>0</v>
      </c>
      <c r="AG19" s="655">
        <f>AF19/'État des Résultats'!AF$14</f>
        <v>0</v>
      </c>
      <c r="AI19" s="812">
        <v>0</v>
      </c>
      <c r="AJ19" s="655">
        <f>AI19/'État des Résultats'!AI$14</f>
        <v>0</v>
      </c>
      <c r="AL19" s="812">
        <v>0</v>
      </c>
      <c r="AM19" s="655">
        <f>AL19/'État des Résultats'!AL$14</f>
        <v>0</v>
      </c>
      <c r="AP19" s="815">
        <f t="shared" si="0"/>
        <v>0</v>
      </c>
      <c r="AQ19" s="657">
        <f>AP19/'État des Résultats'!AP$14</f>
        <v>0</v>
      </c>
      <c r="AS19" s="209"/>
    </row>
    <row r="20" spans="2:69" x14ac:dyDescent="0.15">
      <c r="B20" s="707">
        <v>8180</v>
      </c>
      <c r="C20" s="706" t="s">
        <v>576</v>
      </c>
      <c r="E20" s="812">
        <v>0</v>
      </c>
      <c r="F20" s="655">
        <f>E20/'État des Résultats'!E$14</f>
        <v>0</v>
      </c>
      <c r="H20" s="812">
        <v>0</v>
      </c>
      <c r="I20" s="655">
        <f>H20/'État des Résultats'!H$14</f>
        <v>0</v>
      </c>
      <c r="K20" s="812">
        <v>0</v>
      </c>
      <c r="L20" s="655">
        <f>K20/'État des Résultats'!K$14</f>
        <v>0</v>
      </c>
      <c r="N20" s="812">
        <v>0</v>
      </c>
      <c r="O20" s="655">
        <f>N20/'État des Résultats'!N$14</f>
        <v>0</v>
      </c>
      <c r="Q20" s="812">
        <v>0</v>
      </c>
      <c r="R20" s="655">
        <f>Q20/'État des Résultats'!Q$14</f>
        <v>0</v>
      </c>
      <c r="T20" s="812">
        <v>0</v>
      </c>
      <c r="U20" s="655">
        <f>T20/'État des Résultats'!T$14</f>
        <v>0</v>
      </c>
      <c r="W20" s="812">
        <v>0</v>
      </c>
      <c r="X20" s="655">
        <f>W20/'État des Résultats'!W$14</f>
        <v>0</v>
      </c>
      <c r="Z20" s="812">
        <v>0</v>
      </c>
      <c r="AA20" s="655">
        <f>Z20/'État des Résultats'!Z$14</f>
        <v>0</v>
      </c>
      <c r="AC20" s="812">
        <v>0</v>
      </c>
      <c r="AD20" s="655">
        <f>AC20/'État des Résultats'!AC$14</f>
        <v>0</v>
      </c>
      <c r="AF20" s="812">
        <v>0</v>
      </c>
      <c r="AG20" s="655">
        <f>AF20/'État des Résultats'!AF$14</f>
        <v>0</v>
      </c>
      <c r="AI20" s="812">
        <v>0</v>
      </c>
      <c r="AJ20" s="655">
        <f>AI20/'État des Résultats'!AI$14</f>
        <v>0</v>
      </c>
      <c r="AL20" s="812">
        <v>0</v>
      </c>
      <c r="AM20" s="655">
        <f>AL20/'État des Résultats'!AL$14</f>
        <v>0</v>
      </c>
      <c r="AP20" s="815">
        <f t="shared" si="0"/>
        <v>0</v>
      </c>
      <c r="AQ20" s="657">
        <f>AP20/'État des Résultats'!AP$14</f>
        <v>0</v>
      </c>
    </row>
    <row r="21" spans="2:69" x14ac:dyDescent="0.15">
      <c r="B21" s="707">
        <v>8190</v>
      </c>
      <c r="C21" s="706" t="s">
        <v>577</v>
      </c>
      <c r="E21" s="812">
        <v>0</v>
      </c>
      <c r="F21" s="655">
        <f>E21/'État des Résultats'!E$14</f>
        <v>0</v>
      </c>
      <c r="H21" s="812">
        <v>0</v>
      </c>
      <c r="I21" s="655">
        <f>H21/'État des Résultats'!H$14</f>
        <v>0</v>
      </c>
      <c r="K21" s="812">
        <v>0</v>
      </c>
      <c r="L21" s="655">
        <f>K21/'État des Résultats'!K$14</f>
        <v>0</v>
      </c>
      <c r="N21" s="812">
        <v>0</v>
      </c>
      <c r="O21" s="655">
        <f>N21/'État des Résultats'!N$14</f>
        <v>0</v>
      </c>
      <c r="Q21" s="812">
        <v>0</v>
      </c>
      <c r="R21" s="655">
        <f>Q21/'État des Résultats'!Q$14</f>
        <v>0</v>
      </c>
      <c r="T21" s="812">
        <v>0</v>
      </c>
      <c r="U21" s="655">
        <f>T21/'État des Résultats'!T$14</f>
        <v>0</v>
      </c>
      <c r="W21" s="812">
        <v>0</v>
      </c>
      <c r="X21" s="655">
        <f>W21/'État des Résultats'!W$14</f>
        <v>0</v>
      </c>
      <c r="Z21" s="812">
        <v>0</v>
      </c>
      <c r="AA21" s="655">
        <f>Z21/'État des Résultats'!Z$14</f>
        <v>0</v>
      </c>
      <c r="AC21" s="812">
        <v>0</v>
      </c>
      <c r="AD21" s="655">
        <f>AC21/'État des Résultats'!AC$14</f>
        <v>0</v>
      </c>
      <c r="AF21" s="812">
        <v>0</v>
      </c>
      <c r="AG21" s="655">
        <f>AF21/'État des Résultats'!AF$14</f>
        <v>0</v>
      </c>
      <c r="AI21" s="812">
        <v>0</v>
      </c>
      <c r="AJ21" s="655">
        <f>AI21/'État des Résultats'!AI$14</f>
        <v>0</v>
      </c>
      <c r="AL21" s="812">
        <v>0</v>
      </c>
      <c r="AM21" s="655">
        <f>AL21/'État des Résultats'!AL$14</f>
        <v>0</v>
      </c>
      <c r="AP21" s="815">
        <f t="shared" si="0"/>
        <v>0</v>
      </c>
      <c r="AQ21" s="657">
        <f>AP21/'État des Résultats'!AP$14</f>
        <v>0</v>
      </c>
    </row>
    <row r="22" spans="2:69" x14ac:dyDescent="0.15">
      <c r="B22" s="707">
        <v>8199</v>
      </c>
      <c r="C22" s="706" t="s">
        <v>578</v>
      </c>
      <c r="E22" s="812">
        <v>0</v>
      </c>
      <c r="F22" s="655">
        <f>E22/'État des Résultats'!E$14</f>
        <v>0</v>
      </c>
      <c r="H22" s="812">
        <v>0</v>
      </c>
      <c r="I22" s="655">
        <f>H22/'État des Résultats'!H$14</f>
        <v>0</v>
      </c>
      <c r="K22" s="812">
        <v>0</v>
      </c>
      <c r="L22" s="655">
        <f>K22/'État des Résultats'!K$14</f>
        <v>0</v>
      </c>
      <c r="N22" s="812">
        <v>0</v>
      </c>
      <c r="O22" s="655">
        <f>N22/'État des Résultats'!N$14</f>
        <v>0</v>
      </c>
      <c r="Q22" s="812">
        <v>0</v>
      </c>
      <c r="R22" s="655">
        <f>Q22/'État des Résultats'!Q$14</f>
        <v>0</v>
      </c>
      <c r="T22" s="812">
        <v>0</v>
      </c>
      <c r="U22" s="655">
        <f>T22/'État des Résultats'!T$14</f>
        <v>0</v>
      </c>
      <c r="W22" s="812">
        <v>0</v>
      </c>
      <c r="X22" s="655">
        <f>W22/'État des Résultats'!W$14</f>
        <v>0</v>
      </c>
      <c r="Z22" s="812">
        <v>0</v>
      </c>
      <c r="AA22" s="655">
        <f>Z22/'État des Résultats'!Z$14</f>
        <v>0</v>
      </c>
      <c r="AC22" s="812">
        <v>0</v>
      </c>
      <c r="AD22" s="655">
        <f>AC22/'État des Résultats'!AC$14</f>
        <v>0</v>
      </c>
      <c r="AF22" s="812">
        <v>0</v>
      </c>
      <c r="AG22" s="655">
        <f>AF22/'État des Résultats'!AF$14</f>
        <v>0</v>
      </c>
      <c r="AI22" s="812">
        <v>0</v>
      </c>
      <c r="AJ22" s="655">
        <f>AI22/'État des Résultats'!AI$14</f>
        <v>0</v>
      </c>
      <c r="AL22" s="812">
        <v>0</v>
      </c>
      <c r="AM22" s="655">
        <f>AL22/'État des Résultats'!AL$14</f>
        <v>0</v>
      </c>
      <c r="AP22" s="815">
        <f t="shared" si="0"/>
        <v>0</v>
      </c>
      <c r="AQ22" s="657">
        <f>AP22/'État des Résultats'!AP$14</f>
        <v>0</v>
      </c>
    </row>
    <row r="23" spans="2:69" ht="14" thickBot="1" x14ac:dyDescent="0.2">
      <c r="B23" s="709" t="s">
        <v>2</v>
      </c>
      <c r="C23" s="710"/>
      <c r="E23" s="813" t="s">
        <v>2</v>
      </c>
      <c r="F23" s="660" t="s">
        <v>2</v>
      </c>
      <c r="H23" s="813" t="s">
        <v>2</v>
      </c>
      <c r="I23" s="660" t="s">
        <v>2</v>
      </c>
      <c r="K23" s="813" t="s">
        <v>2</v>
      </c>
      <c r="L23" s="660" t="s">
        <v>2</v>
      </c>
      <c r="N23" s="813" t="s">
        <v>2</v>
      </c>
      <c r="O23" s="660" t="s">
        <v>2</v>
      </c>
      <c r="Q23" s="813" t="s">
        <v>2</v>
      </c>
      <c r="R23" s="660" t="s">
        <v>2</v>
      </c>
      <c r="S23" s="711"/>
      <c r="T23" s="813" t="s">
        <v>2</v>
      </c>
      <c r="U23" s="660" t="s">
        <v>2</v>
      </c>
      <c r="W23" s="813" t="s">
        <v>2</v>
      </c>
      <c r="X23" s="660" t="s">
        <v>2</v>
      </c>
      <c r="Z23" s="813" t="s">
        <v>2</v>
      </c>
      <c r="AA23" s="660" t="s">
        <v>2</v>
      </c>
      <c r="AC23" s="813" t="s">
        <v>2</v>
      </c>
      <c r="AD23" s="660" t="s">
        <v>2</v>
      </c>
      <c r="AF23" s="813" t="s">
        <v>2</v>
      </c>
      <c r="AG23" s="660" t="s">
        <v>2</v>
      </c>
      <c r="AI23" s="813" t="s">
        <v>2</v>
      </c>
      <c r="AJ23" s="660" t="s">
        <v>2</v>
      </c>
      <c r="AL23" s="813" t="s">
        <v>2</v>
      </c>
      <c r="AM23" s="660" t="s">
        <v>2</v>
      </c>
      <c r="AP23" s="815" t="s">
        <v>2</v>
      </c>
      <c r="AQ23" s="661" t="s">
        <v>2</v>
      </c>
    </row>
    <row r="24" spans="2:69" ht="15" thickTop="1" thickBot="1" x14ac:dyDescent="0.2">
      <c r="B24" s="470">
        <v>8100</v>
      </c>
      <c r="C24" s="471" t="s">
        <v>370</v>
      </c>
      <c r="D24" s="213"/>
      <c r="E24" s="814">
        <f>SUM(E13:E22)</f>
        <v>2</v>
      </c>
      <c r="F24" s="663">
        <f>E24/'État des Résultats'!E14</f>
        <v>5.4804530507855309E-5</v>
      </c>
      <c r="G24" s="213"/>
      <c r="H24" s="814">
        <f>SUM(H13:H22)</f>
        <v>2</v>
      </c>
      <c r="I24" s="663">
        <f>H24/'État des Résultats'!H14</f>
        <v>5.6541764338638049E-5</v>
      </c>
      <c r="J24" s="213"/>
      <c r="K24" s="814">
        <f>SUM(K13:K22)</f>
        <v>2</v>
      </c>
      <c r="L24" s="663">
        <f>K24/'État des Résultats'!K14</f>
        <v>5.074049408556116E-5</v>
      </c>
      <c r="M24" s="213"/>
      <c r="N24" s="814">
        <f>SUM(N13:N22)</f>
        <v>2</v>
      </c>
      <c r="O24" s="663">
        <f>N24/'État des Résultats'!N14</f>
        <v>5.0155167549606598E-5</v>
      </c>
      <c r="P24" s="213"/>
      <c r="Q24" s="814">
        <f>SUM(Q13:Q22)</f>
        <v>2</v>
      </c>
      <c r="R24" s="663">
        <f>Q24/'État des Résultats'!Q14</f>
        <v>4.6583850931677014E-5</v>
      </c>
      <c r="S24" s="213"/>
      <c r="T24" s="814">
        <f>SUM(T13:T22)</f>
        <v>2</v>
      </c>
      <c r="U24" s="663">
        <f>T24/'État des Résultats'!T14</f>
        <v>4.5329203339251306E-5</v>
      </c>
      <c r="V24" s="213"/>
      <c r="W24" s="814">
        <f>SUM(W13:W22)</f>
        <v>2</v>
      </c>
      <c r="X24" s="663">
        <f>W24/'État des Résultats'!W14</f>
        <v>4.3724209548274257E-5</v>
      </c>
      <c r="Y24" s="213"/>
      <c r="Z24" s="814">
        <f>SUM(Z13:Z22)</f>
        <v>2</v>
      </c>
      <c r="AA24" s="663">
        <f>Z24/'État des Résultats'!Z14</f>
        <v>4.3154601359369941E-5</v>
      </c>
      <c r="AB24" s="213"/>
      <c r="AC24" s="814">
        <f>SUM(AC13:AC22)</f>
        <v>2</v>
      </c>
      <c r="AD24" s="663">
        <f>AC24/'État des Résultats'!AC14</f>
        <v>4.719485576072208E-5</v>
      </c>
      <c r="AE24" s="213"/>
      <c r="AF24" s="814">
        <f>SUM(AF13:AF22)</f>
        <v>2</v>
      </c>
      <c r="AG24" s="663">
        <f>AF24/'État des Résultats'!AF14</f>
        <v>4.7152203383170587E-5</v>
      </c>
      <c r="AH24" s="213"/>
      <c r="AI24" s="814">
        <f>SUM(AI13:AI22)</f>
        <v>2</v>
      </c>
      <c r="AJ24" s="663">
        <f>AI24/'État des Résultats'!AI14</f>
        <v>5.0728160470080948E-5</v>
      </c>
      <c r="AK24" s="213"/>
      <c r="AL24" s="814">
        <f>SUM(AL13:AL22)</f>
        <v>2</v>
      </c>
      <c r="AM24" s="663">
        <f>AL24/'État des Résultats'!AL14</f>
        <v>4.5646468104530415E-5</v>
      </c>
      <c r="AN24" s="213"/>
      <c r="AO24" s="213"/>
      <c r="AP24" s="814">
        <f>SUM(AP13:AP22)</f>
        <v>24</v>
      </c>
      <c r="AQ24" s="663">
        <f>AP24/'État des Résultats'!AP14</f>
        <v>4.816053511705686E-5</v>
      </c>
      <c r="AR24" s="213"/>
      <c r="AS24" s="213"/>
      <c r="AT24" s="213"/>
      <c r="AU24" s="251"/>
    </row>
    <row r="25" spans="2:69" ht="14" thickTop="1" x14ac:dyDescent="0.15">
      <c r="L25" s="315"/>
      <c r="O25" s="315"/>
      <c r="R25" s="315"/>
      <c r="U25" s="315"/>
      <c r="X25" s="315"/>
      <c r="AA25" s="315"/>
      <c r="AD25" s="315"/>
      <c r="AG25" s="315"/>
      <c r="AJ25" s="315"/>
      <c r="AM25" s="315"/>
      <c r="AQ25" s="315"/>
    </row>
    <row r="26" spans="2:69" x14ac:dyDescent="0.15">
      <c r="R26" s="315"/>
      <c r="U26" s="315"/>
      <c r="X26" s="315"/>
      <c r="AD26" s="315"/>
      <c r="AG26" s="315"/>
      <c r="AJ26" s="315"/>
      <c r="AM26" s="315"/>
    </row>
    <row r="27" spans="2:69" x14ac:dyDescent="0.15">
      <c r="U27" s="315"/>
      <c r="AG27" s="315"/>
      <c r="AJ27" s="315"/>
      <c r="AM27" s="315"/>
    </row>
    <row r="28" spans="2:69" x14ac:dyDescent="0.15">
      <c r="C28" s="161" t="s">
        <v>2</v>
      </c>
      <c r="E28" s="161" t="s">
        <v>2</v>
      </c>
      <c r="G28" s="161" t="s">
        <v>2</v>
      </c>
      <c r="H28" s="161" t="s">
        <v>2</v>
      </c>
      <c r="U28" s="315"/>
      <c r="AG28" s="315"/>
      <c r="AJ28" s="315"/>
      <c r="AM28" s="315"/>
    </row>
    <row r="29" spans="2:69" x14ac:dyDescent="0.15">
      <c r="H29" s="161" t="s">
        <v>2</v>
      </c>
      <c r="AG29" s="315"/>
      <c r="AJ29" s="315"/>
      <c r="AM29" s="315"/>
    </row>
    <row r="30" spans="2:69" x14ac:dyDescent="0.15">
      <c r="H30" s="161" t="s">
        <v>2</v>
      </c>
      <c r="AM30" s="315"/>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4"/>
    </row>
  </sheetData>
  <sheetProtection algorithmName="SHA-512" hashValue="kx50EQ/DO2+x2VuHF9DOFQwDebGLEUfY9ulvoQdGsBz7mK/USk229gwq2Z0YJHgjUFaPcsTi715pVvibP/C+Xw==" saltValue="gWKb8phmYmZARnmFVaDs0w==" spinCount="100000" sheet="1" objects="1" scenarios="1"/>
  <mergeCells count="9">
    <mergeCell ref="B9:C9"/>
    <mergeCell ref="AS2:AS8"/>
    <mergeCell ref="BC2:BC8"/>
    <mergeCell ref="B2:C2"/>
    <mergeCell ref="B3:C3"/>
    <mergeCell ref="B4:C4"/>
    <mergeCell ref="B6:C6"/>
    <mergeCell ref="B7:C7"/>
    <mergeCell ref="B8:C8"/>
  </mergeCells>
  <phoneticPr fontId="46" type="noConversion"/>
  <pageMargins left="0.75000000000000011" right="0.75000000000000011" top="1" bottom="1" header="0.49" footer="0.49"/>
  <pageSetup scale="63" fitToWidth="2" orientation="landscape" horizontalDpi="4294967292" verticalDpi="4294967292"/>
  <headerFooter>
    <oddFooter>&amp;C&amp;K000000Budget et indicateurs de performace (430-763-Me)</oddFooter>
  </headerFooter>
  <ignoredErrors>
    <ignoredError sqref="H13 K13 N13 Q13 T13 W13 Z13 AC13 AF13 AI13 AL13"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6035-8D1A-A643-9DC8-D8C5058644FC}">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6" ht="14" thickBot="1" x14ac:dyDescent="0.2"/>
    <row r="2" spans="2:56" ht="17" thickTop="1" x14ac:dyDescent="0.2">
      <c r="B2" s="1282" t="str">
        <f>'État des Résultats'!C2</f>
        <v>Chez Les Petites Gâteries &amp; Cie.</v>
      </c>
      <c r="C2" s="1283"/>
      <c r="AS2" s="1240" t="s">
        <v>42</v>
      </c>
      <c r="AT2" s="367"/>
      <c r="AU2" s="367"/>
      <c r="AV2" s="367"/>
      <c r="AW2" s="367"/>
      <c r="AX2" s="367"/>
      <c r="AY2" s="367"/>
      <c r="AZ2" s="367"/>
      <c r="BA2" s="367"/>
      <c r="BB2" s="367"/>
      <c r="BC2" s="1243" t="s">
        <v>43</v>
      </c>
    </row>
    <row r="3" spans="2:56" ht="16" x14ac:dyDescent="0.2">
      <c r="B3" s="1284" t="str">
        <f>'État des Résultats'!C3</f>
        <v xml:space="preserve">États des résultats </v>
      </c>
      <c r="C3" s="1285"/>
      <c r="AS3" s="1241"/>
      <c r="AT3" s="368"/>
      <c r="AU3" s="368"/>
      <c r="AV3" s="368"/>
      <c r="AW3" s="368"/>
      <c r="AX3" s="368"/>
      <c r="AY3" s="368"/>
      <c r="AZ3" s="368"/>
      <c r="BA3" s="368"/>
      <c r="BB3" s="368"/>
      <c r="BC3" s="1244"/>
    </row>
    <row r="4" spans="2:56" ht="22" thickBot="1" x14ac:dyDescent="0.3">
      <c r="B4" s="1286" t="str">
        <f>'État des Résultats'!C4</f>
        <v>Pour la période du 1er janvier 2021 au 31 décembre 2021</v>
      </c>
      <c r="C4" s="1287"/>
      <c r="AS4" s="1241"/>
      <c r="AT4" s="369" t="str">
        <f>'Formule pour le calcul D'!BA103</f>
        <v>Coût annuel</v>
      </c>
      <c r="AU4" s="369" t="s">
        <v>44</v>
      </c>
      <c r="AV4" s="369" t="str">
        <f>'Formule pour le calcul D'!BC103</f>
        <v>Achalandage annuelle</v>
      </c>
      <c r="AW4" s="369" t="s">
        <v>45</v>
      </c>
      <c r="AX4" s="369" t="s">
        <v>46</v>
      </c>
      <c r="AY4" s="369" t="str">
        <f>'Formule pour le calcul D'!BF103</f>
        <v>Um/A</v>
      </c>
      <c r="AZ4" s="369" t="s">
        <v>45</v>
      </c>
      <c r="BA4" s="369" t="str">
        <f>'Formule pour le calcul D'!BH103</f>
        <v>CmO</v>
      </c>
      <c r="BB4" s="369" t="s">
        <v>49</v>
      </c>
      <c r="BC4" s="1244"/>
    </row>
    <row r="5" spans="2:56" ht="21" thickTop="1" thickBot="1" x14ac:dyDescent="0.3">
      <c r="AS5" s="1241"/>
      <c r="AT5" s="370" t="s">
        <v>2</v>
      </c>
      <c r="AU5" s="371"/>
      <c r="AV5" s="370"/>
      <c r="AW5" s="371"/>
      <c r="AX5" s="371"/>
      <c r="AY5" s="371"/>
      <c r="AZ5" s="371"/>
      <c r="BA5" s="371"/>
      <c r="BB5" s="371"/>
      <c r="BC5" s="1244"/>
    </row>
    <row r="6" spans="2:56" ht="27" thickTop="1" x14ac:dyDescent="0.3">
      <c r="B6" s="1258" t="str">
        <f>'Coût marchandises vendues'!B6</f>
        <v>Nb de places</v>
      </c>
      <c r="C6" s="1288"/>
      <c r="E6" s="638" t="str">
        <f>'Coût marchandises vendues'!D6</f>
        <v>Coût / place / jour</v>
      </c>
      <c r="F6" s="639">
        <f>+E24/$B$7/'Calendrier 2021'!D8</f>
        <v>3.2258064516129031E-2</v>
      </c>
      <c r="G6" s="170"/>
      <c r="H6" s="638" t="str">
        <f>+E6</f>
        <v>Coût / place / jour</v>
      </c>
      <c r="I6" s="639">
        <f>+H24/$B$7/'Calendrier 2021'!E8</f>
        <v>3.5714285714285712E-2</v>
      </c>
      <c r="J6" s="170"/>
      <c r="K6" s="638" t="str">
        <f>+H6</f>
        <v>Coût / place / jour</v>
      </c>
      <c r="L6" s="639">
        <f>+K24/$B$7/'Calendrier 2021'!F8</f>
        <v>3.2258064516129031E-2</v>
      </c>
      <c r="M6" s="170"/>
      <c r="N6" s="638" t="str">
        <f>+K6</f>
        <v>Coût / place / jour</v>
      </c>
      <c r="O6" s="639">
        <f>+N24/$B$7/'Calendrier 2021'!G8</f>
        <v>3.3333333333333333E-2</v>
      </c>
      <c r="P6" s="423"/>
      <c r="Q6" s="638" t="str">
        <f>+N6</f>
        <v>Coût / place / jour</v>
      </c>
      <c r="R6" s="639">
        <f>+Q24/$B$7/'Calendrier 2021'!H8</f>
        <v>3.2258064516129031E-2</v>
      </c>
      <c r="S6" s="423"/>
      <c r="T6" s="638" t="str">
        <f>+Q6</f>
        <v>Coût / place / jour</v>
      </c>
      <c r="U6" s="639">
        <f>+T24/$B$7/'Calendrier 2021'!I8</f>
        <v>3.3333333333333333E-2</v>
      </c>
      <c r="V6" s="170"/>
      <c r="W6" s="638" t="str">
        <f>+T6</f>
        <v>Coût / place / jour</v>
      </c>
      <c r="X6" s="639">
        <f>+W24/$B$7/'Calendrier 2021'!J8</f>
        <v>3.2258064516129031E-2</v>
      </c>
      <c r="Y6" s="170"/>
      <c r="Z6" s="638" t="str">
        <f>+W6</f>
        <v>Coût / place / jour</v>
      </c>
      <c r="AA6" s="639">
        <f>+Z24/$B$7/'Calendrier 2021'!K8</f>
        <v>3.2258064516129031E-2</v>
      </c>
      <c r="AB6" s="170"/>
      <c r="AC6" s="638" t="str">
        <f>+Z6</f>
        <v>Coût / place / jour</v>
      </c>
      <c r="AD6" s="639">
        <f>+AC24/$B$7/'Calendrier 2021'!L8</f>
        <v>3.3333333333333333E-2</v>
      </c>
      <c r="AE6" s="170"/>
      <c r="AF6" s="638" t="str">
        <f>+AC6</f>
        <v>Coût / place / jour</v>
      </c>
      <c r="AG6" s="639">
        <f>+AF24/$B$7/'Calendrier 2021'!M8</f>
        <v>3.2258064516129031E-2</v>
      </c>
      <c r="AH6" s="170"/>
      <c r="AI6" s="638" t="str">
        <f>+AF6</f>
        <v>Coût / place / jour</v>
      </c>
      <c r="AJ6" s="639">
        <f>+AI24/$B$7/'Calendrier 2021'!N8</f>
        <v>3.3333333333333333E-2</v>
      </c>
      <c r="AK6" s="170"/>
      <c r="AL6" s="638" t="str">
        <f>+AI6</f>
        <v>Coût / place / jour</v>
      </c>
      <c r="AM6" s="639">
        <f>+AL24/$B$7/'Calendrier 2021'!O8</f>
        <v>3.2258064516129031E-2</v>
      </c>
      <c r="AN6" s="170"/>
      <c r="AO6" s="170"/>
      <c r="AP6" s="640" t="str">
        <f>+AL6</f>
        <v>Coût / place / jour</v>
      </c>
      <c r="AQ6" s="641">
        <f>+AP24/$B$7/'% Occupation'!P9</f>
        <v>3.287671232876712E-2</v>
      </c>
      <c r="AS6" s="1241"/>
      <c r="AT6" s="372" t="str">
        <f>'Formule pour le calcul D'!BA105</f>
        <v xml:space="preserve">C </v>
      </c>
      <c r="AU6" s="373"/>
      <c r="AV6" s="372" t="str">
        <f>'Formule pour le calcul D'!BC105</f>
        <v>A</v>
      </c>
      <c r="AW6" s="373"/>
      <c r="AX6" s="373"/>
      <c r="AY6" s="372" t="str">
        <f>AY4</f>
        <v>Um/A</v>
      </c>
      <c r="AZ6" s="373"/>
      <c r="BA6" s="372" t="str">
        <f>BA4</f>
        <v>CmO</v>
      </c>
      <c r="BB6" s="373"/>
      <c r="BC6" s="1244"/>
    </row>
    <row r="7" spans="2:56" ht="21" x14ac:dyDescent="0.25">
      <c r="B7" s="1290">
        <f>'Coût marchandises vendues'!B7</f>
        <v>1</v>
      </c>
      <c r="C7" s="1289"/>
      <c r="E7" s="425">
        <f>+E24/$AP24</f>
        <v>8.3333333333333329E-2</v>
      </c>
      <c r="F7" s="642"/>
      <c r="H7" s="425">
        <f>+H24/$AP24</f>
        <v>8.3333333333333329E-2</v>
      </c>
      <c r="I7" s="642"/>
      <c r="K7" s="425">
        <f>+K24/$AP24</f>
        <v>8.3333333333333329E-2</v>
      </c>
      <c r="L7" s="426"/>
      <c r="N7" s="425">
        <f>+N24/$AP24</f>
        <v>8.3333333333333329E-2</v>
      </c>
      <c r="O7" s="426"/>
      <c r="P7" s="643"/>
      <c r="Q7" s="425">
        <f>+Q24/$AP24</f>
        <v>8.3333333333333329E-2</v>
      </c>
      <c r="R7" s="426"/>
      <c r="S7" s="643"/>
      <c r="T7" s="425">
        <f>+T24/$AP24</f>
        <v>8.3333333333333329E-2</v>
      </c>
      <c r="U7" s="426"/>
      <c r="W7" s="425">
        <f>+W24/$AP24</f>
        <v>8.3333333333333329E-2</v>
      </c>
      <c r="X7" s="426"/>
      <c r="Z7" s="425">
        <f>+Z24/$AP24</f>
        <v>8.3333333333333329E-2</v>
      </c>
      <c r="AA7" s="426"/>
      <c r="AC7" s="425">
        <f>+AC24/$AP24</f>
        <v>8.3333333333333329E-2</v>
      </c>
      <c r="AD7" s="426"/>
      <c r="AF7" s="425">
        <f>+AF24/$AP24</f>
        <v>8.3333333333333329E-2</v>
      </c>
      <c r="AG7" s="426"/>
      <c r="AI7" s="425">
        <f>+AI24/$AP24</f>
        <v>8.3333333333333329E-2</v>
      </c>
      <c r="AJ7" s="426"/>
      <c r="AL7" s="425">
        <f>+AL24/$AP24</f>
        <v>8.3333333333333329E-2</v>
      </c>
      <c r="AM7" s="426"/>
      <c r="AP7" s="644">
        <f>+AP24/$AP24</f>
        <v>1</v>
      </c>
      <c r="AQ7" s="719" t="s">
        <v>136</v>
      </c>
      <c r="AS7" s="1241"/>
      <c r="AT7" s="631">
        <f>AP24</f>
        <v>12</v>
      </c>
      <c r="AU7" s="369" t="s">
        <v>44</v>
      </c>
      <c r="AV7" s="632">
        <f>'Formule pour le calcul D'!G106</f>
        <v>52000</v>
      </c>
      <c r="AW7" s="369" t="s">
        <v>45</v>
      </c>
      <c r="AX7" s="369" t="s">
        <v>46</v>
      </c>
      <c r="AY7" s="633">
        <f>'Formule pour le calcul D'!J106</f>
        <v>2</v>
      </c>
      <c r="AZ7" s="369" t="s">
        <v>45</v>
      </c>
      <c r="BA7" s="634">
        <f>AT7/AV7/AY7</f>
        <v>1.1538461538461538E-4</v>
      </c>
      <c r="BB7" s="369" t="s">
        <v>49</v>
      </c>
      <c r="BC7" s="1244"/>
    </row>
    <row r="8" spans="2:56" ht="17" thickBot="1" x14ac:dyDescent="0.25">
      <c r="B8" s="1262" t="s">
        <v>334</v>
      </c>
      <c r="C8" s="1289"/>
      <c r="E8" s="647" t="str">
        <f>'État des Résultats'!E8</f>
        <v>Pér.01</v>
      </c>
      <c r="F8" s="646" t="str">
        <f>'État des Résultats'!F8</f>
        <v>(%)</v>
      </c>
      <c r="G8" s="383"/>
      <c r="H8" s="647" t="str">
        <f>'État des Résultats'!H8</f>
        <v>Pér.02</v>
      </c>
      <c r="I8" s="646" t="str">
        <f>F8</f>
        <v>(%)</v>
      </c>
      <c r="J8" s="383"/>
      <c r="K8" s="647" t="str">
        <f>'État des Résultats'!K8</f>
        <v>Pér.03</v>
      </c>
      <c r="L8" s="646" t="str">
        <f>I8</f>
        <v>(%)</v>
      </c>
      <c r="M8" s="383"/>
      <c r="N8" s="647" t="str">
        <f>'État des Résultats'!N8</f>
        <v>Pér.04</v>
      </c>
      <c r="O8" s="646" t="str">
        <f>L8</f>
        <v>(%)</v>
      </c>
      <c r="P8" s="427"/>
      <c r="Q8" s="647" t="str">
        <f>'État des Résultats'!Q8</f>
        <v>Pér.05</v>
      </c>
      <c r="R8" s="646" t="str">
        <f>O8</f>
        <v>(%)</v>
      </c>
      <c r="S8" s="427"/>
      <c r="T8" s="647" t="str">
        <f>'État des Résultats'!T8</f>
        <v>Pér.06</v>
      </c>
      <c r="U8" s="646" t="str">
        <f>R8</f>
        <v>(%)</v>
      </c>
      <c r="V8" s="383"/>
      <c r="W8" s="647" t="str">
        <f>'État des Résultats'!W8</f>
        <v>Pér.07</v>
      </c>
      <c r="X8" s="646" t="str">
        <f>U8</f>
        <v>(%)</v>
      </c>
      <c r="Y8" s="383"/>
      <c r="Z8" s="647" t="str">
        <f>'État des Résultats'!Z8</f>
        <v>Pér.08</v>
      </c>
      <c r="AA8" s="646" t="str">
        <f>X8</f>
        <v>(%)</v>
      </c>
      <c r="AB8" s="383"/>
      <c r="AC8" s="647" t="str">
        <f>'État des Résultats'!AC8</f>
        <v>Pér.09</v>
      </c>
      <c r="AD8" s="646" t="str">
        <f>AA8</f>
        <v>(%)</v>
      </c>
      <c r="AE8" s="383"/>
      <c r="AF8" s="647" t="str">
        <f>'État des Résultats'!AF8</f>
        <v>Pér.10</v>
      </c>
      <c r="AG8" s="646" t="str">
        <f>AD8</f>
        <v>(%)</v>
      </c>
      <c r="AH8" s="383"/>
      <c r="AI8" s="647" t="str">
        <f>'État des Résultats'!AI8</f>
        <v>Pér.11</v>
      </c>
      <c r="AJ8" s="646" t="str">
        <f>AG8</f>
        <v>(%)</v>
      </c>
      <c r="AK8" s="383"/>
      <c r="AL8" s="647" t="str">
        <f>'État des Résultats'!AL8</f>
        <v>Pér.12</v>
      </c>
      <c r="AM8" s="646" t="str">
        <f>AJ8</f>
        <v>(%)</v>
      </c>
      <c r="AN8" s="648" t="s">
        <v>2</v>
      </c>
      <c r="AO8" s="383"/>
      <c r="AP8" s="649" t="str">
        <f>'État des Résultats'!AP8</f>
        <v>Total</v>
      </c>
      <c r="AQ8" s="646" t="str">
        <f>AM8</f>
        <v>(%)</v>
      </c>
      <c r="AS8" s="1242"/>
      <c r="AT8" s="374"/>
      <c r="AU8" s="374"/>
      <c r="AV8" s="374"/>
      <c r="AW8" s="374"/>
      <c r="AX8" s="374"/>
      <c r="AY8" s="374"/>
      <c r="AZ8" s="374"/>
      <c r="BA8" s="374"/>
      <c r="BB8" s="374"/>
      <c r="BC8" s="1245"/>
    </row>
    <row r="9" spans="2:56" ht="15" thickTop="1" thickBot="1" x14ac:dyDescent="0.2">
      <c r="B9" s="1298">
        <f>AP24/$B$7</f>
        <v>12</v>
      </c>
      <c r="C9" s="1299"/>
      <c r="E9" s="665" t="str">
        <f>'État des Résultats'!E9</f>
        <v>Janvier 2021</v>
      </c>
      <c r="F9" s="666"/>
      <c r="G9" s="293"/>
      <c r="H9" s="667" t="str">
        <f>'État des Résultats'!H9</f>
        <v>Février 2021</v>
      </c>
      <c r="I9" s="668"/>
      <c r="J9" s="293"/>
      <c r="K9" s="667" t="str">
        <f>'État des Résultats'!K9</f>
        <v>Mars 2021</v>
      </c>
      <c r="L9" s="668"/>
      <c r="M9" s="293"/>
      <c r="N9" s="665" t="str">
        <f>'État des Résultats'!N9</f>
        <v>Avril 2021</v>
      </c>
      <c r="O9" s="666"/>
      <c r="P9" s="669"/>
      <c r="Q9" s="665" t="str">
        <f>'État des Résultats'!Q9</f>
        <v>Mai 2021</v>
      </c>
      <c r="R9" s="666"/>
      <c r="S9" s="669"/>
      <c r="T9" s="667" t="str">
        <f>'État des Résultats'!T9</f>
        <v>Juin 2021</v>
      </c>
      <c r="U9" s="668"/>
      <c r="V9" s="293"/>
      <c r="W9" s="667" t="str">
        <f>'État des Résultats'!W9</f>
        <v>Juillet 2021</v>
      </c>
      <c r="X9" s="668"/>
      <c r="Y9" s="293"/>
      <c r="Z9" s="667" t="str">
        <f>'État des Résultats'!Z9</f>
        <v>Août 2021</v>
      </c>
      <c r="AA9" s="668"/>
      <c r="AB9" s="293"/>
      <c r="AC9" s="667" t="str">
        <f>'État des Résultats'!AC9</f>
        <v>Septembre 2021</v>
      </c>
      <c r="AD9" s="668"/>
      <c r="AE9" s="293"/>
      <c r="AF9" s="667" t="str">
        <f>'État des Résultats'!AF9</f>
        <v>Octobre 2021</v>
      </c>
      <c r="AG9" s="668"/>
      <c r="AH9" s="293"/>
      <c r="AI9" s="667" t="str">
        <f>'État des Résultats'!AI9</f>
        <v>Novembre 2021</v>
      </c>
      <c r="AJ9" s="668"/>
      <c r="AK9" s="293"/>
      <c r="AL9" s="667" t="str">
        <f>'État des Résultats'!AL9</f>
        <v>Décembre 2021</v>
      </c>
      <c r="AM9" s="668"/>
      <c r="AN9" s="293"/>
      <c r="AO9" s="293"/>
      <c r="AP9" s="670" t="str">
        <f>'État des Résultats'!AP9</f>
        <v>Année</v>
      </c>
      <c r="AQ9" s="671"/>
      <c r="AR9" s="672"/>
      <c r="AS9" s="672"/>
      <c r="AT9" s="329"/>
      <c r="AU9" s="650"/>
      <c r="AV9" s="650"/>
      <c r="AW9" s="650"/>
      <c r="AX9" s="650"/>
      <c r="AY9" s="650"/>
      <c r="AZ9" s="650"/>
    </row>
    <row r="10" spans="2:56" ht="15" thickTop="1" thickBot="1" x14ac:dyDescent="0.2">
      <c r="D10" s="251"/>
      <c r="G10" s="389"/>
      <c r="J10" s="389"/>
      <c r="M10" s="389"/>
      <c r="P10" s="434"/>
      <c r="S10" s="434"/>
      <c r="V10" s="389"/>
      <c r="Y10" s="187"/>
      <c r="AB10" s="389"/>
      <c r="AE10" s="389"/>
      <c r="AH10" s="389"/>
      <c r="AK10" s="389"/>
      <c r="AN10" s="389"/>
      <c r="AO10" s="389"/>
      <c r="AR10" s="170"/>
      <c r="AS10" s="170"/>
      <c r="AT10" s="170"/>
    </row>
    <row r="11" spans="2:56" ht="14" thickTop="1" x14ac:dyDescent="0.15">
      <c r="B11" s="651"/>
      <c r="C11" s="714" t="s">
        <v>371</v>
      </c>
      <c r="E11" s="651"/>
      <c r="F11" s="652"/>
      <c r="H11" s="651"/>
      <c r="I11" s="652"/>
      <c r="K11" s="651"/>
      <c r="L11" s="652"/>
      <c r="N11" s="651"/>
      <c r="O11" s="652"/>
      <c r="Q11" s="651"/>
      <c r="R11" s="652"/>
      <c r="T11" s="651"/>
      <c r="U11" s="652"/>
      <c r="W11" s="651"/>
      <c r="X11" s="652"/>
      <c r="Z11" s="651"/>
      <c r="AA11" s="652"/>
      <c r="AC11" s="651"/>
      <c r="AD11" s="652"/>
      <c r="AF11" s="651"/>
      <c r="AG11" s="652"/>
      <c r="AI11" s="651"/>
      <c r="AJ11" s="652"/>
      <c r="AL11" s="651"/>
      <c r="AM11" s="652"/>
      <c r="AP11" s="614"/>
      <c r="AQ11" s="616"/>
      <c r="AR11" s="187"/>
      <c r="AS11" s="187"/>
      <c r="AT11" s="187"/>
      <c r="AU11" s="187"/>
      <c r="AV11" s="187"/>
      <c r="AW11" s="187"/>
      <c r="AX11" s="187"/>
      <c r="AY11" s="187"/>
      <c r="AZ11" s="187"/>
      <c r="BA11" s="187"/>
      <c r="BB11" s="187"/>
      <c r="BC11" s="187"/>
      <c r="BD11" s="187"/>
    </row>
    <row r="12" spans="2:56" x14ac:dyDescent="0.15">
      <c r="B12" s="190"/>
      <c r="C12" s="653"/>
      <c r="E12" s="190"/>
      <c r="F12" s="392"/>
      <c r="H12" s="190"/>
      <c r="I12" s="392"/>
      <c r="K12" s="190"/>
      <c r="L12" s="392"/>
      <c r="N12" s="190"/>
      <c r="O12" s="392"/>
      <c r="Q12" s="190"/>
      <c r="R12" s="392"/>
      <c r="T12" s="190"/>
      <c r="U12" s="392"/>
      <c r="W12" s="190"/>
      <c r="X12" s="392"/>
      <c r="Z12" s="190"/>
      <c r="AA12" s="392"/>
      <c r="AC12" s="190"/>
      <c r="AD12" s="392"/>
      <c r="AF12" s="190"/>
      <c r="AG12" s="392"/>
      <c r="AI12" s="190"/>
      <c r="AJ12" s="392"/>
      <c r="AL12" s="190"/>
      <c r="AM12" s="191"/>
      <c r="AP12" s="193"/>
      <c r="AQ12" s="495"/>
      <c r="AR12" s="187"/>
      <c r="AS12" s="187"/>
      <c r="AT12" s="187"/>
      <c r="AU12" s="187"/>
      <c r="AV12" s="187"/>
      <c r="AW12" s="187"/>
      <c r="AX12" s="187"/>
      <c r="AY12" s="187"/>
      <c r="AZ12" s="187"/>
      <c r="BA12" s="187"/>
      <c r="BB12" s="187"/>
      <c r="BC12" s="187"/>
      <c r="BD12" s="187"/>
    </row>
    <row r="13" spans="2:56" x14ac:dyDescent="0.15">
      <c r="B13" s="705">
        <v>8510</v>
      </c>
      <c r="C13" s="706" t="s">
        <v>423</v>
      </c>
      <c r="E13" s="812">
        <v>1</v>
      </c>
      <c r="F13" s="655">
        <f>E13/'État des Résultats'!E$14</f>
        <v>2.7402265253927655E-5</v>
      </c>
      <c r="H13" s="812">
        <f>+E13</f>
        <v>1</v>
      </c>
      <c r="I13" s="655">
        <f>H13/'État des Résultats'!H$14</f>
        <v>2.8270882169319025E-5</v>
      </c>
      <c r="K13" s="812">
        <f>H13</f>
        <v>1</v>
      </c>
      <c r="L13" s="655">
        <f>K13/'État des Résultats'!K$14</f>
        <v>2.537024704278058E-5</v>
      </c>
      <c r="N13" s="812">
        <f>K13</f>
        <v>1</v>
      </c>
      <c r="O13" s="655">
        <f>N13/'État des Résultats'!N$14</f>
        <v>2.5077583774803299E-5</v>
      </c>
      <c r="Q13" s="812">
        <f>N13</f>
        <v>1</v>
      </c>
      <c r="R13" s="655">
        <f>Q13/'État des Résultats'!Q$14</f>
        <v>2.3291925465838507E-5</v>
      </c>
      <c r="T13" s="812">
        <f>Q13</f>
        <v>1</v>
      </c>
      <c r="U13" s="655">
        <f>T13/'État des Résultats'!T$14</f>
        <v>2.2664601669625653E-5</v>
      </c>
      <c r="W13" s="812">
        <f>T13</f>
        <v>1</v>
      </c>
      <c r="X13" s="655">
        <f>W13/'État des Résultats'!W$14</f>
        <v>2.1862104774137129E-5</v>
      </c>
      <c r="Z13" s="812">
        <f>W13</f>
        <v>1</v>
      </c>
      <c r="AA13" s="655">
        <f>Z13/'État des Résultats'!Z$14</f>
        <v>2.1577300679684971E-5</v>
      </c>
      <c r="AC13" s="812">
        <f>Z13</f>
        <v>1</v>
      </c>
      <c r="AD13" s="655">
        <f>AC13/'État des Résultats'!AC$14</f>
        <v>2.359742788036104E-5</v>
      </c>
      <c r="AF13" s="812">
        <f>AC13</f>
        <v>1</v>
      </c>
      <c r="AG13" s="655">
        <f>AF13/'État des Résultats'!AF$14</f>
        <v>2.3576101691585294E-5</v>
      </c>
      <c r="AI13" s="812">
        <f>AF13</f>
        <v>1</v>
      </c>
      <c r="AJ13" s="655">
        <f>AI13/'État des Résultats'!AI$14</f>
        <v>2.5364080235040474E-5</v>
      </c>
      <c r="AL13" s="812">
        <f>AI13</f>
        <v>1</v>
      </c>
      <c r="AM13" s="655">
        <f>AL13/'État des Résultats'!AL$14</f>
        <v>2.2823234052265207E-5</v>
      </c>
      <c r="AP13" s="815">
        <f>SUM(+$AL13+$AI13+$AF13+$AC13+$Z13+$W13+$T13+$Q13+$N13+$K13+$H13+$E13)</f>
        <v>12</v>
      </c>
      <c r="AQ13" s="657">
        <f>AP13/'État des Résultats'!AP$14</f>
        <v>2.408026755852843E-5</v>
      </c>
    </row>
    <row r="14" spans="2:56" x14ac:dyDescent="0.15">
      <c r="B14" s="705">
        <v>8520</v>
      </c>
      <c r="C14" s="706" t="s">
        <v>422</v>
      </c>
      <c r="E14" s="812">
        <v>0</v>
      </c>
      <c r="F14" s="655">
        <f>E14/'État des Résultats'!E$14</f>
        <v>0</v>
      </c>
      <c r="H14" s="812">
        <v>0</v>
      </c>
      <c r="I14" s="655">
        <f>H14/'État des Résultats'!H$14</f>
        <v>0</v>
      </c>
      <c r="K14" s="812">
        <v>0</v>
      </c>
      <c r="L14" s="655">
        <f>K14/'État des Résultats'!K$14</f>
        <v>0</v>
      </c>
      <c r="N14" s="812">
        <v>0</v>
      </c>
      <c r="O14" s="655">
        <f>N14/'État des Résultats'!N$14</f>
        <v>0</v>
      </c>
      <c r="Q14" s="812">
        <v>0</v>
      </c>
      <c r="R14" s="655">
        <f>Q14/'État des Résultats'!Q$14</f>
        <v>0</v>
      </c>
      <c r="T14" s="812">
        <v>0</v>
      </c>
      <c r="U14" s="655">
        <f>T14/'État des Résultats'!T$14</f>
        <v>0</v>
      </c>
      <c r="W14" s="812">
        <v>0</v>
      </c>
      <c r="X14" s="655">
        <f>W14/'État des Résultats'!W$14</f>
        <v>0</v>
      </c>
      <c r="Z14" s="812">
        <v>0</v>
      </c>
      <c r="AA14" s="655">
        <f>Z14/'État des Résultats'!Z$14</f>
        <v>0</v>
      </c>
      <c r="AC14" s="812">
        <v>0</v>
      </c>
      <c r="AD14" s="655">
        <f>AC14/'État des Résultats'!AC$14</f>
        <v>0</v>
      </c>
      <c r="AF14" s="812">
        <v>0</v>
      </c>
      <c r="AG14" s="655">
        <f>AF14/'État des Résultats'!AF$14</f>
        <v>0</v>
      </c>
      <c r="AI14" s="812">
        <v>0</v>
      </c>
      <c r="AJ14" s="655">
        <f>AI14/'État des Résultats'!AI$14</f>
        <v>0</v>
      </c>
      <c r="AL14" s="812">
        <v>0</v>
      </c>
      <c r="AM14" s="655">
        <f>AL14/'État des Résultats'!AL$14</f>
        <v>0</v>
      </c>
      <c r="AP14" s="815">
        <f>SUM(+$AL14+$AI14+$AF14+$AC14+$Z14+$W14+$T14+$Q14+$N14+$K14+$H14+$E14)</f>
        <v>0</v>
      </c>
      <c r="AQ14" s="657">
        <f>AP14/'État des Résultats'!AP$14</f>
        <v>0</v>
      </c>
    </row>
    <row r="15" spans="2:56" x14ac:dyDescent="0.15">
      <c r="B15" s="707">
        <v>8530</v>
      </c>
      <c r="C15" s="706" t="s">
        <v>424</v>
      </c>
      <c r="E15" s="812">
        <v>0</v>
      </c>
      <c r="F15" s="655">
        <f>E15/'État des Résultats'!E$14</f>
        <v>0</v>
      </c>
      <c r="H15" s="812">
        <v>0</v>
      </c>
      <c r="I15" s="655">
        <f>H15/'État des Résultats'!H$14</f>
        <v>0</v>
      </c>
      <c r="K15" s="812">
        <v>0</v>
      </c>
      <c r="L15" s="655">
        <f>K15/'État des Résultats'!K$14</f>
        <v>0</v>
      </c>
      <c r="N15" s="812">
        <v>0</v>
      </c>
      <c r="O15" s="655">
        <f>N15/'État des Résultats'!N$14</f>
        <v>0</v>
      </c>
      <c r="Q15" s="812">
        <v>0</v>
      </c>
      <c r="R15" s="655">
        <f>Q15/'État des Résultats'!Q$14</f>
        <v>0</v>
      </c>
      <c r="T15" s="812">
        <v>0</v>
      </c>
      <c r="U15" s="655">
        <f>T15/'État des Résultats'!T$14</f>
        <v>0</v>
      </c>
      <c r="W15" s="812">
        <v>0</v>
      </c>
      <c r="X15" s="655">
        <f>W15/'État des Résultats'!W$14</f>
        <v>0</v>
      </c>
      <c r="Z15" s="812">
        <v>0</v>
      </c>
      <c r="AA15" s="655">
        <f>Z15/'État des Résultats'!Z$14</f>
        <v>0</v>
      </c>
      <c r="AC15" s="812">
        <v>0</v>
      </c>
      <c r="AD15" s="655">
        <f>AC15/'État des Résultats'!AC$14</f>
        <v>0</v>
      </c>
      <c r="AF15" s="812">
        <v>0</v>
      </c>
      <c r="AG15" s="655">
        <f>AF15/'État des Résultats'!AF$14</f>
        <v>0</v>
      </c>
      <c r="AI15" s="812">
        <v>0</v>
      </c>
      <c r="AJ15" s="655">
        <f>AI15/'État des Résultats'!AI$14</f>
        <v>0</v>
      </c>
      <c r="AL15" s="812">
        <v>0</v>
      </c>
      <c r="AM15" s="655">
        <f>AL15/'État des Résultats'!AL$14</f>
        <v>0</v>
      </c>
      <c r="AP15" s="815">
        <f>SUM(+$AL15+$AI15+$AF15+$AC15+$Z15+$W15+$T15+$Q15+$N15+$K15+$H15+$E15)</f>
        <v>0</v>
      </c>
      <c r="AQ15" s="657">
        <f>AP15/'État des Résultats'!AP$14</f>
        <v>0</v>
      </c>
    </row>
    <row r="16" spans="2:56" x14ac:dyDescent="0.15">
      <c r="B16" s="707">
        <v>8540</v>
      </c>
      <c r="C16" s="706" t="s">
        <v>372</v>
      </c>
      <c r="E16" s="812">
        <v>0</v>
      </c>
      <c r="F16" s="655">
        <f>E16/'État des Résultats'!E$14</f>
        <v>0</v>
      </c>
      <c r="G16" s="659" t="s">
        <v>2</v>
      </c>
      <c r="H16" s="812">
        <v>0</v>
      </c>
      <c r="I16" s="655">
        <f>H16/'État des Résultats'!H$14</f>
        <v>0</v>
      </c>
      <c r="K16" s="812">
        <v>0</v>
      </c>
      <c r="L16" s="655">
        <f>K16/'État des Résultats'!K$14</f>
        <v>0</v>
      </c>
      <c r="N16" s="812">
        <v>0</v>
      </c>
      <c r="O16" s="655">
        <f>N16/'État des Résultats'!N$14</f>
        <v>0</v>
      </c>
      <c r="Q16" s="812">
        <v>0</v>
      </c>
      <c r="R16" s="655">
        <f>Q16/'État des Résultats'!Q$14</f>
        <v>0</v>
      </c>
      <c r="T16" s="812">
        <v>0</v>
      </c>
      <c r="U16" s="655">
        <f>T16/'État des Résultats'!T$14</f>
        <v>0</v>
      </c>
      <c r="W16" s="812">
        <v>0</v>
      </c>
      <c r="X16" s="655">
        <f>W16/'État des Résultats'!W$14</f>
        <v>0</v>
      </c>
      <c r="Z16" s="812">
        <v>0</v>
      </c>
      <c r="AA16" s="655">
        <f>Z16/'État des Résultats'!Z$14</f>
        <v>0</v>
      </c>
      <c r="AC16" s="812">
        <v>0</v>
      </c>
      <c r="AD16" s="655">
        <f>AC16/'État des Résultats'!AC$14</f>
        <v>0</v>
      </c>
      <c r="AF16" s="812">
        <v>0</v>
      </c>
      <c r="AG16" s="655">
        <f>AF16/'État des Résultats'!AF$14</f>
        <v>0</v>
      </c>
      <c r="AI16" s="812">
        <v>0</v>
      </c>
      <c r="AJ16" s="655">
        <f>AI16/'État des Résultats'!AI$14</f>
        <v>0</v>
      </c>
      <c r="AL16" s="812">
        <v>0</v>
      </c>
      <c r="AM16" s="655">
        <f>AL16/'État des Résultats'!AL$14</f>
        <v>0</v>
      </c>
      <c r="AP16" s="815">
        <f t="shared" ref="AP16:AP22" si="0">SUM(+$AL16+$AI16+$AF16+$AC16+$Z16+$W16+$T16+$Q16+$N16+$K16+$H16+$E16)</f>
        <v>0</v>
      </c>
      <c r="AQ16" s="657">
        <f>AP16/'État des Résultats'!AP$14</f>
        <v>0</v>
      </c>
    </row>
    <row r="17" spans="2:69" x14ac:dyDescent="0.15">
      <c r="B17" s="707">
        <v>8550</v>
      </c>
      <c r="C17" s="706" t="s">
        <v>372</v>
      </c>
      <c r="E17" s="812">
        <v>0</v>
      </c>
      <c r="F17" s="655">
        <f>E17/'État des Résultats'!E$14</f>
        <v>0</v>
      </c>
      <c r="H17" s="812">
        <v>0</v>
      </c>
      <c r="I17" s="655">
        <f>H17/'État des Résultats'!H$14</f>
        <v>0</v>
      </c>
      <c r="K17" s="812">
        <v>0</v>
      </c>
      <c r="L17" s="655">
        <f>K17/'État des Résultats'!K$14</f>
        <v>0</v>
      </c>
      <c r="N17" s="812">
        <v>0</v>
      </c>
      <c r="O17" s="655">
        <f>N17/'État des Résultats'!N$14</f>
        <v>0</v>
      </c>
      <c r="Q17" s="812">
        <v>0</v>
      </c>
      <c r="R17" s="655">
        <f>Q17/'État des Résultats'!Q$14</f>
        <v>0</v>
      </c>
      <c r="T17" s="812">
        <v>0</v>
      </c>
      <c r="U17" s="655">
        <f>T17/'État des Résultats'!T$14</f>
        <v>0</v>
      </c>
      <c r="W17" s="812">
        <v>0</v>
      </c>
      <c r="X17" s="655">
        <f>W17/'État des Résultats'!W$14</f>
        <v>0</v>
      </c>
      <c r="Z17" s="812">
        <v>0</v>
      </c>
      <c r="AA17" s="655">
        <f>Z17/'État des Résultats'!Z$14</f>
        <v>0</v>
      </c>
      <c r="AC17" s="812">
        <v>0</v>
      </c>
      <c r="AD17" s="655">
        <f>AC17/'État des Résultats'!AC$14</f>
        <v>0</v>
      </c>
      <c r="AF17" s="812">
        <v>0</v>
      </c>
      <c r="AG17" s="655">
        <f>AF17/'État des Résultats'!AF$14</f>
        <v>0</v>
      </c>
      <c r="AI17" s="812">
        <v>0</v>
      </c>
      <c r="AJ17" s="655">
        <f>AI17/'État des Résultats'!AI$14</f>
        <v>0</v>
      </c>
      <c r="AL17" s="812">
        <v>0</v>
      </c>
      <c r="AM17" s="655">
        <f>AL17/'État des Résultats'!AL$14</f>
        <v>0</v>
      </c>
      <c r="AP17" s="815">
        <f t="shared" si="0"/>
        <v>0</v>
      </c>
      <c r="AQ17" s="657">
        <f>AP17/'État des Résultats'!AP$14</f>
        <v>0</v>
      </c>
    </row>
    <row r="18" spans="2:69" x14ac:dyDescent="0.15">
      <c r="B18" s="707">
        <v>8560</v>
      </c>
      <c r="C18" s="706" t="s">
        <v>372</v>
      </c>
      <c r="E18" s="812">
        <v>0</v>
      </c>
      <c r="F18" s="655">
        <f>E18/'État des Résultats'!E$14</f>
        <v>0</v>
      </c>
      <c r="H18" s="812">
        <v>0</v>
      </c>
      <c r="I18" s="655">
        <f>H18/'État des Résultats'!H$14</f>
        <v>0</v>
      </c>
      <c r="K18" s="812">
        <v>0</v>
      </c>
      <c r="L18" s="655">
        <f>K18/'État des Résultats'!K$14</f>
        <v>0</v>
      </c>
      <c r="N18" s="812">
        <v>0</v>
      </c>
      <c r="O18" s="655">
        <f>N18/'État des Résultats'!N$14</f>
        <v>0</v>
      </c>
      <c r="Q18" s="812">
        <v>0</v>
      </c>
      <c r="R18" s="655">
        <f>Q18/'État des Résultats'!Q$14</f>
        <v>0</v>
      </c>
      <c r="T18" s="812">
        <v>0</v>
      </c>
      <c r="U18" s="655">
        <f>T18/'État des Résultats'!T$14</f>
        <v>0</v>
      </c>
      <c r="W18" s="812">
        <v>0</v>
      </c>
      <c r="X18" s="655">
        <f>W18/'État des Résultats'!W$14</f>
        <v>0</v>
      </c>
      <c r="Z18" s="812">
        <v>0</v>
      </c>
      <c r="AA18" s="655">
        <f>Z18/'État des Résultats'!Z$14</f>
        <v>0</v>
      </c>
      <c r="AC18" s="812">
        <v>0</v>
      </c>
      <c r="AD18" s="655">
        <f>AC18/'État des Résultats'!AC$14</f>
        <v>0</v>
      </c>
      <c r="AF18" s="812">
        <v>0</v>
      </c>
      <c r="AG18" s="655">
        <f>AF18/'État des Résultats'!AF$14</f>
        <v>0</v>
      </c>
      <c r="AI18" s="812">
        <v>0</v>
      </c>
      <c r="AJ18" s="655">
        <f>AI18/'État des Résultats'!AI$14</f>
        <v>0</v>
      </c>
      <c r="AL18" s="812">
        <v>0</v>
      </c>
      <c r="AM18" s="655">
        <f>AL18/'État des Résultats'!AL$14</f>
        <v>0</v>
      </c>
      <c r="AP18" s="815">
        <f t="shared" si="0"/>
        <v>0</v>
      </c>
      <c r="AQ18" s="657">
        <f>AP18/'État des Résultats'!AP$14</f>
        <v>0</v>
      </c>
    </row>
    <row r="19" spans="2:69" x14ac:dyDescent="0.15">
      <c r="B19" s="707">
        <v>8570</v>
      </c>
      <c r="C19" s="706" t="s">
        <v>372</v>
      </c>
      <c r="E19" s="812">
        <v>0</v>
      </c>
      <c r="F19" s="655">
        <f>E19/'État des Résultats'!E$14</f>
        <v>0</v>
      </c>
      <c r="H19" s="812">
        <v>0</v>
      </c>
      <c r="I19" s="655">
        <f>H19/'État des Résultats'!H$14</f>
        <v>0</v>
      </c>
      <c r="K19" s="812">
        <v>0</v>
      </c>
      <c r="L19" s="655">
        <f>K19/'État des Résultats'!K$14</f>
        <v>0</v>
      </c>
      <c r="N19" s="812">
        <v>0</v>
      </c>
      <c r="O19" s="655">
        <f>N19/'État des Résultats'!N$14</f>
        <v>0</v>
      </c>
      <c r="Q19" s="812">
        <v>0</v>
      </c>
      <c r="R19" s="655">
        <f>Q19/'État des Résultats'!Q$14</f>
        <v>0</v>
      </c>
      <c r="T19" s="812">
        <v>0</v>
      </c>
      <c r="U19" s="655">
        <f>T19/'État des Résultats'!T$14</f>
        <v>0</v>
      </c>
      <c r="W19" s="812">
        <v>0</v>
      </c>
      <c r="X19" s="655">
        <f>W19/'État des Résultats'!W$14</f>
        <v>0</v>
      </c>
      <c r="Z19" s="812">
        <v>0</v>
      </c>
      <c r="AA19" s="655">
        <f>Z19/'État des Résultats'!Z$14</f>
        <v>0</v>
      </c>
      <c r="AC19" s="812">
        <v>0</v>
      </c>
      <c r="AD19" s="655">
        <f>AC19/'État des Résultats'!AC$14</f>
        <v>0</v>
      </c>
      <c r="AF19" s="812">
        <v>0</v>
      </c>
      <c r="AG19" s="655">
        <f>AF19/'État des Résultats'!AF$14</f>
        <v>0</v>
      </c>
      <c r="AI19" s="812">
        <v>0</v>
      </c>
      <c r="AJ19" s="655">
        <f>AI19/'État des Résultats'!AI$14</f>
        <v>0</v>
      </c>
      <c r="AL19" s="812">
        <v>0</v>
      </c>
      <c r="AM19" s="655">
        <f>AL19/'État des Résultats'!AL$14</f>
        <v>0</v>
      </c>
      <c r="AP19" s="815">
        <f t="shared" si="0"/>
        <v>0</v>
      </c>
      <c r="AQ19" s="657">
        <f>AP19/'État des Résultats'!AP$14</f>
        <v>0</v>
      </c>
      <c r="AS19" s="209"/>
    </row>
    <row r="20" spans="2:69" x14ac:dyDescent="0.15">
      <c r="B20" s="707">
        <v>8580</v>
      </c>
      <c r="C20" s="706" t="s">
        <v>372</v>
      </c>
      <c r="E20" s="812">
        <v>0</v>
      </c>
      <c r="F20" s="655">
        <f>E20/'État des Résultats'!E$14</f>
        <v>0</v>
      </c>
      <c r="H20" s="812">
        <v>0</v>
      </c>
      <c r="I20" s="655">
        <f>H20/'État des Résultats'!H$14</f>
        <v>0</v>
      </c>
      <c r="K20" s="812">
        <v>0</v>
      </c>
      <c r="L20" s="655">
        <f>K20/'État des Résultats'!K$14</f>
        <v>0</v>
      </c>
      <c r="N20" s="812">
        <v>0</v>
      </c>
      <c r="O20" s="655">
        <f>N20/'État des Résultats'!N$14</f>
        <v>0</v>
      </c>
      <c r="Q20" s="812">
        <v>0</v>
      </c>
      <c r="R20" s="655">
        <f>Q20/'État des Résultats'!Q$14</f>
        <v>0</v>
      </c>
      <c r="T20" s="812">
        <v>0</v>
      </c>
      <c r="U20" s="655">
        <f>T20/'État des Résultats'!T$14</f>
        <v>0</v>
      </c>
      <c r="W20" s="812">
        <v>0</v>
      </c>
      <c r="X20" s="655">
        <f>W20/'État des Résultats'!W$14</f>
        <v>0</v>
      </c>
      <c r="Z20" s="812">
        <v>0</v>
      </c>
      <c r="AA20" s="655">
        <f>Z20/'État des Résultats'!Z$14</f>
        <v>0</v>
      </c>
      <c r="AC20" s="812">
        <v>0</v>
      </c>
      <c r="AD20" s="655">
        <f>AC20/'État des Résultats'!AC$14</f>
        <v>0</v>
      </c>
      <c r="AF20" s="812">
        <v>0</v>
      </c>
      <c r="AG20" s="655">
        <f>AF20/'État des Résultats'!AF$14</f>
        <v>0</v>
      </c>
      <c r="AI20" s="812">
        <v>0</v>
      </c>
      <c r="AJ20" s="655">
        <f>AI20/'État des Résultats'!AI$14</f>
        <v>0</v>
      </c>
      <c r="AL20" s="812">
        <v>0</v>
      </c>
      <c r="AM20" s="655">
        <f>AL20/'État des Résultats'!AL$14</f>
        <v>0</v>
      </c>
      <c r="AP20" s="815">
        <f t="shared" si="0"/>
        <v>0</v>
      </c>
      <c r="AQ20" s="657">
        <f>AP20/'État des Résultats'!AP$14</f>
        <v>0</v>
      </c>
    </row>
    <row r="21" spans="2:69" x14ac:dyDescent="0.15">
      <c r="B21" s="707">
        <v>8190</v>
      </c>
      <c r="C21" s="706" t="s">
        <v>372</v>
      </c>
      <c r="E21" s="812">
        <v>0</v>
      </c>
      <c r="F21" s="655">
        <f>E21/'État des Résultats'!E$14</f>
        <v>0</v>
      </c>
      <c r="H21" s="812">
        <v>0</v>
      </c>
      <c r="I21" s="655">
        <f>H21/'État des Résultats'!H$14</f>
        <v>0</v>
      </c>
      <c r="K21" s="812">
        <v>0</v>
      </c>
      <c r="L21" s="655">
        <f>K21/'État des Résultats'!K$14</f>
        <v>0</v>
      </c>
      <c r="N21" s="812">
        <v>0</v>
      </c>
      <c r="O21" s="655">
        <f>N21/'État des Résultats'!N$14</f>
        <v>0</v>
      </c>
      <c r="Q21" s="812">
        <v>0</v>
      </c>
      <c r="R21" s="655">
        <f>Q21/'État des Résultats'!Q$14</f>
        <v>0</v>
      </c>
      <c r="T21" s="812">
        <v>0</v>
      </c>
      <c r="U21" s="655">
        <f>T21/'État des Résultats'!T$14</f>
        <v>0</v>
      </c>
      <c r="W21" s="812">
        <v>0</v>
      </c>
      <c r="X21" s="655">
        <f>W21/'État des Résultats'!W$14</f>
        <v>0</v>
      </c>
      <c r="Z21" s="812">
        <v>0</v>
      </c>
      <c r="AA21" s="655">
        <f>Z21/'État des Résultats'!Z$14</f>
        <v>0</v>
      </c>
      <c r="AC21" s="812">
        <v>0</v>
      </c>
      <c r="AD21" s="655">
        <f>AC21/'État des Résultats'!AC$14</f>
        <v>0</v>
      </c>
      <c r="AF21" s="812">
        <v>0</v>
      </c>
      <c r="AG21" s="655">
        <f>AF21/'État des Résultats'!AF$14</f>
        <v>0</v>
      </c>
      <c r="AI21" s="812">
        <v>0</v>
      </c>
      <c r="AJ21" s="655">
        <f>AI21/'État des Résultats'!AI$14</f>
        <v>0</v>
      </c>
      <c r="AL21" s="812">
        <v>0</v>
      </c>
      <c r="AM21" s="655">
        <f>AL21/'État des Résultats'!AL$14</f>
        <v>0</v>
      </c>
      <c r="AP21" s="815">
        <f t="shared" si="0"/>
        <v>0</v>
      </c>
      <c r="AQ21" s="657">
        <f>AP21/'État des Résultats'!AP$14</f>
        <v>0</v>
      </c>
    </row>
    <row r="22" spans="2:69" x14ac:dyDescent="0.15">
      <c r="B22" s="707">
        <v>8199</v>
      </c>
      <c r="C22" s="706" t="s">
        <v>372</v>
      </c>
      <c r="E22" s="812">
        <v>0</v>
      </c>
      <c r="F22" s="655">
        <f>E22/'État des Résultats'!E$14</f>
        <v>0</v>
      </c>
      <c r="H22" s="812">
        <v>0</v>
      </c>
      <c r="I22" s="655">
        <f>H22/'État des Résultats'!H$14</f>
        <v>0</v>
      </c>
      <c r="K22" s="812">
        <v>0</v>
      </c>
      <c r="L22" s="655">
        <f>K22/'État des Résultats'!K$14</f>
        <v>0</v>
      </c>
      <c r="N22" s="812">
        <v>0</v>
      </c>
      <c r="O22" s="655">
        <f>N22/'État des Résultats'!N$14</f>
        <v>0</v>
      </c>
      <c r="Q22" s="812">
        <v>0</v>
      </c>
      <c r="R22" s="655">
        <f>Q22/'État des Résultats'!Q$14</f>
        <v>0</v>
      </c>
      <c r="T22" s="812">
        <v>0</v>
      </c>
      <c r="U22" s="655">
        <f>T22/'État des Résultats'!T$14</f>
        <v>0</v>
      </c>
      <c r="W22" s="812">
        <v>0</v>
      </c>
      <c r="X22" s="655">
        <f>W22/'État des Résultats'!W$14</f>
        <v>0</v>
      </c>
      <c r="Z22" s="812">
        <v>0</v>
      </c>
      <c r="AA22" s="655">
        <f>Z22/'État des Résultats'!Z$14</f>
        <v>0</v>
      </c>
      <c r="AC22" s="812">
        <v>0</v>
      </c>
      <c r="AD22" s="655">
        <f>AC22/'État des Résultats'!AC$14</f>
        <v>0</v>
      </c>
      <c r="AF22" s="812">
        <v>0</v>
      </c>
      <c r="AG22" s="655">
        <f>AF22/'État des Résultats'!AF$14</f>
        <v>0</v>
      </c>
      <c r="AI22" s="812">
        <v>0</v>
      </c>
      <c r="AJ22" s="655">
        <f>AI22/'État des Résultats'!AI$14</f>
        <v>0</v>
      </c>
      <c r="AL22" s="812">
        <v>0</v>
      </c>
      <c r="AM22" s="655">
        <f>AL22/'État des Résultats'!AL$14</f>
        <v>0</v>
      </c>
      <c r="AP22" s="815">
        <f t="shared" si="0"/>
        <v>0</v>
      </c>
      <c r="AQ22" s="657">
        <f>AP22/'État des Résultats'!AP$14</f>
        <v>0</v>
      </c>
    </row>
    <row r="23" spans="2:69" ht="14" thickBot="1" x14ac:dyDescent="0.2">
      <c r="B23" s="709" t="s">
        <v>2</v>
      </c>
      <c r="C23" s="710"/>
      <c r="E23" s="813" t="s">
        <v>2</v>
      </c>
      <c r="F23" s="660" t="s">
        <v>2</v>
      </c>
      <c r="H23" s="813" t="s">
        <v>2</v>
      </c>
      <c r="I23" s="660" t="s">
        <v>2</v>
      </c>
      <c r="K23" s="813" t="s">
        <v>2</v>
      </c>
      <c r="L23" s="660" t="s">
        <v>2</v>
      </c>
      <c r="N23" s="813" t="s">
        <v>2</v>
      </c>
      <c r="O23" s="660" t="s">
        <v>2</v>
      </c>
      <c r="Q23" s="813" t="s">
        <v>2</v>
      </c>
      <c r="R23" s="660" t="s">
        <v>2</v>
      </c>
      <c r="S23" s="711"/>
      <c r="T23" s="813" t="s">
        <v>2</v>
      </c>
      <c r="U23" s="660" t="s">
        <v>2</v>
      </c>
      <c r="W23" s="813" t="s">
        <v>2</v>
      </c>
      <c r="X23" s="660" t="s">
        <v>2</v>
      </c>
      <c r="Z23" s="813" t="s">
        <v>2</v>
      </c>
      <c r="AA23" s="660" t="s">
        <v>2</v>
      </c>
      <c r="AC23" s="813" t="s">
        <v>2</v>
      </c>
      <c r="AD23" s="660" t="s">
        <v>2</v>
      </c>
      <c r="AF23" s="813" t="s">
        <v>2</v>
      </c>
      <c r="AG23" s="660" t="s">
        <v>2</v>
      </c>
      <c r="AI23" s="813" t="s">
        <v>2</v>
      </c>
      <c r="AJ23" s="660" t="s">
        <v>2</v>
      </c>
      <c r="AL23" s="813" t="s">
        <v>2</v>
      </c>
      <c r="AM23" s="660" t="s">
        <v>2</v>
      </c>
      <c r="AP23" s="815" t="s">
        <v>2</v>
      </c>
      <c r="AQ23" s="661" t="s">
        <v>2</v>
      </c>
    </row>
    <row r="24" spans="2:69" ht="15" thickTop="1" thickBot="1" x14ac:dyDescent="0.2">
      <c r="B24" s="470">
        <v>8500</v>
      </c>
      <c r="C24" s="471" t="s">
        <v>373</v>
      </c>
      <c r="D24" s="213"/>
      <c r="E24" s="814">
        <f>SUM(E13:E22)</f>
        <v>1</v>
      </c>
      <c r="F24" s="663">
        <f>E24/'État des Résultats'!E14</f>
        <v>2.7402265253927655E-5</v>
      </c>
      <c r="G24" s="213"/>
      <c r="H24" s="814">
        <f>SUM(H13:H22)</f>
        <v>1</v>
      </c>
      <c r="I24" s="663">
        <f>H24/'État des Résultats'!H14</f>
        <v>2.8270882169319025E-5</v>
      </c>
      <c r="J24" s="213"/>
      <c r="K24" s="814">
        <f>SUM(K13:K22)</f>
        <v>1</v>
      </c>
      <c r="L24" s="663">
        <f>K24/'État des Résultats'!K14</f>
        <v>2.537024704278058E-5</v>
      </c>
      <c r="M24" s="213"/>
      <c r="N24" s="814">
        <f>SUM(N13:N22)</f>
        <v>1</v>
      </c>
      <c r="O24" s="663">
        <f>N24/'État des Résultats'!N14</f>
        <v>2.5077583774803299E-5</v>
      </c>
      <c r="P24" s="213"/>
      <c r="Q24" s="814">
        <f>SUM(Q13:Q22)</f>
        <v>1</v>
      </c>
      <c r="R24" s="663">
        <f>Q24/'État des Résultats'!Q14</f>
        <v>2.3291925465838507E-5</v>
      </c>
      <c r="S24" s="213"/>
      <c r="T24" s="814">
        <f>SUM(T13:T22)</f>
        <v>1</v>
      </c>
      <c r="U24" s="663">
        <f>T24/'État des Résultats'!T14</f>
        <v>2.2664601669625653E-5</v>
      </c>
      <c r="V24" s="213"/>
      <c r="W24" s="814">
        <f>SUM(W13:W22)</f>
        <v>1</v>
      </c>
      <c r="X24" s="663">
        <f>W24/'État des Résultats'!W14</f>
        <v>2.1862104774137129E-5</v>
      </c>
      <c r="Y24" s="213"/>
      <c r="Z24" s="814">
        <f>SUM(Z13:Z22)</f>
        <v>1</v>
      </c>
      <c r="AA24" s="663">
        <f>Z24/'État des Résultats'!Z14</f>
        <v>2.1577300679684971E-5</v>
      </c>
      <c r="AB24" s="213"/>
      <c r="AC24" s="814">
        <f>SUM(AC13:AC22)</f>
        <v>1</v>
      </c>
      <c r="AD24" s="663">
        <f>AC24/'État des Résultats'!AC14</f>
        <v>2.359742788036104E-5</v>
      </c>
      <c r="AE24" s="213"/>
      <c r="AF24" s="814">
        <f>SUM(AF13:AF22)</f>
        <v>1</v>
      </c>
      <c r="AG24" s="663">
        <f>AF24/'État des Résultats'!AF14</f>
        <v>2.3576101691585294E-5</v>
      </c>
      <c r="AH24" s="213"/>
      <c r="AI24" s="814">
        <f>SUM(AI13:AI22)</f>
        <v>1</v>
      </c>
      <c r="AJ24" s="663">
        <f>AI24/'État des Résultats'!AI14</f>
        <v>2.5364080235040474E-5</v>
      </c>
      <c r="AK24" s="213"/>
      <c r="AL24" s="814">
        <f>SUM(AL13:AL22)</f>
        <v>1</v>
      </c>
      <c r="AM24" s="663">
        <f>AL24/'État des Résultats'!AL14</f>
        <v>2.2823234052265207E-5</v>
      </c>
      <c r="AN24" s="213"/>
      <c r="AO24" s="213"/>
      <c r="AP24" s="814">
        <f>SUM(AP13:AP22)</f>
        <v>12</v>
      </c>
      <c r="AQ24" s="663">
        <f>AP24/'État des Résultats'!AP14</f>
        <v>2.408026755852843E-5</v>
      </c>
      <c r="AR24" s="213"/>
      <c r="AS24" s="213"/>
      <c r="AT24" s="213"/>
      <c r="AU24" s="251"/>
    </row>
    <row r="25" spans="2:69" ht="14" thickTop="1" x14ac:dyDescent="0.15">
      <c r="L25" s="315"/>
      <c r="O25" s="315"/>
      <c r="R25" s="315"/>
      <c r="U25" s="315"/>
      <c r="X25" s="315"/>
      <c r="AA25" s="315"/>
      <c r="AD25" s="315"/>
      <c r="AG25" s="315"/>
      <c r="AJ25" s="315"/>
      <c r="AM25" s="315"/>
      <c r="AQ25" s="315"/>
    </row>
    <row r="26" spans="2:69" x14ac:dyDescent="0.15">
      <c r="R26" s="315"/>
      <c r="U26" s="315"/>
      <c r="X26" s="315"/>
      <c r="AD26" s="315"/>
      <c r="AG26" s="315"/>
      <c r="AJ26" s="315"/>
      <c r="AM26" s="315"/>
    </row>
    <row r="27" spans="2:69" x14ac:dyDescent="0.15">
      <c r="U27" s="315"/>
      <c r="AG27" s="315"/>
      <c r="AJ27" s="315"/>
      <c r="AM27" s="315"/>
    </row>
    <row r="28" spans="2:69" x14ac:dyDescent="0.15">
      <c r="C28" s="161" t="s">
        <v>2</v>
      </c>
      <c r="E28" s="161" t="s">
        <v>2</v>
      </c>
      <c r="G28" s="161" t="s">
        <v>2</v>
      </c>
      <c r="H28" s="161" t="s">
        <v>2</v>
      </c>
      <c r="U28" s="315"/>
      <c r="AG28" s="315"/>
      <c r="AJ28" s="315"/>
      <c r="AM28" s="315"/>
    </row>
    <row r="29" spans="2:69" x14ac:dyDescent="0.15">
      <c r="H29" s="161" t="s">
        <v>2</v>
      </c>
      <c r="AG29" s="315"/>
      <c r="AJ29" s="315"/>
      <c r="AM29" s="315"/>
    </row>
    <row r="30" spans="2:69" x14ac:dyDescent="0.15">
      <c r="H30" s="161" t="s">
        <v>2</v>
      </c>
      <c r="AM30" s="315"/>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4"/>
    </row>
  </sheetData>
  <sheetProtection algorithmName="SHA-512" hashValue="pXQz8nhW8/H7hutKpiRfio78mvgYcMFHPIP5QThXh/RVo4V1niVG5uxNb/S85r8zBr+97ZGWuVfeAtoi9CcP7Q==" saltValue="/nPzreXCNYw41coDC3ShFA=="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indexed="46"/>
    <pageSetUpPr fitToPage="1"/>
  </sheetPr>
  <dimension ref="B1:BL48"/>
  <sheetViews>
    <sheetView zoomScale="160" zoomScaleNormal="16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27" t="s">
        <v>584</v>
      </c>
      <c r="E2" s="161" t="s">
        <v>2</v>
      </c>
      <c r="F2" s="161" t="s">
        <v>2</v>
      </c>
      <c r="AL2" s="161" t="s">
        <v>2</v>
      </c>
      <c r="AS2" s="1303" t="s">
        <v>532</v>
      </c>
      <c r="AT2" s="1304"/>
      <c r="BB2" s="1240" t="s">
        <v>42</v>
      </c>
      <c r="BC2" s="367"/>
      <c r="BD2" s="367"/>
      <c r="BE2" s="367"/>
      <c r="BF2" s="367"/>
      <c r="BG2" s="367"/>
      <c r="BH2" s="367"/>
      <c r="BI2" s="367"/>
      <c r="BJ2" s="367"/>
      <c r="BK2" s="367"/>
      <c r="BL2" s="1243" t="s">
        <v>43</v>
      </c>
    </row>
    <row r="3" spans="2:64" ht="20" customHeight="1" x14ac:dyDescent="0.2">
      <c r="C3" s="628" t="s">
        <v>530</v>
      </c>
      <c r="E3" s="161" t="s">
        <v>2</v>
      </c>
      <c r="AL3" s="161" t="s">
        <v>2</v>
      </c>
      <c r="AS3" s="1305"/>
      <c r="AT3" s="1306"/>
      <c r="BB3" s="1241"/>
      <c r="BC3" s="368"/>
      <c r="BD3" s="368"/>
      <c r="BE3" s="368"/>
      <c r="BF3" s="368"/>
      <c r="BG3" s="368"/>
      <c r="BH3" s="368"/>
      <c r="BI3" s="368"/>
      <c r="BJ3" s="368"/>
      <c r="BK3" s="368"/>
      <c r="BL3" s="1244"/>
    </row>
    <row r="4" spans="2:64" ht="20" customHeight="1" thickBot="1" x14ac:dyDescent="0.3">
      <c r="C4" s="629" t="s">
        <v>531</v>
      </c>
      <c r="AS4" s="1307"/>
      <c r="AT4" s="1308"/>
      <c r="BB4" s="1241"/>
      <c r="BC4" s="369" t="str">
        <f>'Formule pour le calcul D'!BM103</f>
        <v>Bénéfice annuel</v>
      </c>
      <c r="BD4" s="369" t="s">
        <v>44</v>
      </c>
      <c r="BE4" s="369" t="str">
        <f>'Formule pour le calcul D'!BO103</f>
        <v>Achalandage annuelle</v>
      </c>
      <c r="BF4" s="369" t="s">
        <v>45</v>
      </c>
      <c r="BG4" s="369" t="s">
        <v>46</v>
      </c>
      <c r="BH4" s="369" t="str">
        <f>'Formule pour le calcul D'!BR103</f>
        <v>Um/A</v>
      </c>
      <c r="BI4" s="369" t="s">
        <v>45</v>
      </c>
      <c r="BJ4" s="369" t="str">
        <f>'Formule pour le calcul D'!BT103</f>
        <v>BmO</v>
      </c>
      <c r="BK4" s="369" t="s">
        <v>49</v>
      </c>
      <c r="BL4" s="1244"/>
    </row>
    <row r="5" spans="2:64" ht="21" thickTop="1" thickBot="1" x14ac:dyDescent="0.3">
      <c r="C5" s="166"/>
      <c r="G5" s="161" t="s">
        <v>2</v>
      </c>
      <c r="BB5" s="1241"/>
      <c r="BC5" s="370" t="s">
        <v>2</v>
      </c>
      <c r="BD5" s="371"/>
      <c r="BE5" s="370"/>
      <c r="BF5" s="371"/>
      <c r="BG5" s="371"/>
      <c r="BH5" s="371"/>
      <c r="BI5" s="371"/>
      <c r="BJ5" s="371"/>
      <c r="BK5" s="371"/>
      <c r="BL5" s="1244"/>
    </row>
    <row r="6" spans="2:64" ht="27" thickTop="1" x14ac:dyDescent="0.3">
      <c r="C6" s="167" t="s">
        <v>134</v>
      </c>
      <c r="D6" s="161" t="s">
        <v>2</v>
      </c>
      <c r="E6" s="555" t="s">
        <v>135</v>
      </c>
      <c r="F6" s="169">
        <f>E14/$C$7/'Calendrier 2021'!D8</f>
        <v>1177.2043010752689</v>
      </c>
      <c r="G6" s="170" t="s">
        <v>2</v>
      </c>
      <c r="H6" s="555" t="str">
        <f>E6</f>
        <v>Rev. / place / jour</v>
      </c>
      <c r="I6" s="169">
        <f>H14/$C$7/'Calendrier 2021'!E8</f>
        <v>1263.2886904761906</v>
      </c>
      <c r="J6" s="170"/>
      <c r="K6" s="555" t="str">
        <f>H6</f>
        <v>Rev. / place / jour</v>
      </c>
      <c r="L6" s="169">
        <f>K14/$C$7/'Calendrier 2021'!F8</f>
        <v>1271.491935483871</v>
      </c>
      <c r="M6" s="170"/>
      <c r="N6" s="168" t="str">
        <f>K6</f>
        <v>Rev. / place / jour</v>
      </c>
      <c r="O6" s="169">
        <f>N14/$C$7/'Calendrier 2021'!G8</f>
        <v>1329.2083333333333</v>
      </c>
      <c r="P6" s="171"/>
      <c r="Q6" s="555" t="str">
        <f>N6</f>
        <v>Rev. / place / jour</v>
      </c>
      <c r="R6" s="169">
        <f>Q14/$C$7/'Calendrier 2021'!H8</f>
        <v>1384.9462365591398</v>
      </c>
      <c r="S6" s="170"/>
      <c r="T6" s="555" t="str">
        <f>Q6</f>
        <v>Rev. / place / jour</v>
      </c>
      <c r="U6" s="169">
        <f>T14/$C$7/'Calendrier 2021'!I8</f>
        <v>1470.7222222222224</v>
      </c>
      <c r="V6" s="170" t="s">
        <v>2</v>
      </c>
      <c r="W6" s="555" t="str">
        <f>T6</f>
        <v>Rev. / place / jour</v>
      </c>
      <c r="X6" s="169">
        <f>W14/$C$7/'Calendrier 2021'!J8</f>
        <v>1475.5241935483871</v>
      </c>
      <c r="Y6" s="170"/>
      <c r="Z6" s="555" t="str">
        <f>W6</f>
        <v>Rev. / place / jour</v>
      </c>
      <c r="AA6" s="169">
        <f>Z14/$C$7/'Calendrier 2021'!K8</f>
        <v>1495</v>
      </c>
      <c r="AB6" s="170"/>
      <c r="AC6" s="555" t="str">
        <f>Z6</f>
        <v>Rev. / place / jour</v>
      </c>
      <c r="AD6" s="169">
        <f>AC14/$C$7/'Calendrier 2021'!L8</f>
        <v>1412.5833333333333</v>
      </c>
      <c r="AE6" s="170"/>
      <c r="AF6" s="555" t="str">
        <f>AC6</f>
        <v>Rev. / place / jour</v>
      </c>
      <c r="AG6" s="169">
        <f>AF14/$C$7/'Calendrier 2021'!M8</f>
        <v>1368.252688172043</v>
      </c>
      <c r="AH6" s="170"/>
      <c r="AI6" s="555" t="str">
        <f>AF6</f>
        <v>Rev. / place / jour</v>
      </c>
      <c r="AJ6" s="169">
        <f>AI14/$C$7/'Calendrier 2021'!N8</f>
        <v>1314.1944444444446</v>
      </c>
      <c r="AK6" s="170"/>
      <c r="AL6" s="555" t="str">
        <f>AI6</f>
        <v>Rev. / place / jour</v>
      </c>
      <c r="AM6" s="169">
        <f>AL14/$C$7/'Calendrier 2021'!O8</f>
        <v>1413.3870967741937</v>
      </c>
      <c r="AN6" s="170"/>
      <c r="AO6" s="170"/>
      <c r="AP6" s="555" t="str">
        <f>AL6</f>
        <v>Rev. / place / jour</v>
      </c>
      <c r="AQ6" s="169">
        <f>+AP14/C7/'% Occupation'!P9</f>
        <v>1365.296803652968</v>
      </c>
      <c r="AR6" s="170"/>
      <c r="AS6" s="576" t="str">
        <f>+AP6</f>
        <v>Rev. / place / jour</v>
      </c>
      <c r="AT6" s="172">
        <f>AS14/C7/'% Occupation'!P8</f>
        <v>5.4794520547945207E-5</v>
      </c>
      <c r="AU6" s="170"/>
      <c r="AV6" s="170"/>
      <c r="AW6" s="170"/>
      <c r="AY6" s="1301" t="s">
        <v>583</v>
      </c>
      <c r="AZ6" s="1301"/>
      <c r="BB6" s="1241"/>
      <c r="BC6" s="630" t="str">
        <f>'Formule pour le calcul D'!BM105</f>
        <v xml:space="preserve">B </v>
      </c>
      <c r="BD6" s="373"/>
      <c r="BE6" s="372" t="str">
        <f>'Formule pour le calcul D'!BO105</f>
        <v>A</v>
      </c>
      <c r="BF6" s="373"/>
      <c r="BG6" s="373"/>
      <c r="BH6" s="372" t="str">
        <f>BH4</f>
        <v>Um/A</v>
      </c>
      <c r="BI6" s="373"/>
      <c r="BJ6" s="372" t="str">
        <f>BJ4</f>
        <v>BmO</v>
      </c>
      <c r="BK6" s="373"/>
      <c r="BL6" s="1244"/>
    </row>
    <row r="7" spans="2:64" ht="21" x14ac:dyDescent="0.25">
      <c r="C7" s="296">
        <f>'Calendrier 2021'!D7</f>
        <v>1</v>
      </c>
      <c r="D7" s="161" t="s">
        <v>2</v>
      </c>
      <c r="E7" s="295">
        <f>E14/$AP$14</f>
        <v>7.3230769230769238E-2</v>
      </c>
      <c r="F7" s="177"/>
      <c r="G7" s="175" t="s">
        <v>2</v>
      </c>
      <c r="H7" s="295">
        <f>H14/$AP$14</f>
        <v>7.0980769230769236E-2</v>
      </c>
      <c r="I7" s="177"/>
      <c r="J7" s="175"/>
      <c r="K7" s="295">
        <f>K14/$AP$14</f>
        <v>7.9096153846153844E-2</v>
      </c>
      <c r="L7" s="177"/>
      <c r="M7" s="175"/>
      <c r="N7" s="173">
        <f>N14/$AP$14</f>
        <v>8.0019230769230773E-2</v>
      </c>
      <c r="O7" s="174"/>
      <c r="P7" s="176"/>
      <c r="Q7" s="295">
        <f>Q14/$AP$14</f>
        <v>8.6153846153846164E-2</v>
      </c>
      <c r="R7" s="177"/>
      <c r="S7" s="175"/>
      <c r="T7" s="295">
        <f>T14/$AP$14</f>
        <v>8.8538461538461552E-2</v>
      </c>
      <c r="U7" s="177"/>
      <c r="V7" s="175"/>
      <c r="W7" s="295">
        <f>W14/$AP$14</f>
        <v>9.1788461538461541E-2</v>
      </c>
      <c r="X7" s="177"/>
      <c r="Y7" s="175"/>
      <c r="Z7" s="295">
        <f>Z14/$AP$14</f>
        <v>9.2999999999999999E-2</v>
      </c>
      <c r="AA7" s="177"/>
      <c r="AB7" s="175"/>
      <c r="AC7" s="295">
        <f>AC14/$AP$14</f>
        <v>8.5038461538461535E-2</v>
      </c>
      <c r="AD7" s="177"/>
      <c r="AE7" s="175"/>
      <c r="AF7" s="295">
        <f>AF14/$AP$14</f>
        <v>8.5115384615384621E-2</v>
      </c>
      <c r="AG7" s="177"/>
      <c r="AH7" s="175"/>
      <c r="AI7" s="295">
        <f>AI14/$AP$14</f>
        <v>7.9115384615384629E-2</v>
      </c>
      <c r="AJ7" s="177"/>
      <c r="AK7" s="175"/>
      <c r="AL7" s="295">
        <f>AL14/$AP$14</f>
        <v>8.7923076923076923E-2</v>
      </c>
      <c r="AM7" s="561"/>
      <c r="AN7" s="170"/>
      <c r="AO7" s="170"/>
      <c r="AP7" s="295">
        <f>+E7+H7+K7+N7+Q7+T7+W7+Z7+AC7+AF7+AI7+AL7</f>
        <v>0.99999999999999989</v>
      </c>
      <c r="AQ7" s="571" t="s">
        <v>136</v>
      </c>
      <c r="AR7" s="170"/>
      <c r="AS7" s="179">
        <f>AP7</f>
        <v>0.99999999999999989</v>
      </c>
      <c r="AT7" s="577" t="str">
        <f>+AQ7</f>
        <v>365 jours</v>
      </c>
      <c r="AU7" s="170"/>
      <c r="AV7" s="170"/>
      <c r="AW7" s="170"/>
      <c r="AY7" s="1301"/>
      <c r="AZ7" s="1301"/>
      <c r="BB7" s="1241"/>
      <c r="BC7" s="631">
        <f>AP45</f>
        <v>150053.97990000003</v>
      </c>
      <c r="BD7" s="369" t="s">
        <v>44</v>
      </c>
      <c r="BE7" s="632">
        <f>'Formule pour le calcul D'!G106</f>
        <v>52000</v>
      </c>
      <c r="BF7" s="369" t="s">
        <v>45</v>
      </c>
      <c r="BG7" s="369" t="s">
        <v>46</v>
      </c>
      <c r="BH7" s="633">
        <f>'Formule pour le calcul D'!J106</f>
        <v>2</v>
      </c>
      <c r="BI7" s="369" t="s">
        <v>45</v>
      </c>
      <c r="BJ7" s="634">
        <f>BC7/BE7/BH7</f>
        <v>1.4428267298076927</v>
      </c>
      <c r="BK7" s="369" t="s">
        <v>49</v>
      </c>
      <c r="BL7" s="1244"/>
    </row>
    <row r="8" spans="2:64" ht="17" thickBot="1" x14ac:dyDescent="0.25">
      <c r="C8" s="180" t="s">
        <v>137</v>
      </c>
      <c r="D8" s="161" t="s">
        <v>2</v>
      </c>
      <c r="E8" s="568" t="str">
        <f>'Calendrier 2021'!D5</f>
        <v>Pér.01</v>
      </c>
      <c r="F8" s="569" t="s">
        <v>138</v>
      </c>
      <c r="G8" s="182" t="s">
        <v>2</v>
      </c>
      <c r="H8" s="568" t="str">
        <f>'Calendrier 2021'!E5</f>
        <v>Pér.02</v>
      </c>
      <c r="I8" s="570" t="str">
        <f>+F8</f>
        <v>(%)</v>
      </c>
      <c r="J8" s="182"/>
      <c r="K8" s="568" t="str">
        <f>'Calendrier 2021'!F5</f>
        <v>Pér.03</v>
      </c>
      <c r="L8" s="570" t="str">
        <f>+I8</f>
        <v>(%)</v>
      </c>
      <c r="M8" s="182"/>
      <c r="N8" s="181" t="str">
        <f>'Calendrier 2021'!G5</f>
        <v>Pér.04</v>
      </c>
      <c r="O8" s="183" t="str">
        <f>+L8</f>
        <v>(%)</v>
      </c>
      <c r="P8" s="184"/>
      <c r="Q8" s="568" t="str">
        <f>'Calendrier 2021'!H5</f>
        <v>Pér.05</v>
      </c>
      <c r="R8" s="570" t="str">
        <f>+O8</f>
        <v>(%)</v>
      </c>
      <c r="S8" s="182"/>
      <c r="T8" s="568" t="str">
        <f>'Calendrier 2021'!I5</f>
        <v>Pér.06</v>
      </c>
      <c r="U8" s="570" t="str">
        <f>+R8</f>
        <v>(%)</v>
      </c>
      <c r="V8" s="182"/>
      <c r="W8" s="568" t="str">
        <f>'Calendrier 2021'!J5</f>
        <v>Pér.07</v>
      </c>
      <c r="X8" s="570" t="str">
        <f>+U8</f>
        <v>(%)</v>
      </c>
      <c r="Y8" s="182"/>
      <c r="Z8" s="568" t="str">
        <f>'Calendrier 2021'!K5</f>
        <v>Pér.08</v>
      </c>
      <c r="AA8" s="570" t="str">
        <f>+X8</f>
        <v>(%)</v>
      </c>
      <c r="AB8" s="182"/>
      <c r="AC8" s="568" t="str">
        <f>'Calendrier 2021'!L5</f>
        <v>Pér.09</v>
      </c>
      <c r="AD8" s="570" t="str">
        <f>+AA8</f>
        <v>(%)</v>
      </c>
      <c r="AE8" s="182"/>
      <c r="AF8" s="568" t="str">
        <f>'Calendrier 2021'!M5</f>
        <v>Pér.10</v>
      </c>
      <c r="AG8" s="570" t="str">
        <f>+AD8</f>
        <v>(%)</v>
      </c>
      <c r="AH8" s="182"/>
      <c r="AI8" s="568" t="str">
        <f>'Calendrier 2021'!N5</f>
        <v>Pér.11</v>
      </c>
      <c r="AJ8" s="570" t="str">
        <f>+AG8</f>
        <v>(%)</v>
      </c>
      <c r="AK8" s="182"/>
      <c r="AL8" s="568" t="str">
        <f>'Calendrier 2021'!O5</f>
        <v>Pér.12</v>
      </c>
      <c r="AM8" s="570" t="str">
        <f>+AJ8</f>
        <v>(%)</v>
      </c>
      <c r="AN8" s="182"/>
      <c r="AO8" s="182"/>
      <c r="AP8" s="572" t="s">
        <v>10</v>
      </c>
      <c r="AQ8" s="573" t="str">
        <f>+AM8</f>
        <v>(%)</v>
      </c>
      <c r="AS8" s="179" t="str">
        <f>+AP8</f>
        <v>Total</v>
      </c>
      <c r="AT8" s="185" t="str">
        <f>+AQ8</f>
        <v>(%)</v>
      </c>
      <c r="AY8" s="1301"/>
      <c r="AZ8" s="1301"/>
      <c r="BB8" s="1242"/>
      <c r="BC8" s="374"/>
      <c r="BD8" s="374"/>
      <c r="BE8" s="374"/>
      <c r="BF8" s="374"/>
      <c r="BG8" s="374"/>
      <c r="BH8" s="374"/>
      <c r="BI8" s="374"/>
      <c r="BJ8" s="374"/>
      <c r="BK8" s="374"/>
      <c r="BL8" s="1245"/>
    </row>
    <row r="9" spans="2:64" ht="15" thickTop="1" thickBot="1" x14ac:dyDescent="0.2">
      <c r="C9" s="186">
        <f>+AP14/C7</f>
        <v>498333.33333333331</v>
      </c>
      <c r="D9" s="161" t="s">
        <v>2</v>
      </c>
      <c r="E9" s="558" t="str">
        <f>'Calendrier 2021'!D6</f>
        <v>Janvier 2021</v>
      </c>
      <c r="F9" s="559" t="s">
        <v>2</v>
      </c>
      <c r="G9" s="292" t="s">
        <v>2</v>
      </c>
      <c r="H9" s="558" t="str">
        <f>'Calendrier 2021'!E6</f>
        <v>Février 2021</v>
      </c>
      <c r="I9" s="559" t="str">
        <f>+F9</f>
        <v xml:space="preserve"> </v>
      </c>
      <c r="J9" s="293"/>
      <c r="K9" s="558" t="str">
        <f>'Calendrier 2021'!F6</f>
        <v>Mars 2021</v>
      </c>
      <c r="L9" s="559" t="str">
        <f>+I9</f>
        <v xml:space="preserve"> </v>
      </c>
      <c r="M9" s="292"/>
      <c r="N9" s="290" t="str">
        <f>'Calendrier 2021'!G6</f>
        <v>Avril 2021</v>
      </c>
      <c r="O9" s="291" t="str">
        <f>+L9</f>
        <v xml:space="preserve"> </v>
      </c>
      <c r="P9" s="294"/>
      <c r="Q9" s="558" t="str">
        <f>'Calendrier 2021'!H6</f>
        <v>Mai 2021</v>
      </c>
      <c r="R9" s="559" t="str">
        <f>+O9</f>
        <v xml:space="preserve"> </v>
      </c>
      <c r="S9" s="292"/>
      <c r="T9" s="558" t="str">
        <f>'Calendrier 2021'!I6</f>
        <v>Juin 2021</v>
      </c>
      <c r="U9" s="559" t="str">
        <f>+R9</f>
        <v xml:space="preserve"> </v>
      </c>
      <c r="V9" s="292"/>
      <c r="W9" s="558" t="str">
        <f>'Calendrier 2021'!J6</f>
        <v>Juillet 2021</v>
      </c>
      <c r="X9" s="559" t="str">
        <f>+U9</f>
        <v xml:space="preserve"> </v>
      </c>
      <c r="Y9" s="292"/>
      <c r="Z9" s="558" t="str">
        <f>'Calendrier 2021'!K6</f>
        <v>Août 2021</v>
      </c>
      <c r="AA9" s="559" t="str">
        <f>+X9</f>
        <v xml:space="preserve"> </v>
      </c>
      <c r="AB9" s="292"/>
      <c r="AC9" s="558" t="str">
        <f>'Calendrier 2021'!L6</f>
        <v>Septembre 2021</v>
      </c>
      <c r="AD9" s="559" t="str">
        <f>+AA9</f>
        <v xml:space="preserve"> </v>
      </c>
      <c r="AE9" s="292"/>
      <c r="AF9" s="558" t="str">
        <f>'Calendrier 2021'!M6</f>
        <v>Octobre 2021</v>
      </c>
      <c r="AG9" s="559" t="str">
        <f>+AD9</f>
        <v xml:space="preserve"> </v>
      </c>
      <c r="AH9" s="292"/>
      <c r="AI9" s="558" t="str">
        <f>'Calendrier 2021'!N6</f>
        <v>Novembre 2021</v>
      </c>
      <c r="AJ9" s="559" t="str">
        <f>+AG9</f>
        <v xml:space="preserve"> </v>
      </c>
      <c r="AK9" s="292"/>
      <c r="AL9" s="558" t="str">
        <f>'Calendrier 2021'!O6</f>
        <v>Décembre 2021</v>
      </c>
      <c r="AM9" s="559" t="str">
        <f>+AJ9</f>
        <v xml:space="preserve"> </v>
      </c>
      <c r="AN9" s="187"/>
      <c r="AO9" s="187"/>
      <c r="AP9" s="574" t="s">
        <v>30</v>
      </c>
      <c r="AQ9" s="575" t="str">
        <f>+AM9</f>
        <v xml:space="preserve"> </v>
      </c>
      <c r="AS9" s="188" t="str">
        <f>+AP9</f>
        <v>Année</v>
      </c>
      <c r="AT9" s="578" t="s">
        <v>2</v>
      </c>
      <c r="AY9" s="1302"/>
      <c r="AZ9" s="1302"/>
    </row>
    <row r="10" spans="2:64" ht="17" thickTop="1" x14ac:dyDescent="0.2">
      <c r="C10" s="189" t="s">
        <v>139</v>
      </c>
      <c r="D10" s="161" t="s">
        <v>2</v>
      </c>
      <c r="E10" s="190"/>
      <c r="F10" s="191"/>
      <c r="G10" s="161" t="s">
        <v>2</v>
      </c>
      <c r="H10" s="190"/>
      <c r="I10" s="191"/>
      <c r="K10" s="190"/>
      <c r="L10" s="191"/>
      <c r="N10" s="190"/>
      <c r="O10" s="191"/>
      <c r="P10" s="192"/>
      <c r="Q10" s="190"/>
      <c r="R10" s="191"/>
      <c r="T10" s="190"/>
      <c r="U10" s="191"/>
      <c r="W10" s="190"/>
      <c r="X10" s="191"/>
      <c r="Z10" s="190"/>
      <c r="AA10" s="191"/>
      <c r="AC10" s="190"/>
      <c r="AD10" s="191"/>
      <c r="AF10" s="190"/>
      <c r="AG10" s="191"/>
      <c r="AI10" s="190"/>
      <c r="AJ10" s="191"/>
      <c r="AL10" s="190"/>
      <c r="AM10" s="191"/>
      <c r="AP10" s="193"/>
      <c r="AQ10" s="194"/>
      <c r="AS10" s="195"/>
      <c r="AT10" s="196"/>
      <c r="AX10" s="197" t="s">
        <v>140</v>
      </c>
      <c r="AY10" s="198">
        <v>349216</v>
      </c>
      <c r="AZ10" s="199">
        <f>+AY10/AY22</f>
        <v>7.1652570715713196E-2</v>
      </c>
    </row>
    <row r="11" spans="2:64" ht="16" x14ac:dyDescent="0.2">
      <c r="C11" s="200" t="s">
        <v>174</v>
      </c>
      <c r="E11" s="201">
        <f>E14*$AQ$11</f>
        <v>18341.866666666669</v>
      </c>
      <c r="F11" s="287">
        <f>+E11/E14</f>
        <v>0.50260869565217392</v>
      </c>
      <c r="G11" s="202" t="s">
        <v>2</v>
      </c>
      <c r="H11" s="201">
        <f>H14*$AQ$11</f>
        <v>17778.316666666669</v>
      </c>
      <c r="I11" s="287">
        <f>+H11/H14</f>
        <v>0.50260869565217392</v>
      </c>
      <c r="K11" s="201">
        <f>K14*$AQ$11</f>
        <v>19810.95</v>
      </c>
      <c r="L11" s="287">
        <f>+K11/K14</f>
        <v>0.50260869565217392</v>
      </c>
      <c r="N11" s="201">
        <f>N14*$AQ$11</f>
        <v>20042.150000000001</v>
      </c>
      <c r="O11" s="287">
        <f>+N11/N14</f>
        <v>0.50260869565217392</v>
      </c>
      <c r="P11" s="192"/>
      <c r="Q11" s="201">
        <f>Q14*$AQ$11</f>
        <v>21578.666666666668</v>
      </c>
      <c r="R11" s="287">
        <f>+Q11/Q14</f>
        <v>0.50260869565217392</v>
      </c>
      <c r="T11" s="201">
        <f>T14*$AQ$11</f>
        <v>22175.933333333334</v>
      </c>
      <c r="U11" s="287">
        <f>+T11/T14</f>
        <v>0.50260869565217392</v>
      </c>
      <c r="W11" s="201">
        <f>W14*$AQ$11</f>
        <v>22989.95</v>
      </c>
      <c r="X11" s="287">
        <f>+W11/W14</f>
        <v>0.50260869565217392</v>
      </c>
      <c r="Z11" s="201">
        <f>Z14*$AQ$11</f>
        <v>23293.4</v>
      </c>
      <c r="AA11" s="287">
        <f>+Z11/Z14</f>
        <v>0.50260869565217392</v>
      </c>
      <c r="AC11" s="201">
        <f>AC14*$AQ$11</f>
        <v>21299.3</v>
      </c>
      <c r="AD11" s="287">
        <f>+AC11/AC14</f>
        <v>0.50260869565217392</v>
      </c>
      <c r="AF11" s="201">
        <f>AF14*$AQ$11</f>
        <v>21318.566666666669</v>
      </c>
      <c r="AG11" s="287">
        <f>+AF11/AF14</f>
        <v>0.50260869565217392</v>
      </c>
      <c r="AI11" s="201">
        <f>AI14*$AQ$11</f>
        <v>19815.766666666666</v>
      </c>
      <c r="AJ11" s="287">
        <f>+AI11/AI14</f>
        <v>0.50260869565217392</v>
      </c>
      <c r="AK11" s="161" t="s">
        <v>141</v>
      </c>
      <c r="AL11" s="201">
        <f>AL14*$AQ$11</f>
        <v>22021.8</v>
      </c>
      <c r="AM11" s="287">
        <f>+AL11/AL14</f>
        <v>0.50260869565217392</v>
      </c>
      <c r="AP11" s="203">
        <f>'Formule pour le calcul D'!Q114</f>
        <v>250466.66666666669</v>
      </c>
      <c r="AQ11" s="194">
        <f>+AP11/AP14</f>
        <v>0.50260869565217392</v>
      </c>
      <c r="AS11" s="204">
        <f>+AT11*AV14</f>
        <v>0.01</v>
      </c>
      <c r="AT11" s="635">
        <v>0.01</v>
      </c>
      <c r="AW11" s="161" t="s">
        <v>2</v>
      </c>
      <c r="AX11" s="197" t="s">
        <v>142</v>
      </c>
      <c r="AY11" s="206">
        <v>336093</v>
      </c>
      <c r="AZ11" s="207">
        <f>+AY11/AY22</f>
        <v>6.8959977347991475E-2</v>
      </c>
    </row>
    <row r="12" spans="2:64" ht="16" x14ac:dyDescent="0.2">
      <c r="C12" s="200" t="s">
        <v>175</v>
      </c>
      <c r="E12" s="201">
        <f>+E14*$AQ$12</f>
        <v>18151.466666666671</v>
      </c>
      <c r="F12" s="287">
        <f>+E12/E14</f>
        <v>0.49739130434782619</v>
      </c>
      <c r="H12" s="201">
        <f>+H14*$AQ$12</f>
        <v>17593.76666666667</v>
      </c>
      <c r="I12" s="287">
        <f>+H12/H14</f>
        <v>0.49739130434782614</v>
      </c>
      <c r="K12" s="201">
        <f>+K14*$AQ$12</f>
        <v>19605.300000000003</v>
      </c>
      <c r="L12" s="287">
        <f>+K12/K14</f>
        <v>0.49739130434782614</v>
      </c>
      <c r="N12" s="201">
        <f>+N14*$AQ$12</f>
        <v>19834.100000000002</v>
      </c>
      <c r="O12" s="287">
        <f>+N12/N14</f>
        <v>0.49739130434782614</v>
      </c>
      <c r="P12" s="192"/>
      <c r="Q12" s="201">
        <f>+Q14*$AQ$12</f>
        <v>21354.666666666672</v>
      </c>
      <c r="R12" s="287">
        <f>+Q12/Q14</f>
        <v>0.49739130434782619</v>
      </c>
      <c r="T12" s="201">
        <f>+T14*$AQ$12</f>
        <v>21945.733333333337</v>
      </c>
      <c r="U12" s="287">
        <f>+T12/T14</f>
        <v>0.49739130434782614</v>
      </c>
      <c r="W12" s="201">
        <f>+W14*$AQ$12</f>
        <v>22751.300000000003</v>
      </c>
      <c r="X12" s="287">
        <f>+W12/W14</f>
        <v>0.49739130434782614</v>
      </c>
      <c r="Z12" s="201">
        <f>+Z14*$AQ$12</f>
        <v>23051.600000000002</v>
      </c>
      <c r="AA12" s="287">
        <f>+Z12/Z14</f>
        <v>0.49739130434782614</v>
      </c>
      <c r="AC12" s="201">
        <f>+AC14*$AQ$12</f>
        <v>21078.2</v>
      </c>
      <c r="AD12" s="287">
        <f>+AC12/AC14</f>
        <v>0.49739130434782608</v>
      </c>
      <c r="AF12" s="201">
        <f>+AF14*$AQ$12</f>
        <v>21097.26666666667</v>
      </c>
      <c r="AG12" s="287">
        <f>+AF12/AF14</f>
        <v>0.49739130434782614</v>
      </c>
      <c r="AI12" s="201">
        <f>+AI14*$AQ$12</f>
        <v>19610.066666666669</v>
      </c>
      <c r="AJ12" s="287">
        <f>+AI12/AI14</f>
        <v>0.49739130434782614</v>
      </c>
      <c r="AL12" s="201">
        <f>+AL14*$AQ$12</f>
        <v>21793.200000000001</v>
      </c>
      <c r="AM12" s="287">
        <f>+AL12/AL14</f>
        <v>0.49739130434782608</v>
      </c>
      <c r="AP12" s="203">
        <f>'Formule pour le calcul D'!AC114</f>
        <v>247866.66666666669</v>
      </c>
      <c r="AQ12" s="194">
        <f>+AP12/AP14</f>
        <v>0.49739130434782614</v>
      </c>
      <c r="AS12" s="204">
        <f>+AT12*AV14</f>
        <v>0.01</v>
      </c>
      <c r="AT12" s="635">
        <v>0.01</v>
      </c>
      <c r="AX12" s="197" t="s">
        <v>143</v>
      </c>
      <c r="AY12" s="206">
        <v>374791</v>
      </c>
      <c r="AZ12" s="207">
        <f>+AY12/AY22</f>
        <v>7.6900080841407217E-2</v>
      </c>
    </row>
    <row r="13" spans="2:64" ht="17" thickBot="1" x14ac:dyDescent="0.25">
      <c r="C13" s="200" t="s">
        <v>176</v>
      </c>
      <c r="E13" s="201">
        <f>+E14*$AQ$13</f>
        <v>0</v>
      </c>
      <c r="F13" s="287">
        <f>+E13/E14</f>
        <v>0</v>
      </c>
      <c r="H13" s="201">
        <f>+H14*$AQ$13</f>
        <v>0</v>
      </c>
      <c r="I13" s="287">
        <f>+H13/H14</f>
        <v>0</v>
      </c>
      <c r="K13" s="201">
        <f>+K14*$AQ$13</f>
        <v>0</v>
      </c>
      <c r="L13" s="287">
        <f>+K13/K14</f>
        <v>0</v>
      </c>
      <c r="N13" s="201">
        <f>+N14*$AQ$13</f>
        <v>0</v>
      </c>
      <c r="O13" s="287">
        <f>+N13/N14</f>
        <v>0</v>
      </c>
      <c r="P13" s="192"/>
      <c r="Q13" s="201">
        <f>+Q14*$AQ$13</f>
        <v>0</v>
      </c>
      <c r="R13" s="287">
        <f>+Q13/Q14</f>
        <v>0</v>
      </c>
      <c r="T13" s="201">
        <f>+T14*$AQ$13</f>
        <v>0</v>
      </c>
      <c r="U13" s="287">
        <f>+T13/T14</f>
        <v>0</v>
      </c>
      <c r="W13" s="201">
        <f>+W14*$AQ$13</f>
        <v>0</v>
      </c>
      <c r="X13" s="287">
        <f>+W13/W14</f>
        <v>0</v>
      </c>
      <c r="Z13" s="201">
        <f>+Z14*$AQ$13</f>
        <v>0</v>
      </c>
      <c r="AA13" s="287">
        <f>+Z13/Z14</f>
        <v>0</v>
      </c>
      <c r="AC13" s="201">
        <f>+AC14*$AQ$13</f>
        <v>0</v>
      </c>
      <c r="AD13" s="287">
        <f>+AC13/AC14</f>
        <v>0</v>
      </c>
      <c r="AF13" s="201">
        <f>+AF14*$AQ$13</f>
        <v>0</v>
      </c>
      <c r="AG13" s="287">
        <f>+AF13/AF14</f>
        <v>0</v>
      </c>
      <c r="AI13" s="201">
        <f>+AI14*$AQ$13</f>
        <v>0</v>
      </c>
      <c r="AJ13" s="287">
        <f>+AI13/AI14</f>
        <v>0</v>
      </c>
      <c r="AL13" s="201">
        <f>+AL14*$AQ$13</f>
        <v>0</v>
      </c>
      <c r="AM13" s="287">
        <f>+AL13/AL14</f>
        <v>0</v>
      </c>
      <c r="AP13" s="203">
        <f>'Formule pour le calcul D'!AO114</f>
        <v>0</v>
      </c>
      <c r="AQ13" s="194">
        <f>+AP13/AP14</f>
        <v>0</v>
      </c>
      <c r="AS13" s="204">
        <f>+AT13*AV14</f>
        <v>0</v>
      </c>
      <c r="AT13" s="635">
        <v>0</v>
      </c>
      <c r="AV13" s="209"/>
      <c r="AX13" s="197" t="s">
        <v>144</v>
      </c>
      <c r="AY13" s="206">
        <v>390264</v>
      </c>
      <c r="AZ13" s="207">
        <f>+AY13/AY22</f>
        <v>8.0074850115106677E-2</v>
      </c>
    </row>
    <row r="14" spans="2:64" ht="18" thickTop="1" thickBot="1" x14ac:dyDescent="0.25">
      <c r="C14" s="543" t="s">
        <v>145</v>
      </c>
      <c r="D14" s="210"/>
      <c r="E14" s="544">
        <f>'Formule pour le calcul D'!E10</f>
        <v>36493.333333333336</v>
      </c>
      <c r="F14" s="545">
        <f>SUM(F11:F13)</f>
        <v>1</v>
      </c>
      <c r="G14" s="212"/>
      <c r="H14" s="544">
        <f>'Formule pour le calcul D'!E18</f>
        <v>35372.083333333336</v>
      </c>
      <c r="I14" s="545">
        <f>SUM(I11:I13)</f>
        <v>1</v>
      </c>
      <c r="J14" s="210"/>
      <c r="K14" s="544">
        <f>'Formule pour le calcul D'!E26</f>
        <v>39416.25</v>
      </c>
      <c r="L14" s="545">
        <f>SUM(L11:L13)</f>
        <v>1</v>
      </c>
      <c r="M14" s="210"/>
      <c r="N14" s="544">
        <f>'Formule pour le calcul D'!E34</f>
        <v>39876.25</v>
      </c>
      <c r="O14" s="545">
        <f>SUM(O11:O13)</f>
        <v>1</v>
      </c>
      <c r="P14" s="212"/>
      <c r="Q14" s="544">
        <f>'Formule pour le calcul D'!E42</f>
        <v>42933.333333333336</v>
      </c>
      <c r="R14" s="545">
        <f>SUM(R11:R13)</f>
        <v>1</v>
      </c>
      <c r="S14" s="210"/>
      <c r="T14" s="544">
        <f>'Formule pour le calcul D'!E50</f>
        <v>44121.666666666672</v>
      </c>
      <c r="U14" s="545">
        <f>SUM(U11:U13)</f>
        <v>1</v>
      </c>
      <c r="V14" s="213"/>
      <c r="W14" s="544">
        <f>'Formule pour le calcul D'!E58</f>
        <v>45741.25</v>
      </c>
      <c r="X14" s="545">
        <f>SUM(X11:X13)</f>
        <v>1</v>
      </c>
      <c r="Y14" s="213"/>
      <c r="Z14" s="544">
        <f>'Formule pour le calcul D'!E66</f>
        <v>46345</v>
      </c>
      <c r="AA14" s="545">
        <f>SUM(AA11:AA13)</f>
        <v>1</v>
      </c>
      <c r="AB14" s="213"/>
      <c r="AC14" s="544">
        <f>'Formule pour le calcul D'!E74</f>
        <v>42377.5</v>
      </c>
      <c r="AD14" s="545">
        <f>SUM(AD11:AD13)</f>
        <v>1</v>
      </c>
      <c r="AE14" s="213"/>
      <c r="AF14" s="544">
        <f>'Formule pour le calcul D'!E82</f>
        <v>42415.833333333336</v>
      </c>
      <c r="AG14" s="545">
        <f>SUM(AG11:AG13)</f>
        <v>1</v>
      </c>
      <c r="AH14" s="213"/>
      <c r="AI14" s="544">
        <f>'Formule pour le calcul D'!E90</f>
        <v>39425.833333333336</v>
      </c>
      <c r="AJ14" s="545">
        <f>SUM(AJ11:AJ13)</f>
        <v>1</v>
      </c>
      <c r="AK14" s="213"/>
      <c r="AL14" s="544">
        <f>'Formule pour le calcul D'!E98</f>
        <v>43815</v>
      </c>
      <c r="AM14" s="545">
        <f>SUM(AM11:AM13)</f>
        <v>1</v>
      </c>
      <c r="AN14" s="213"/>
      <c r="AO14" s="213"/>
      <c r="AP14" s="546">
        <f t="shared" ref="AP14" si="0">+$AL14+$AI14+$AF14+$AC14+$Z14+$W14+$T14+$Q14+$N14+$K14+$H14+$E14</f>
        <v>498333.33333333331</v>
      </c>
      <c r="AQ14" s="545">
        <f>SUM(AQ11:AQ13)</f>
        <v>1</v>
      </c>
      <c r="AR14" s="210"/>
      <c r="AS14" s="547">
        <f>SUM(AS11:AS13)</f>
        <v>0.02</v>
      </c>
      <c r="AT14" s="548">
        <f>SUM(AT11:AT13)</f>
        <v>0.02</v>
      </c>
      <c r="AU14" s="210"/>
      <c r="AV14" s="636">
        <v>1</v>
      </c>
      <c r="AW14" s="210"/>
      <c r="AX14" s="197" t="s">
        <v>146</v>
      </c>
      <c r="AY14" s="206">
        <v>425568</v>
      </c>
      <c r="AZ14" s="207">
        <f>+AY14/AY22</f>
        <v>8.7318568491548579E-2</v>
      </c>
    </row>
    <row r="15" spans="2:64" ht="17" thickTop="1" x14ac:dyDescent="0.2">
      <c r="C15" s="200"/>
      <c r="E15" s="218"/>
      <c r="F15" s="191"/>
      <c r="H15" s="218"/>
      <c r="I15" s="191"/>
      <c r="K15" s="218"/>
      <c r="L15" s="191"/>
      <c r="N15" s="218"/>
      <c r="O15" s="191"/>
      <c r="P15" s="192"/>
      <c r="Q15" s="218"/>
      <c r="R15" s="191"/>
      <c r="T15" s="218"/>
      <c r="U15" s="191"/>
      <c r="W15" s="218"/>
      <c r="X15" s="191"/>
      <c r="Z15" s="218"/>
      <c r="AA15" s="191"/>
      <c r="AC15" s="218"/>
      <c r="AD15" s="191"/>
      <c r="AF15" s="218"/>
      <c r="AG15" s="191"/>
      <c r="AI15" s="218"/>
      <c r="AJ15" s="191"/>
      <c r="AL15" s="218"/>
      <c r="AM15" s="191"/>
      <c r="AP15" s="219"/>
      <c r="AQ15" s="194"/>
      <c r="AS15" s="220"/>
      <c r="AT15" s="221"/>
      <c r="AX15" s="197" t="s">
        <v>147</v>
      </c>
      <c r="AY15" s="206">
        <v>432153</v>
      </c>
      <c r="AZ15" s="207">
        <f>+AY15/AY22</f>
        <v>8.8669686934469222E-2</v>
      </c>
    </row>
    <row r="16" spans="2:64" ht="16" x14ac:dyDescent="0.2">
      <c r="B16" s="209"/>
      <c r="C16" s="222" t="s">
        <v>189</v>
      </c>
      <c r="D16" s="223"/>
      <c r="E16" s="224">
        <f>'Coût marchandises vendues'!D14</f>
        <v>11065.413333333334</v>
      </c>
      <c r="F16" s="225">
        <f>+E16/E14</f>
        <v>0.30321739130434783</v>
      </c>
      <c r="G16" s="226"/>
      <c r="H16" s="224">
        <f>'Coût marchandises vendues'!G14</f>
        <v>10725.430833333334</v>
      </c>
      <c r="I16" s="225">
        <f>H$16/H$14</f>
        <v>0.30321739130434783</v>
      </c>
      <c r="J16" s="226"/>
      <c r="K16" s="224">
        <f>'Coût marchandises vendues'!J14</f>
        <v>11951.692500000001</v>
      </c>
      <c r="L16" s="225">
        <f>K$16/K$14</f>
        <v>0.30321739130434783</v>
      </c>
      <c r="M16" s="226"/>
      <c r="N16" s="224">
        <f>'Coût marchandises vendues'!M14</f>
        <v>12091.172500000001</v>
      </c>
      <c r="O16" s="225">
        <f>N$16/N$14</f>
        <v>0.30321739130434783</v>
      </c>
      <c r="P16" s="226"/>
      <c r="Q16" s="224">
        <f>'Coût marchandises vendues'!P14</f>
        <v>13018.133333333333</v>
      </c>
      <c r="R16" s="225">
        <f>Q$16/Q$14</f>
        <v>0.30321739130434783</v>
      </c>
      <c r="S16" s="226"/>
      <c r="T16" s="224">
        <f>'Coût marchandises vendues'!S14</f>
        <v>13378.456666666665</v>
      </c>
      <c r="U16" s="225">
        <f>T$16/T$14</f>
        <v>0.30321739130434777</v>
      </c>
      <c r="V16" s="226"/>
      <c r="W16" s="224">
        <f>'Coût marchandises vendues'!V14</f>
        <v>13869.5425</v>
      </c>
      <c r="X16" s="225">
        <f>W$16/W$14</f>
        <v>0.30321739130434783</v>
      </c>
      <c r="Y16" s="226"/>
      <c r="Z16" s="224">
        <f>'Coût marchandises vendues'!Y14</f>
        <v>12029.55</v>
      </c>
      <c r="AA16" s="225">
        <f>Z$16/Z$14</f>
        <v>0.25956521739130434</v>
      </c>
      <c r="AB16" s="226"/>
      <c r="AC16" s="224">
        <f>'Coût marchandises vendues'!AB14</f>
        <v>10999.724999999999</v>
      </c>
      <c r="AD16" s="225">
        <f>AC$16/AC$14</f>
        <v>0.25956521739130434</v>
      </c>
      <c r="AE16" s="226"/>
      <c r="AF16" s="224">
        <f>'Coût marchandises vendues'!AE14</f>
        <v>11009.674999999999</v>
      </c>
      <c r="AG16" s="225">
        <f>AF$16/AF$14</f>
        <v>0.25956521739130434</v>
      </c>
      <c r="AH16" s="226"/>
      <c r="AI16" s="224">
        <f>'Coût marchandises vendues'!AH14</f>
        <v>10233.575000000001</v>
      </c>
      <c r="AJ16" s="225">
        <f>AI$16/AI$14</f>
        <v>0.25956521739130434</v>
      </c>
      <c r="AK16" s="226"/>
      <c r="AL16" s="224">
        <f>'Coût marchandises vendues'!AK14</f>
        <v>11372.849999999999</v>
      </c>
      <c r="AM16" s="225">
        <f>AL$16/AL$14</f>
        <v>0.25956521739130434</v>
      </c>
      <c r="AN16" s="226"/>
      <c r="AO16" s="226"/>
      <c r="AP16" s="227">
        <f>+$AL16+$AI16+$AF16+$AC16+$Z16+$W16+$T16+$Q16+$N16+$K16+$H16+$E16</f>
        <v>141745.21666666667</v>
      </c>
      <c r="AQ16" s="228">
        <f>AP$16/AP$14</f>
        <v>0.28443856187290972</v>
      </c>
      <c r="AS16" s="229">
        <f>+AT16*AV14</f>
        <v>0.01</v>
      </c>
      <c r="AT16" s="637">
        <v>0.01</v>
      </c>
      <c r="AV16" s="161" t="s">
        <v>2</v>
      </c>
      <c r="AX16" s="197" t="s">
        <v>148</v>
      </c>
      <c r="AY16" s="206">
        <v>450874</v>
      </c>
      <c r="AZ16" s="207">
        <f>+AY16/AY22</f>
        <v>9.2510884864600906E-2</v>
      </c>
    </row>
    <row r="17" spans="3:52" ht="16" x14ac:dyDescent="0.2">
      <c r="C17" s="200"/>
      <c r="E17" s="218"/>
      <c r="F17" s="191"/>
      <c r="H17" s="218"/>
      <c r="I17" s="191"/>
      <c r="K17" s="218"/>
      <c r="L17" s="191"/>
      <c r="N17" s="218"/>
      <c r="O17" s="191"/>
      <c r="P17" s="192"/>
      <c r="Q17" s="218"/>
      <c r="R17" s="191"/>
      <c r="T17" s="218"/>
      <c r="U17" s="191"/>
      <c r="W17" s="218"/>
      <c r="X17" s="191"/>
      <c r="Z17" s="218"/>
      <c r="AA17" s="191"/>
      <c r="AC17" s="218"/>
      <c r="AD17" s="191"/>
      <c r="AF17" s="218"/>
      <c r="AG17" s="191"/>
      <c r="AI17" s="218"/>
      <c r="AJ17" s="191"/>
      <c r="AL17" s="218"/>
      <c r="AM17" s="191"/>
      <c r="AP17" s="219"/>
      <c r="AQ17" s="194"/>
      <c r="AS17" s="220"/>
      <c r="AT17" s="221"/>
      <c r="AX17" s="197" t="s">
        <v>149</v>
      </c>
      <c r="AY17" s="206">
        <v>459144</v>
      </c>
      <c r="AZ17" s="207">
        <f>+AY17/AY22</f>
        <v>9.4207733691169415E-2</v>
      </c>
    </row>
    <row r="18" spans="3:52" ht="17" thickBot="1" x14ac:dyDescent="0.25">
      <c r="C18" s="231" t="s">
        <v>150</v>
      </c>
      <c r="E18" s="232" t="s">
        <v>2</v>
      </c>
      <c r="F18" s="191"/>
      <c r="H18" s="233"/>
      <c r="I18" s="191"/>
      <c r="K18" s="233"/>
      <c r="L18" s="191"/>
      <c r="N18" s="233"/>
      <c r="O18" s="191"/>
      <c r="Q18" s="233"/>
      <c r="R18" s="191"/>
      <c r="T18" s="233"/>
      <c r="U18" s="191"/>
      <c r="W18" s="233"/>
      <c r="X18" s="191"/>
      <c r="Z18" s="233"/>
      <c r="AA18" s="191"/>
      <c r="AC18" s="233"/>
      <c r="AD18" s="191"/>
      <c r="AF18" s="233"/>
      <c r="AG18" s="191"/>
      <c r="AI18" s="233"/>
      <c r="AJ18" s="191"/>
      <c r="AL18" s="233"/>
      <c r="AM18" s="191"/>
      <c r="AP18" s="219"/>
      <c r="AQ18" s="194"/>
      <c r="AS18" s="220"/>
      <c r="AT18" s="221"/>
      <c r="AX18" s="197" t="s">
        <v>151</v>
      </c>
      <c r="AY18" s="206">
        <v>428433</v>
      </c>
      <c r="AZ18" s="207">
        <f>+AY18/AY22</f>
        <v>8.7906412734368264E-2</v>
      </c>
    </row>
    <row r="19" spans="3:52" ht="18" thickTop="1" thickBot="1" x14ac:dyDescent="0.25">
      <c r="C19" s="200" t="s">
        <v>187</v>
      </c>
      <c r="E19" s="234">
        <f>' Total des coûts de MO'!E23</f>
        <v>9756</v>
      </c>
      <c r="F19" s="191">
        <f>E$19/E$14</f>
        <v>0.26733649981731822</v>
      </c>
      <c r="H19" s="234">
        <f>' Total des coûts de MO'!H23</f>
        <v>9756</v>
      </c>
      <c r="I19" s="191">
        <f>+H19/H14</f>
        <v>0.27581072644387639</v>
      </c>
      <c r="K19" s="234">
        <f>' Total des coûts de MO'!K23</f>
        <v>9756</v>
      </c>
      <c r="L19" s="191">
        <f>K$19/K$14</f>
        <v>0.24751213014936732</v>
      </c>
      <c r="N19" s="234">
        <f>' Total des coûts de MO'!N23</f>
        <v>9756</v>
      </c>
      <c r="O19" s="191">
        <f>N$19/N$14</f>
        <v>0.24465690730698098</v>
      </c>
      <c r="Q19" s="234">
        <f>' Total des coûts de MO'!Q23</f>
        <v>9756</v>
      </c>
      <c r="R19" s="191">
        <f>Q$19/Q$14</f>
        <v>0.2272360248447205</v>
      </c>
      <c r="T19" s="234">
        <f>' Total des coûts de MO'!T23</f>
        <v>9756</v>
      </c>
      <c r="U19" s="191">
        <f>T$19/T$14</f>
        <v>0.22111585388886787</v>
      </c>
      <c r="W19" s="234">
        <f>' Total des coûts de MO'!W23</f>
        <v>9756</v>
      </c>
      <c r="X19" s="191">
        <f>W$19/W$14</f>
        <v>0.21328669417648183</v>
      </c>
      <c r="Z19" s="234">
        <f>' Total des coûts de MO'!Z23</f>
        <v>9756</v>
      </c>
      <c r="AA19" s="191">
        <f>Z$19/Z$14</f>
        <v>0.21050814543100657</v>
      </c>
      <c r="AC19" s="234">
        <f>' Total des coûts de MO'!AC23</f>
        <v>9756</v>
      </c>
      <c r="AD19" s="191">
        <f>AC$19/AC$14</f>
        <v>0.23021650640080232</v>
      </c>
      <c r="AF19" s="234">
        <f>' Total des coûts de MO'!AF23</f>
        <v>9756</v>
      </c>
      <c r="AG19" s="191">
        <f>AF$19/AF$14</f>
        <v>0.23000844810310614</v>
      </c>
      <c r="AI19" s="234">
        <f>' Total des coûts de MO'!AI23</f>
        <v>9756</v>
      </c>
      <c r="AJ19" s="191">
        <f>AI$19/AI$14</f>
        <v>0.24745196677305487</v>
      </c>
      <c r="AL19" s="234">
        <f>' Total des coûts de MO'!AL23</f>
        <v>9756</v>
      </c>
      <c r="AM19" s="191">
        <f>AL$19/AL$14</f>
        <v>0.22266347141389936</v>
      </c>
      <c r="AP19" s="219">
        <f>+$AL19+$AI19+$AF19+$AC19+$Z19+$W19+$T19+$Q19+$N19+$K19+$H19+$E19</f>
        <v>117072</v>
      </c>
      <c r="AQ19" s="194">
        <f>AP$19/AP$14</f>
        <v>0.23492709030100337</v>
      </c>
      <c r="AS19" s="220">
        <f>+AS21/AV19</f>
        <v>1.9605872919538754E-4</v>
      </c>
      <c r="AT19" s="221">
        <f>+AS19/AS14</f>
        <v>9.802936459769377E-3</v>
      </c>
      <c r="AV19" s="541">
        <f>1+AV20</f>
        <v>1.0201025010250102</v>
      </c>
      <c r="AX19" s="197" t="s">
        <v>152</v>
      </c>
      <c r="AY19" s="206">
        <v>432555</v>
      </c>
      <c r="AZ19" s="207">
        <f>+AY19/AY22</f>
        <v>8.8752169791576893E-2</v>
      </c>
    </row>
    <row r="20" spans="3:52" ht="18" thickTop="1" thickBot="1" x14ac:dyDescent="0.25">
      <c r="C20" s="208" t="s">
        <v>188</v>
      </c>
      <c r="D20" s="235"/>
      <c r="E20" s="236">
        <f>' Total des coûts de MO'!E36</f>
        <v>196.12000000000006</v>
      </c>
      <c r="F20" s="237">
        <f>E$20/E$14</f>
        <v>5.3741322616002937E-3</v>
      </c>
      <c r="G20" s="235"/>
      <c r="H20" s="236">
        <f>' Total des coûts de MO'!H36</f>
        <v>196.12000000000006</v>
      </c>
      <c r="I20" s="237">
        <f>H$20/H$14</f>
        <v>5.5444854110468485E-3</v>
      </c>
      <c r="J20" s="235"/>
      <c r="K20" s="236">
        <f>' Total des coûts de MO'!K36</f>
        <v>196.12000000000006</v>
      </c>
      <c r="L20" s="237">
        <f>K$20/K$14</f>
        <v>4.9756128500301287E-3</v>
      </c>
      <c r="M20" s="235"/>
      <c r="N20" s="236">
        <f>' Total des coûts de MO'!N36</f>
        <v>196.12000000000006</v>
      </c>
      <c r="O20" s="237">
        <f>N$20/N$14</f>
        <v>4.9182157299144241E-3</v>
      </c>
      <c r="P20" s="235"/>
      <c r="Q20" s="236">
        <f>' Total des coûts de MO'!Q36</f>
        <v>196.12000000000006</v>
      </c>
      <c r="R20" s="237">
        <f>Q$20/Q$14</f>
        <v>4.5680124223602498E-3</v>
      </c>
      <c r="S20" s="235"/>
      <c r="T20" s="236">
        <f>' Total des coûts de MO'!T36</f>
        <v>196.12000000000006</v>
      </c>
      <c r="U20" s="237">
        <f>T$20/T$14</f>
        <v>4.4449816794469845E-3</v>
      </c>
      <c r="V20" s="235"/>
      <c r="W20" s="236">
        <f>' Total des coûts de MO'!W36</f>
        <v>196.12000000000006</v>
      </c>
      <c r="X20" s="237">
        <f>W$20/W$14</f>
        <v>4.2875959883037756E-3</v>
      </c>
      <c r="Y20" s="235"/>
      <c r="Z20" s="236">
        <f>' Total des coûts de MO'!Z36</f>
        <v>196.12000000000006</v>
      </c>
      <c r="AA20" s="237">
        <f>Z$20/Z$14</f>
        <v>4.2317402092998183E-3</v>
      </c>
      <c r="AB20" s="235"/>
      <c r="AC20" s="236">
        <f>' Total des coûts de MO'!AC36</f>
        <v>196.12000000000006</v>
      </c>
      <c r="AD20" s="237">
        <f>AC$20/AC$14</f>
        <v>4.6279275558964083E-3</v>
      </c>
      <c r="AE20" s="235"/>
      <c r="AF20" s="236">
        <f>' Total des coûts de MO'!AF36</f>
        <v>196.12000000000006</v>
      </c>
      <c r="AG20" s="237">
        <f>AF$20/AF$14</f>
        <v>4.6237450637537092E-3</v>
      </c>
      <c r="AH20" s="235"/>
      <c r="AI20" s="236">
        <f>' Total des coûts de MO'!AI36</f>
        <v>196.12000000000006</v>
      </c>
      <c r="AJ20" s="237">
        <f>AI$20/AI$14</f>
        <v>4.9744034156961395E-3</v>
      </c>
      <c r="AK20" s="235"/>
      <c r="AL20" s="236">
        <f>' Total des coûts de MO'!AL36</f>
        <v>196.12000000000006</v>
      </c>
      <c r="AM20" s="237">
        <f>AL$20/AL$14</f>
        <v>4.4760926623302532E-3</v>
      </c>
      <c r="AN20" s="235"/>
      <c r="AO20" s="235"/>
      <c r="AP20" s="219">
        <f>+$AL20+$AI20+$AF20+$AC20+$Z20+$W20+$T20+$Q20+$N20+$K20+$H20+$E20</f>
        <v>2353.440000000001</v>
      </c>
      <c r="AQ20" s="238">
        <f>AP$20/AP$14</f>
        <v>4.7226220735785973E-3</v>
      </c>
      <c r="AS20" s="220">
        <f>+AV20*AS19</f>
        <v>3.9412708046124872E-6</v>
      </c>
      <c r="AT20" s="239">
        <f>+AS20/AS14</f>
        <v>1.9706354023062435E-4</v>
      </c>
      <c r="AV20" s="542">
        <f>' Total des coûts de MO'!AP41/' Total des coûts de MO'!AP23</f>
        <v>2.010250102501026E-2</v>
      </c>
      <c r="AX20" s="197" t="s">
        <v>153</v>
      </c>
      <c r="AY20" s="206">
        <v>398996</v>
      </c>
      <c r="AZ20" s="207">
        <f>+AY20/AY22</f>
        <v>8.1866492672978047E-2</v>
      </c>
    </row>
    <row r="21" spans="3:52" ht="17" thickBot="1" x14ac:dyDescent="0.25">
      <c r="C21" s="240" t="s">
        <v>154</v>
      </c>
      <c r="D21" s="241"/>
      <c r="E21" s="242">
        <f>+E19+E20</f>
        <v>9952.1200000000008</v>
      </c>
      <c r="F21" s="243">
        <f>E21/E14</f>
        <v>0.27271063207891855</v>
      </c>
      <c r="G21" s="241"/>
      <c r="H21" s="242">
        <f>+H19+H20</f>
        <v>9952.1200000000008</v>
      </c>
      <c r="I21" s="243">
        <f>H21/H14</f>
        <v>0.28135521185492324</v>
      </c>
      <c r="J21" s="241"/>
      <c r="K21" s="242">
        <f>+K19+K20</f>
        <v>9952.1200000000008</v>
      </c>
      <c r="L21" s="243">
        <f>K21/K14</f>
        <v>0.25248774299939747</v>
      </c>
      <c r="M21" s="241"/>
      <c r="N21" s="242">
        <f>+N19+N20</f>
        <v>9952.1200000000008</v>
      </c>
      <c r="O21" s="243">
        <f>N21/N14</f>
        <v>0.24957512303689541</v>
      </c>
      <c r="P21" s="244"/>
      <c r="Q21" s="242">
        <f>+Q19+Q20</f>
        <v>9952.1200000000008</v>
      </c>
      <c r="R21" s="243">
        <f>Q21/Q14</f>
        <v>0.23180403726708076</v>
      </c>
      <c r="S21" s="241"/>
      <c r="T21" s="242">
        <f>+T19+T20</f>
        <v>9952.1200000000008</v>
      </c>
      <c r="U21" s="243">
        <f>T21/T14</f>
        <v>0.22556083556831488</v>
      </c>
      <c r="V21" s="241"/>
      <c r="W21" s="242">
        <f>+W19+W20</f>
        <v>9952.1200000000008</v>
      </c>
      <c r="X21" s="243">
        <f>W21/W14</f>
        <v>0.21757429016478563</v>
      </c>
      <c r="Y21" s="241"/>
      <c r="Z21" s="242">
        <f>+Z19+Z20</f>
        <v>9952.1200000000008</v>
      </c>
      <c r="AA21" s="243">
        <f>Z21/Z14</f>
        <v>0.21473988564030641</v>
      </c>
      <c r="AB21" s="241"/>
      <c r="AC21" s="242">
        <f>+AC19+AC20</f>
        <v>9952.1200000000008</v>
      </c>
      <c r="AD21" s="243">
        <f>AC21/AC14</f>
        <v>0.23484443395669874</v>
      </c>
      <c r="AE21" s="241"/>
      <c r="AF21" s="242">
        <f>+AF19+AF20</f>
        <v>9952.1200000000008</v>
      </c>
      <c r="AG21" s="243">
        <f>AF21/AF14</f>
        <v>0.23463219316685988</v>
      </c>
      <c r="AH21" s="241"/>
      <c r="AI21" s="242">
        <f>+AI19+AI20</f>
        <v>9952.1200000000008</v>
      </c>
      <c r="AJ21" s="243">
        <f>AI21/AI14</f>
        <v>0.25242637018875103</v>
      </c>
      <c r="AK21" s="241"/>
      <c r="AL21" s="242">
        <f>+AL19+AL20</f>
        <v>9952.1200000000008</v>
      </c>
      <c r="AM21" s="243">
        <f>AL21/AL14</f>
        <v>0.22713956407622962</v>
      </c>
      <c r="AN21" s="241"/>
      <c r="AO21" s="241"/>
      <c r="AP21" s="245">
        <f>+$AL21+$AI21+$AF21+$AC21+$Z21+$W21+$T21+$Q21+$N21+$K21+$H21+$E21</f>
        <v>119425.43999999999</v>
      </c>
      <c r="AQ21" s="246">
        <f>AP$21/AP$14</f>
        <v>0.23964971237458194</v>
      </c>
      <c r="AS21" s="247">
        <f>+AT21*AS14</f>
        <v>2.0000000000000001E-4</v>
      </c>
      <c r="AT21" s="230">
        <v>0.01</v>
      </c>
      <c r="AV21" s="187"/>
      <c r="AX21" s="197" t="s">
        <v>155</v>
      </c>
      <c r="AY21" s="206">
        <v>395653</v>
      </c>
      <c r="AZ21" s="207">
        <f>+AY21/AY22</f>
        <v>8.1180571799070123E-2</v>
      </c>
    </row>
    <row r="22" spans="3:52" ht="18" thickTop="1" thickBot="1" x14ac:dyDescent="0.25">
      <c r="C22" s="200"/>
      <c r="E22" s="218"/>
      <c r="F22" s="191"/>
      <c r="H22" s="218"/>
      <c r="I22" s="191"/>
      <c r="K22" s="218"/>
      <c r="L22" s="191"/>
      <c r="N22" s="218"/>
      <c r="O22" s="191"/>
      <c r="P22" s="192"/>
      <c r="Q22" s="218"/>
      <c r="R22" s="191"/>
      <c r="T22" s="218"/>
      <c r="U22" s="191"/>
      <c r="W22" s="218"/>
      <c r="X22" s="191"/>
      <c r="Z22" s="218"/>
      <c r="AA22" s="191"/>
      <c r="AC22" s="218"/>
      <c r="AD22" s="191"/>
      <c r="AF22" s="218"/>
      <c r="AG22" s="191"/>
      <c r="AI22" s="218"/>
      <c r="AJ22" s="191"/>
      <c r="AL22" s="218"/>
      <c r="AM22" s="191"/>
      <c r="AP22" s="219"/>
      <c r="AQ22" s="194"/>
      <c r="AS22" s="220"/>
      <c r="AT22" s="221"/>
      <c r="AX22" s="197" t="s">
        <v>10</v>
      </c>
      <c r="AY22" s="248">
        <f>+SUM(AY10:AY21)</f>
        <v>4873740</v>
      </c>
      <c r="AZ22" s="249">
        <f>+SUM(AZ10:AZ21)</f>
        <v>1</v>
      </c>
    </row>
    <row r="23" spans="3:52" ht="18" thickTop="1" thickBot="1" x14ac:dyDescent="0.25">
      <c r="C23" s="240" t="s">
        <v>156</v>
      </c>
      <c r="D23" s="241"/>
      <c r="E23" s="242">
        <f>E16+E21</f>
        <v>21017.533333333333</v>
      </c>
      <c r="F23" s="243">
        <f>E$23/E$14</f>
        <v>0.57592802338326632</v>
      </c>
      <c r="G23" s="241"/>
      <c r="H23" s="242">
        <f>H16+H21</f>
        <v>20677.550833333335</v>
      </c>
      <c r="I23" s="243">
        <f>H$23/H$14</f>
        <v>0.58457260315927106</v>
      </c>
      <c r="J23" s="241"/>
      <c r="K23" s="242">
        <f>K16+K21</f>
        <v>21903.8125</v>
      </c>
      <c r="L23" s="243">
        <f>K$23/K$14</f>
        <v>0.55570513430374524</v>
      </c>
      <c r="M23" s="241"/>
      <c r="N23" s="242">
        <f>N16+N21</f>
        <v>22043.292500000003</v>
      </c>
      <c r="O23" s="243">
        <f>N$23/N$14</f>
        <v>0.55279251434124332</v>
      </c>
      <c r="P23" s="244"/>
      <c r="Q23" s="242">
        <f>Q16+Q21</f>
        <v>22970.253333333334</v>
      </c>
      <c r="R23" s="243">
        <f>Q$23/Q$14</f>
        <v>0.53502142857142854</v>
      </c>
      <c r="S23" s="241"/>
      <c r="T23" s="242">
        <f>T16+T21</f>
        <v>23330.576666666668</v>
      </c>
      <c r="U23" s="243">
        <f>T$23/T$14</f>
        <v>0.52877822687266263</v>
      </c>
      <c r="V23" s="241"/>
      <c r="W23" s="242">
        <f>W16+W21</f>
        <v>23821.662499999999</v>
      </c>
      <c r="X23" s="243">
        <f>W$23/W$14</f>
        <v>0.52079168146913346</v>
      </c>
      <c r="Y23" s="241"/>
      <c r="Z23" s="242">
        <f>Z16+Z21</f>
        <v>21981.67</v>
      </c>
      <c r="AA23" s="243">
        <f>Z$23/Z$14</f>
        <v>0.47430510303161072</v>
      </c>
      <c r="AB23" s="241"/>
      <c r="AC23" s="242">
        <f>AC16+AC21</f>
        <v>20951.845000000001</v>
      </c>
      <c r="AD23" s="243">
        <f>AC$23/AC$14</f>
        <v>0.49440965134800308</v>
      </c>
      <c r="AE23" s="241"/>
      <c r="AF23" s="242">
        <f>AF16+AF21</f>
        <v>20961.794999999998</v>
      </c>
      <c r="AG23" s="243">
        <f>AF$23/AF$14</f>
        <v>0.49419741055816413</v>
      </c>
      <c r="AH23" s="241"/>
      <c r="AI23" s="242">
        <f>AI16+AI21</f>
        <v>20185.695</v>
      </c>
      <c r="AJ23" s="243">
        <f>AI$23/AI$14</f>
        <v>0.51199158758005536</v>
      </c>
      <c r="AK23" s="241"/>
      <c r="AL23" s="242">
        <f>AL16+AL21</f>
        <v>21324.97</v>
      </c>
      <c r="AM23" s="243">
        <f>AL$23/AL$14</f>
        <v>0.48670478146753399</v>
      </c>
      <c r="AN23" s="241"/>
      <c r="AO23" s="241"/>
      <c r="AP23" s="250">
        <f>+$AL23+$AI23+$AF23+$AC23+$Z23+$W23+$T23+$Q23+$N23+$K23+$H23+$E23</f>
        <v>261170.65666666665</v>
      </c>
      <c r="AQ23" s="246">
        <f>AP$23/AP$14</f>
        <v>0.5240882742474916</v>
      </c>
      <c r="AR23" s="251"/>
      <c r="AS23" s="252">
        <f>+AT23*AS14</f>
        <v>4.0000000000000002E-4</v>
      </c>
      <c r="AT23" s="253">
        <f>+AT16+AT21</f>
        <v>0.02</v>
      </c>
      <c r="AX23" s="197" t="s">
        <v>157</v>
      </c>
      <c r="AY23" s="248">
        <f>+AY22/12</f>
        <v>406145</v>
      </c>
      <c r="AZ23" s="249"/>
    </row>
    <row r="24" spans="3:52" ht="14" thickTop="1" x14ac:dyDescent="0.15">
      <c r="C24" s="200"/>
      <c r="E24" s="218"/>
      <c r="F24" s="191"/>
      <c r="H24" s="218"/>
      <c r="I24" s="191"/>
      <c r="K24" s="218"/>
      <c r="L24" s="191"/>
      <c r="N24" s="218"/>
      <c r="O24" s="191"/>
      <c r="P24" s="192"/>
      <c r="Q24" s="218"/>
      <c r="R24" s="191"/>
      <c r="T24" s="218"/>
      <c r="U24" s="191"/>
      <c r="W24" s="218"/>
      <c r="X24" s="191"/>
      <c r="Z24" s="218"/>
      <c r="AA24" s="191"/>
      <c r="AC24" s="218"/>
      <c r="AD24" s="191"/>
      <c r="AF24" s="218"/>
      <c r="AG24" s="191"/>
      <c r="AI24" s="218"/>
      <c r="AJ24" s="191"/>
      <c r="AL24" s="218"/>
      <c r="AM24" s="191"/>
      <c r="AP24" s="219"/>
      <c r="AQ24" s="194"/>
      <c r="AS24" s="220"/>
      <c r="AT24" s="221"/>
    </row>
    <row r="25" spans="3:52" x14ac:dyDescent="0.15">
      <c r="C25" s="254" t="s">
        <v>158</v>
      </c>
      <c r="D25" s="210"/>
      <c r="E25" s="255">
        <f>E14-E23</f>
        <v>15475.800000000003</v>
      </c>
      <c r="F25" s="211">
        <f>E$25/E$14</f>
        <v>0.42407197661673368</v>
      </c>
      <c r="G25" s="212"/>
      <c r="H25" s="255">
        <f>H14-H23</f>
        <v>14694.532500000001</v>
      </c>
      <c r="I25" s="211">
        <f>H$25/H$14</f>
        <v>0.41542739684072894</v>
      </c>
      <c r="J25" s="210"/>
      <c r="K25" s="255">
        <f>K14-K23</f>
        <v>17512.4375</v>
      </c>
      <c r="L25" s="211">
        <f>K$25/K$14</f>
        <v>0.4442948656962547</v>
      </c>
      <c r="M25" s="210"/>
      <c r="N25" s="255">
        <f>N14-N23</f>
        <v>17832.957499999997</v>
      </c>
      <c r="O25" s="211">
        <f>N$25/N$14</f>
        <v>0.44720748565875668</v>
      </c>
      <c r="P25" s="212"/>
      <c r="Q25" s="255">
        <f>Q14-Q23</f>
        <v>19963.080000000002</v>
      </c>
      <c r="R25" s="211">
        <f>Q$25/Q$14</f>
        <v>0.46497857142857146</v>
      </c>
      <c r="S25" s="210"/>
      <c r="T25" s="255">
        <f>T14-T23</f>
        <v>20791.090000000004</v>
      </c>
      <c r="U25" s="211">
        <f>T$25/T$14</f>
        <v>0.47122177312733732</v>
      </c>
      <c r="V25" s="213"/>
      <c r="W25" s="255">
        <f>W14-W23</f>
        <v>21919.587500000001</v>
      </c>
      <c r="X25" s="211">
        <f>W$25/W$14</f>
        <v>0.47920831853086659</v>
      </c>
      <c r="Y25" s="213"/>
      <c r="Z25" s="255">
        <f>Z14-Z23</f>
        <v>24363.33</v>
      </c>
      <c r="AA25" s="211">
        <f>Z$25/Z$14</f>
        <v>0.52569489696838934</v>
      </c>
      <c r="AB25" s="213"/>
      <c r="AC25" s="255">
        <f>AC14-AC23</f>
        <v>21425.654999999999</v>
      </c>
      <c r="AD25" s="211">
        <f>AC$25/AC$14</f>
        <v>0.50559034865199692</v>
      </c>
      <c r="AE25" s="213"/>
      <c r="AF25" s="255">
        <f>AF14-AF23</f>
        <v>21454.038333333338</v>
      </c>
      <c r="AG25" s="211">
        <f>AF$25/AF$14</f>
        <v>0.50580258944183587</v>
      </c>
      <c r="AH25" s="213"/>
      <c r="AI25" s="255">
        <f>AI14-AI23</f>
        <v>19240.138333333336</v>
      </c>
      <c r="AJ25" s="211">
        <f>AI$25/AI$14</f>
        <v>0.48800841241994464</v>
      </c>
      <c r="AK25" s="213"/>
      <c r="AL25" s="255">
        <f>AL14-AL23</f>
        <v>22490.03</v>
      </c>
      <c r="AM25" s="211">
        <f>AL$25/AL$14</f>
        <v>0.51329521853246607</v>
      </c>
      <c r="AN25" s="213"/>
      <c r="AO25" s="213"/>
      <c r="AP25" s="214">
        <f>+$AL25+$AI25+$AF25+$AC25+$Z25+$W25+$T25+$Q25+$N25+$K25+$H25+$E25</f>
        <v>237162.67666666664</v>
      </c>
      <c r="AQ25" s="211">
        <f>AP$25/AP$14</f>
        <v>0.47591172575250834</v>
      </c>
      <c r="AR25" s="213"/>
      <c r="AS25" s="215">
        <f>+AS14-AS23</f>
        <v>1.9599999999999999E-2</v>
      </c>
      <c r="AT25" s="216">
        <f>AS$25/AS$14</f>
        <v>0.98</v>
      </c>
      <c r="AU25" s="210"/>
      <c r="AV25" s="210"/>
      <c r="AW25" s="210"/>
      <c r="AX25" s="210"/>
      <c r="AY25" s="210"/>
      <c r="AZ25" s="210"/>
    </row>
    <row r="26" spans="3:52" x14ac:dyDescent="0.15">
      <c r="C26" s="200"/>
      <c r="E26" s="218"/>
      <c r="F26" s="191"/>
      <c r="H26" s="218"/>
      <c r="I26" s="191"/>
      <c r="K26" s="218"/>
      <c r="L26" s="191"/>
      <c r="N26" s="218"/>
      <c r="O26" s="191"/>
      <c r="P26" s="192"/>
      <c r="Q26" s="218"/>
      <c r="R26" s="191"/>
      <c r="T26" s="218"/>
      <c r="U26" s="191"/>
      <c r="W26" s="218"/>
      <c r="X26" s="191"/>
      <c r="Z26" s="218"/>
      <c r="AA26" s="191"/>
      <c r="AC26" s="218"/>
      <c r="AD26" s="191"/>
      <c r="AF26" s="218"/>
      <c r="AG26" s="191"/>
      <c r="AI26" s="218"/>
      <c r="AJ26" s="191"/>
      <c r="AL26" s="218"/>
      <c r="AM26" s="191"/>
      <c r="AP26" s="219"/>
      <c r="AQ26" s="194"/>
      <c r="AS26" s="220"/>
      <c r="AT26" s="221"/>
    </row>
    <row r="27" spans="3:52" x14ac:dyDescent="0.15">
      <c r="C27" s="685" t="s">
        <v>177</v>
      </c>
      <c r="E27" s="256">
        <f>'Coût d''occupation '!E26</f>
        <v>2</v>
      </c>
      <c r="F27" s="207">
        <f>E27/$E$14</f>
        <v>5.4804530507855309E-5</v>
      </c>
      <c r="G27" s="209"/>
      <c r="H27" s="256">
        <f>'Coût d''occupation '!H26</f>
        <v>2</v>
      </c>
      <c r="I27" s="191">
        <f>+H27/H14</f>
        <v>5.6541764338638049E-5</v>
      </c>
      <c r="J27" s="257">
        <v>1</v>
      </c>
      <c r="K27" s="256">
        <f>'Coût d''occupation '!K26</f>
        <v>2</v>
      </c>
      <c r="L27" s="191">
        <f>+K27/K14</f>
        <v>5.074049408556116E-5</v>
      </c>
      <c r="N27" s="256">
        <f>'Coût d''occupation '!N26</f>
        <v>2</v>
      </c>
      <c r="O27" s="191">
        <f>+N27/N14</f>
        <v>5.0155167549606598E-5</v>
      </c>
      <c r="P27" s="192"/>
      <c r="Q27" s="256">
        <f>'Coût d''occupation '!Q26</f>
        <v>2</v>
      </c>
      <c r="R27" s="191">
        <f>+Q27/Q14</f>
        <v>4.6583850931677014E-5</v>
      </c>
      <c r="T27" s="256">
        <f>'Coût d''occupation '!T26</f>
        <v>2</v>
      </c>
      <c r="U27" s="191">
        <f>+T27/T14</f>
        <v>4.5329203339251306E-5</v>
      </c>
      <c r="W27" s="256">
        <f>'Coût d''occupation '!W26</f>
        <v>2</v>
      </c>
      <c r="X27" s="191">
        <f>+W27/W14</f>
        <v>4.3724209548274257E-5</v>
      </c>
      <c r="Z27" s="256">
        <f>'Coût d''occupation '!Z26</f>
        <v>2</v>
      </c>
      <c r="AA27" s="191">
        <f>+Z27/Z14</f>
        <v>4.3154601359369941E-5</v>
      </c>
      <c r="AC27" s="256">
        <f>'Coût d''occupation '!AC26</f>
        <v>2</v>
      </c>
      <c r="AD27" s="191">
        <f>+AC27/AC14</f>
        <v>4.719485576072208E-5</v>
      </c>
      <c r="AF27" s="256">
        <f>'Coût d''occupation '!AF26</f>
        <v>2</v>
      </c>
      <c r="AG27" s="191">
        <f>+AF27/AF14</f>
        <v>4.7152203383170587E-5</v>
      </c>
      <c r="AI27" s="256">
        <f>'Coût d''occupation '!AI26</f>
        <v>2</v>
      </c>
      <c r="AJ27" s="191">
        <f>+AI27/AI14</f>
        <v>5.0728160470080948E-5</v>
      </c>
      <c r="AL27" s="256">
        <f>'Coût d''occupation '!AL26</f>
        <v>2</v>
      </c>
      <c r="AM27" s="191">
        <f>+AL27/AL14</f>
        <v>4.5646468104530415E-5</v>
      </c>
      <c r="AP27" s="219">
        <f t="shared" ref="AP27:AP34" si="1">+$AL27+$AI27+$AF27+$AC27+$Z27+$W27+$T27+$Q27+$N27+$K27+$H27+$E27</f>
        <v>24</v>
      </c>
      <c r="AQ27" s="194">
        <f>+AP27/AP14</f>
        <v>4.816053511705686E-5</v>
      </c>
      <c r="AS27" s="220">
        <v>0</v>
      </c>
      <c r="AT27" s="221">
        <f>+AS27/AS14</f>
        <v>0</v>
      </c>
    </row>
    <row r="28" spans="3:52" x14ac:dyDescent="0.15">
      <c r="C28" s="686" t="s">
        <v>178</v>
      </c>
      <c r="D28" s="209"/>
      <c r="E28" s="256">
        <f>'Coût direct d''exploitation '!E34</f>
        <v>1839.0666666666666</v>
      </c>
      <c r="F28" s="207">
        <f>E$28/E$14</f>
        <v>5.039459261965655E-2</v>
      </c>
      <c r="G28" s="209"/>
      <c r="H28" s="256">
        <f>'Coût direct d''exploitation '!H34</f>
        <v>1822.2479166666667</v>
      </c>
      <c r="I28" s="207">
        <f>H$28/H$14</f>
        <v>5.1516556135370407E-2</v>
      </c>
      <c r="J28" s="259">
        <v>1</v>
      </c>
      <c r="K28" s="256">
        <f>'Coût direct d''exploitation '!K34</f>
        <v>1882.9104166666666</v>
      </c>
      <c r="L28" s="207">
        <f>K$28/K$14</f>
        <v>4.7769902430258249E-2</v>
      </c>
      <c r="M28" s="209"/>
      <c r="N28" s="256">
        <f>'Coût direct d''exploitation '!N34</f>
        <v>1889.8104166666665</v>
      </c>
      <c r="O28" s="207">
        <f>N$28/N$14</f>
        <v>4.7391879042454253E-2</v>
      </c>
      <c r="P28" s="209"/>
      <c r="Q28" s="256">
        <f>'Coût direct d''exploitation '!Q34</f>
        <v>1935.6666666666665</v>
      </c>
      <c r="R28" s="207">
        <f>Q$28/Q$14</f>
        <v>4.5085403726708072E-2</v>
      </c>
      <c r="S28" s="209"/>
      <c r="T28" s="256">
        <f>'Coût direct d''exploitation '!T34</f>
        <v>1953.4916666666666</v>
      </c>
      <c r="U28" s="207">
        <f>T$28/T$14</f>
        <v>4.4275110489933135E-2</v>
      </c>
      <c r="V28" s="209"/>
      <c r="W28" s="256">
        <f>'Coût direct d''exploitation '!W34</f>
        <v>1977.7854166666666</v>
      </c>
      <c r="X28" s="207">
        <f>W$28/W$14</f>
        <v>4.3238551999927127E-2</v>
      </c>
      <c r="Y28" s="209"/>
      <c r="Z28" s="256">
        <f>'Coût direct d''exploitation '!Z34</f>
        <v>1986.8416666666665</v>
      </c>
      <c r="AA28" s="207">
        <f>Z$28/Z$14</f>
        <v>4.2870680044593081E-2</v>
      </c>
      <c r="AB28" s="209"/>
      <c r="AC28" s="256">
        <f>'Coût direct d''exploitation '!AC34</f>
        <v>1927.3291666666667</v>
      </c>
      <c r="AD28" s="207">
        <f>AC$28/AC$14</f>
        <v>4.5480011012133011E-2</v>
      </c>
      <c r="AE28" s="209"/>
      <c r="AF28" s="256">
        <f>'Coût direct d''exploitation '!AF34</f>
        <v>1927.9041666666667</v>
      </c>
      <c r="AG28" s="207">
        <f>AF$28/AF$14</f>
        <v>4.545246468496434E-2</v>
      </c>
      <c r="AH28" s="209"/>
      <c r="AI28" s="256">
        <f>'Coût direct d''exploitation '!AI34</f>
        <v>1883.0541666666666</v>
      </c>
      <c r="AJ28" s="207">
        <f>AI$28/AI$14</f>
        <v>4.7761936970260613E-2</v>
      </c>
      <c r="AK28" s="209"/>
      <c r="AL28" s="256">
        <f>'Coût direct d''exploitation '!AL34</f>
        <v>1948.8916666666667</v>
      </c>
      <c r="AM28" s="207">
        <f>AL$28/AL$14</f>
        <v>4.4480010650842561E-2</v>
      </c>
      <c r="AN28" s="209"/>
      <c r="AO28" s="209"/>
      <c r="AP28" s="219">
        <f t="shared" si="1"/>
        <v>22975</v>
      </c>
      <c r="AQ28" s="194">
        <f>AP$28/AP$14</f>
        <v>4.6103678929765891E-2</v>
      </c>
      <c r="AS28" s="220">
        <v>0</v>
      </c>
      <c r="AT28" s="221">
        <f>AS$28/AS$14</f>
        <v>0</v>
      </c>
    </row>
    <row r="29" spans="3:52" x14ac:dyDescent="0.15">
      <c r="C29" s="686" t="s">
        <v>179</v>
      </c>
      <c r="D29" s="209"/>
      <c r="E29" s="256">
        <f>'Musique &amp; Divertissement'!E24</f>
        <v>100</v>
      </c>
      <c r="F29" s="207">
        <f>E$29/E$14</f>
        <v>2.7402265253927654E-3</v>
      </c>
      <c r="G29" s="209"/>
      <c r="H29" s="256">
        <f>'Musique &amp; Divertissement'!H24</f>
        <v>100</v>
      </c>
      <c r="I29" s="207">
        <f>H$29/H$14</f>
        <v>2.8270882169319023E-3</v>
      </c>
      <c r="J29" s="259">
        <v>1</v>
      </c>
      <c r="K29" s="256">
        <f>'Musique &amp; Divertissement'!K24</f>
        <v>100</v>
      </c>
      <c r="L29" s="207">
        <f>K$29/K$14</f>
        <v>2.5370247042780579E-3</v>
      </c>
      <c r="M29" s="209"/>
      <c r="N29" s="256">
        <f>'Musique &amp; Divertissement'!N24</f>
        <v>100</v>
      </c>
      <c r="O29" s="207">
        <f>N$29/N$14</f>
        <v>2.5077583774803297E-3</v>
      </c>
      <c r="P29" s="209"/>
      <c r="Q29" s="256">
        <f>'Musique &amp; Divertissement'!Q24</f>
        <v>100</v>
      </c>
      <c r="R29" s="207">
        <f>Q$29/Q$14</f>
        <v>2.329192546583851E-3</v>
      </c>
      <c r="S29" s="209"/>
      <c r="T29" s="256">
        <f>'Musique &amp; Divertissement'!T24</f>
        <v>100</v>
      </c>
      <c r="U29" s="207">
        <f>T$29/T$14</f>
        <v>2.2664601669625654E-3</v>
      </c>
      <c r="V29" s="209"/>
      <c r="W29" s="256">
        <f>'Musique &amp; Divertissement'!W24</f>
        <v>100</v>
      </c>
      <c r="X29" s="207">
        <f>W$29/W$14</f>
        <v>2.1862104774137128E-3</v>
      </c>
      <c r="Y29" s="209"/>
      <c r="Z29" s="256">
        <f>'Musique &amp; Divertissement'!Z24</f>
        <v>100</v>
      </c>
      <c r="AA29" s="207">
        <f>Z$29/Z$14</f>
        <v>2.1577300679684972E-3</v>
      </c>
      <c r="AB29" s="209"/>
      <c r="AC29" s="256">
        <f>'Musique &amp; Divertissement'!AC24</f>
        <v>100</v>
      </c>
      <c r="AD29" s="207">
        <f>AC$29/AC$14</f>
        <v>2.359742788036104E-3</v>
      </c>
      <c r="AE29" s="209"/>
      <c r="AF29" s="256">
        <f>'Musique &amp; Divertissement'!AF24</f>
        <v>100</v>
      </c>
      <c r="AG29" s="207">
        <f>AF$29/AF$14</f>
        <v>2.3576101691585296E-3</v>
      </c>
      <c r="AH29" s="209"/>
      <c r="AI29" s="256">
        <f>'Musique &amp; Divertissement'!AI24</f>
        <v>100</v>
      </c>
      <c r="AJ29" s="207">
        <f>AI$29/AI$14</f>
        <v>2.5364080235040476E-3</v>
      </c>
      <c r="AK29" s="209"/>
      <c r="AL29" s="256">
        <f>'Musique &amp; Divertissement'!AL24</f>
        <v>100</v>
      </c>
      <c r="AM29" s="207">
        <f>AL$29/AL$14</f>
        <v>2.2823234052265205E-3</v>
      </c>
      <c r="AN29" s="209"/>
      <c r="AO29" s="209"/>
      <c r="AP29" s="219">
        <f t="shared" si="1"/>
        <v>1200</v>
      </c>
      <c r="AQ29" s="194">
        <f>AP$29/AP$14</f>
        <v>2.4080267558528427E-3</v>
      </c>
      <c r="AS29" s="220">
        <v>0</v>
      </c>
      <c r="AT29" s="221">
        <f>AS$29/AS$14</f>
        <v>0</v>
      </c>
    </row>
    <row r="30" spans="3:52" x14ac:dyDescent="0.15">
      <c r="C30" s="686" t="s">
        <v>180</v>
      </c>
      <c r="D30" s="209"/>
      <c r="E30" s="256">
        <f>'Mark &amp; Communication marketing'!E25</f>
        <v>1824.666666666667</v>
      </c>
      <c r="F30" s="207">
        <f>E$30/E$14</f>
        <v>0.05</v>
      </c>
      <c r="G30" s="209"/>
      <c r="H30" s="256">
        <f>'Mark &amp; Communication marketing'!H25</f>
        <v>1768.604166666667</v>
      </c>
      <c r="I30" s="207">
        <f>H$30/H$14</f>
        <v>0.05</v>
      </c>
      <c r="J30" s="259">
        <v>1</v>
      </c>
      <c r="K30" s="256">
        <f>'Mark &amp; Communication marketing'!K25</f>
        <v>1970.8125</v>
      </c>
      <c r="L30" s="207">
        <f>K$30/K$14</f>
        <v>0.05</v>
      </c>
      <c r="M30" s="209"/>
      <c r="N30" s="256">
        <f>'Mark &amp; Communication marketing'!N25</f>
        <v>1993.8125</v>
      </c>
      <c r="O30" s="207">
        <f>N$30/N$14</f>
        <v>0.05</v>
      </c>
      <c r="P30" s="209"/>
      <c r="Q30" s="256">
        <f>'Mark &amp; Communication marketing'!Q25</f>
        <v>2146.666666666667</v>
      </c>
      <c r="R30" s="207">
        <f>Q$30/Q$14</f>
        <v>0.05</v>
      </c>
      <c r="S30" s="209"/>
      <c r="T30" s="256">
        <f>'Mark &amp; Communication marketing'!T25</f>
        <v>2206.0833333333335</v>
      </c>
      <c r="U30" s="207">
        <f>T$30/T$14</f>
        <v>4.9999999999999996E-2</v>
      </c>
      <c r="V30" s="209"/>
      <c r="W30" s="256">
        <f>'Mark &amp; Communication marketing'!W25</f>
        <v>2287.0625</v>
      </c>
      <c r="X30" s="207">
        <f>W$30/W$14</f>
        <v>0.05</v>
      </c>
      <c r="Y30" s="209"/>
      <c r="Z30" s="256">
        <f>'Mark &amp; Communication marketing'!Z25</f>
        <v>2317.25</v>
      </c>
      <c r="AA30" s="207">
        <f>Z$30/Z$14</f>
        <v>0.05</v>
      </c>
      <c r="AB30" s="209"/>
      <c r="AC30" s="256">
        <f>'Mark &amp; Communication marketing'!AC25</f>
        <v>2118.875</v>
      </c>
      <c r="AD30" s="207">
        <f>AC$30/AC$14</f>
        <v>0.05</v>
      </c>
      <c r="AE30" s="209"/>
      <c r="AF30" s="256">
        <f>'Mark &amp; Communication marketing'!AF25</f>
        <v>2120.791666666667</v>
      </c>
      <c r="AG30" s="207">
        <f>AF$30/AF$14</f>
        <v>0.05</v>
      </c>
      <c r="AH30" s="209"/>
      <c r="AI30" s="256">
        <f>'Mark &amp; Communication marketing'!AI25</f>
        <v>1971.291666666667</v>
      </c>
      <c r="AJ30" s="207">
        <f>AI$30/AI$14</f>
        <v>0.05</v>
      </c>
      <c r="AK30" s="209"/>
      <c r="AL30" s="256">
        <f>'Mark &amp; Communication marketing'!AL25</f>
        <v>2190.75</v>
      </c>
      <c r="AM30" s="207">
        <f>AL$30/AL$14</f>
        <v>0.05</v>
      </c>
      <c r="AN30" s="209"/>
      <c r="AO30" s="209"/>
      <c r="AP30" s="219">
        <f t="shared" si="1"/>
        <v>24916.666666666672</v>
      </c>
      <c r="AQ30" s="194">
        <f>AP$30/AP$14</f>
        <v>5.000000000000001E-2</v>
      </c>
      <c r="AS30" s="220">
        <v>0</v>
      </c>
      <c r="AT30" s="221">
        <f>AS$30/AS$14</f>
        <v>0</v>
      </c>
    </row>
    <row r="31" spans="3:52" x14ac:dyDescent="0.15">
      <c r="C31" s="685" t="s">
        <v>181</v>
      </c>
      <c r="E31" s="260">
        <f>'Services publics'!E23</f>
        <v>923.33333333333337</v>
      </c>
      <c r="F31" s="191">
        <f>E$31/E$14</f>
        <v>2.5301424917793202E-2</v>
      </c>
      <c r="H31" s="260">
        <f>'Services publics'!H23</f>
        <v>923.33333333333337</v>
      </c>
      <c r="I31" s="191">
        <f>H$31/H$14</f>
        <v>2.6103447869671233E-2</v>
      </c>
      <c r="J31" s="257">
        <v>1</v>
      </c>
      <c r="K31" s="260">
        <f>'Services publics'!K23</f>
        <v>923.33333333333337</v>
      </c>
      <c r="L31" s="191">
        <f>K$31/K$14</f>
        <v>2.3425194769500737E-2</v>
      </c>
      <c r="N31" s="260">
        <f>'Services publics'!N23</f>
        <v>923.33333333333337</v>
      </c>
      <c r="O31" s="191">
        <f>N$31/N$14</f>
        <v>2.3154969018735046E-2</v>
      </c>
      <c r="P31" s="192"/>
      <c r="Q31" s="260">
        <f>'Services publics'!Q23</f>
        <v>923.33333333333337</v>
      </c>
      <c r="R31" s="191">
        <f>Q$31/Q$14</f>
        <v>2.1506211180124222E-2</v>
      </c>
      <c r="T31" s="260">
        <f>'Services publics'!T23</f>
        <v>923.33333333333337</v>
      </c>
      <c r="U31" s="191">
        <f>T$31/T$14</f>
        <v>2.0926982208287689E-2</v>
      </c>
      <c r="W31" s="260">
        <f>'Services publics'!W23</f>
        <v>923.33333333333337</v>
      </c>
      <c r="X31" s="191">
        <f>W$31/W$14</f>
        <v>2.0186010074786619E-2</v>
      </c>
      <c r="Z31" s="260">
        <f>'Services publics'!Z23</f>
        <v>923.33333333333337</v>
      </c>
      <c r="AA31" s="191">
        <f>Z$31/Z$14</f>
        <v>1.9923040960909126E-2</v>
      </c>
      <c r="AC31" s="260">
        <f>'Services publics'!AC23</f>
        <v>923.33333333333337</v>
      </c>
      <c r="AD31" s="191">
        <f>AC$31/AC$14</f>
        <v>2.1788291742866697E-2</v>
      </c>
      <c r="AF31" s="260">
        <f>'Services publics'!AF23</f>
        <v>923.33333333333337</v>
      </c>
      <c r="AG31" s="191">
        <f>AF$31/AF$14</f>
        <v>2.176860056189709E-2</v>
      </c>
      <c r="AI31" s="260">
        <f>'Services publics'!AI23</f>
        <v>923.33333333333337</v>
      </c>
      <c r="AJ31" s="191">
        <f>AI$31/AI$14</f>
        <v>2.3419500750354039E-2</v>
      </c>
      <c r="AL31" s="260">
        <f>'Services publics'!AL23</f>
        <v>923.33333333333337</v>
      </c>
      <c r="AM31" s="191">
        <f>AL$31/AL$14</f>
        <v>2.1073452774924874E-2</v>
      </c>
      <c r="AO31" s="209"/>
      <c r="AP31" s="219">
        <f t="shared" si="1"/>
        <v>11080.000000000002</v>
      </c>
      <c r="AQ31" s="194">
        <f>AP$31/AP$14</f>
        <v>2.2234113712374586E-2</v>
      </c>
      <c r="AS31" s="220">
        <v>0</v>
      </c>
      <c r="AT31" s="221">
        <f>AS$31/AS$14</f>
        <v>0</v>
      </c>
    </row>
    <row r="32" spans="3:52" x14ac:dyDescent="0.15">
      <c r="C32" s="685" t="s">
        <v>182</v>
      </c>
      <c r="E32" s="260">
        <f>'Administration &amp; Frais généraux'!E29</f>
        <v>1487.5833333333335</v>
      </c>
      <c r="F32" s="191">
        <f>E$32/E$14</f>
        <v>4.0763153087321889E-2</v>
      </c>
      <c r="H32" s="260">
        <f>'Administration &amp; Frais généraux'!H29</f>
        <v>1459.5520833333335</v>
      </c>
      <c r="I32" s="191">
        <f>H$32/H$14</f>
        <v>4.126282496790077E-2</v>
      </c>
      <c r="J32" s="257">
        <v>1</v>
      </c>
      <c r="K32" s="260">
        <f>'Administration &amp; Frais généraux'!K29</f>
        <v>1560.65625</v>
      </c>
      <c r="L32" s="191">
        <f>K$32/K$14</f>
        <v>3.9594234611359531E-2</v>
      </c>
      <c r="N32" s="260">
        <f>'Administration &amp; Frais généraux'!N29</f>
        <v>1572.15625</v>
      </c>
      <c r="O32" s="191">
        <f>N$32/N$14</f>
        <v>3.9425880066455594E-2</v>
      </c>
      <c r="P32" s="192"/>
      <c r="Q32" s="260">
        <f>'Administration &amp; Frais généraux'!Q29</f>
        <v>1648.5833333333335</v>
      </c>
      <c r="R32" s="191">
        <f>Q$32/Q$14</f>
        <v>3.8398680124223601E-2</v>
      </c>
      <c r="T32" s="260">
        <f>'Administration &amp; Frais généraux'!T29</f>
        <v>1678.2916666666667</v>
      </c>
      <c r="U32" s="191">
        <f>T$32/T$14</f>
        <v>3.8037812110452159E-2</v>
      </c>
      <c r="W32" s="260">
        <f>'Administration &amp; Frais généraux'!W29</f>
        <v>1718.78125</v>
      </c>
      <c r="X32" s="191">
        <f>W$32/W$14</f>
        <v>3.7576175771322384E-2</v>
      </c>
      <c r="Z32" s="260">
        <f>'Administration &amp; Frais généraux'!Z29</f>
        <v>1733.875</v>
      </c>
      <c r="AA32" s="191">
        <f>Z$32/Z$14</f>
        <v>3.7412342215988777E-2</v>
      </c>
      <c r="AC32" s="260">
        <f>'Administration &amp; Frais généraux'!AC29</f>
        <v>1634.6875</v>
      </c>
      <c r="AD32" s="191">
        <f>AC$32/AC$14</f>
        <v>3.857442038817769E-2</v>
      </c>
      <c r="AF32" s="260">
        <f>'Administration &amp; Frais généraux'!AF29</f>
        <v>1635.6458333333335</v>
      </c>
      <c r="AG32" s="191">
        <f>AF$32/AF$14</f>
        <v>3.8562152498084444E-2</v>
      </c>
      <c r="AI32" s="260">
        <f>'Administration &amp; Frais généraux'!AI29</f>
        <v>1560.8958333333335</v>
      </c>
      <c r="AJ32" s="191">
        <f>AI$32/AI$14</f>
        <v>3.9590687155207034E-2</v>
      </c>
      <c r="AL32" s="260">
        <f>'Administration &amp; Frais généraux'!AL29</f>
        <v>1670.625</v>
      </c>
      <c r="AM32" s="191">
        <f>AL$32/AL$14</f>
        <v>3.8129065388565558E-2</v>
      </c>
      <c r="AP32" s="219">
        <f t="shared" si="1"/>
        <v>19361.333333333332</v>
      </c>
      <c r="AQ32" s="194">
        <f>AP$32/AP$14</f>
        <v>3.8852173913043478E-2</v>
      </c>
      <c r="AS32" s="220">
        <v>0</v>
      </c>
      <c r="AT32" s="221">
        <f>AS$32/AS$14</f>
        <v>0</v>
      </c>
    </row>
    <row r="33" spans="3:52" x14ac:dyDescent="0.15">
      <c r="C33" s="685" t="s">
        <v>183</v>
      </c>
      <c r="E33" s="260">
        <f>'Entretien &amp; Réparation'!E31</f>
        <v>500</v>
      </c>
      <c r="F33" s="191">
        <f>E$33/E$14</f>
        <v>1.3701132626963828E-2</v>
      </c>
      <c r="H33" s="260">
        <f>'Entretien &amp; Réparation'!H31</f>
        <v>500</v>
      </c>
      <c r="I33" s="191">
        <f>H$33/H$14</f>
        <v>1.4135441084659512E-2</v>
      </c>
      <c r="J33" s="257">
        <v>1</v>
      </c>
      <c r="K33" s="260">
        <f>'Entretien &amp; Réparation'!K31</f>
        <v>500</v>
      </c>
      <c r="L33" s="191">
        <f>K$33/K$14</f>
        <v>1.268512352139029E-2</v>
      </c>
      <c r="N33" s="260">
        <f>'Entretien &amp; Réparation'!N31</f>
        <v>500</v>
      </c>
      <c r="O33" s="191">
        <f>N$33/N$14</f>
        <v>1.2538791887401649E-2</v>
      </c>
      <c r="P33" s="192"/>
      <c r="Q33" s="260">
        <f>'Entretien &amp; Réparation'!Q31</f>
        <v>500</v>
      </c>
      <c r="R33" s="191">
        <f>Q$33/Q$14</f>
        <v>1.1645962732919254E-2</v>
      </c>
      <c r="T33" s="260">
        <f>'Entretien &amp; Réparation'!T31</f>
        <v>500</v>
      </c>
      <c r="U33" s="191">
        <f>T$33/T$14</f>
        <v>1.1332300834812827E-2</v>
      </c>
      <c r="W33" s="260">
        <f>'Entretien &amp; Réparation'!W31</f>
        <v>500</v>
      </c>
      <c r="X33" s="191">
        <f>W$33/W$14</f>
        <v>1.0931052387068565E-2</v>
      </c>
      <c r="Z33" s="260">
        <f>'Entretien &amp; Réparation'!Z31</f>
        <v>500</v>
      </c>
      <c r="AA33" s="191">
        <f>Z$33/Z$14</f>
        <v>1.0788650339842486E-2</v>
      </c>
      <c r="AC33" s="260">
        <f>'Entretien &amp; Réparation'!AC31</f>
        <v>500</v>
      </c>
      <c r="AD33" s="191">
        <f>AC$33/AC$14</f>
        <v>1.1798713940180521E-2</v>
      </c>
      <c r="AF33" s="260">
        <f>'Entretien &amp; Réparation'!AF31</f>
        <v>500</v>
      </c>
      <c r="AG33" s="191">
        <f>AF$33/AF$14</f>
        <v>1.1788050845792647E-2</v>
      </c>
      <c r="AI33" s="260">
        <f>'Entretien &amp; Réparation'!AI31</f>
        <v>500</v>
      </c>
      <c r="AJ33" s="191">
        <f>AI$33/AI$14</f>
        <v>1.2682040117520237E-2</v>
      </c>
      <c r="AL33" s="260">
        <f>'Entretien &amp; Réparation'!AL31</f>
        <v>500</v>
      </c>
      <c r="AM33" s="191">
        <f>AL$33/AL$14</f>
        <v>1.1411617026132604E-2</v>
      </c>
      <c r="AP33" s="219">
        <f t="shared" si="1"/>
        <v>6000</v>
      </c>
      <c r="AQ33" s="194">
        <f>AP$33/AP$14</f>
        <v>1.2040133779264214E-2</v>
      </c>
      <c r="AS33" s="220">
        <v>0</v>
      </c>
      <c r="AT33" s="221">
        <f>AS$33/AS$14</f>
        <v>0</v>
      </c>
    </row>
    <row r="34" spans="3:52" x14ac:dyDescent="0.15">
      <c r="C34" s="240" t="s">
        <v>173</v>
      </c>
      <c r="D34" s="261"/>
      <c r="E34" s="242">
        <f>+(SUM(E27:E33))</f>
        <v>6676.65</v>
      </c>
      <c r="F34" s="262">
        <f>E34/E14</f>
        <v>0.18295533430763608</v>
      </c>
      <c r="G34" s="263" t="s">
        <v>2</v>
      </c>
      <c r="H34" s="242">
        <f>+(SUM(H27:H33))</f>
        <v>6575.7375000000011</v>
      </c>
      <c r="I34" s="264">
        <f>H34/H14</f>
        <v>0.18590190003887247</v>
      </c>
      <c r="J34" s="265">
        <f>SUM(J27:J33)</f>
        <v>7</v>
      </c>
      <c r="K34" s="242">
        <f>+(SUM(K27:K33))</f>
        <v>6939.7124999999996</v>
      </c>
      <c r="L34" s="262">
        <f>K34/K14</f>
        <v>0.17606222053087242</v>
      </c>
      <c r="M34" s="265">
        <f>SUM(M27:M33)</f>
        <v>0</v>
      </c>
      <c r="N34" s="242">
        <f>+(SUM(N27:N33))</f>
        <v>6981.1124999999993</v>
      </c>
      <c r="O34" s="262">
        <f>N34/N14</f>
        <v>0.17506943356007648</v>
      </c>
      <c r="P34" s="266"/>
      <c r="Q34" s="242">
        <f>+(SUM(Q27:Q33))</f>
        <v>7256.25</v>
      </c>
      <c r="R34" s="262">
        <f>Q34/Q14</f>
        <v>0.16901203416149069</v>
      </c>
      <c r="S34" s="261"/>
      <c r="T34" s="242">
        <f>+(SUM(T27:T33))</f>
        <v>7363.2000000000007</v>
      </c>
      <c r="U34" s="262">
        <f>T34/T14</f>
        <v>0.16688399501378762</v>
      </c>
      <c r="V34" s="261"/>
      <c r="W34" s="242">
        <f>+(SUM(W27:W33))</f>
        <v>7508.9624999999996</v>
      </c>
      <c r="X34" s="262">
        <f>W34/W14</f>
        <v>0.16416172492006667</v>
      </c>
      <c r="Y34" s="261"/>
      <c r="Z34" s="242">
        <f>+(SUM(Z27:Z33))</f>
        <v>7563.2999999999993</v>
      </c>
      <c r="AA34" s="262">
        <f>Z34/Z14</f>
        <v>0.16319559823066132</v>
      </c>
      <c r="AB34" s="261"/>
      <c r="AC34" s="242">
        <f>+(SUM(AC27:AC33))</f>
        <v>7206.2249999999995</v>
      </c>
      <c r="AD34" s="262">
        <f>AC34/AC14</f>
        <v>0.17004837472715473</v>
      </c>
      <c r="AE34" s="261"/>
      <c r="AF34" s="242">
        <f>+(SUM(AF27:AF33))</f>
        <v>7209.6749999999993</v>
      </c>
      <c r="AG34" s="262">
        <f>AF34/AF14</f>
        <v>0.16997603096328021</v>
      </c>
      <c r="AH34" s="261"/>
      <c r="AI34" s="242">
        <f>+(SUM(AI27:AI33))</f>
        <v>6940.5750000000007</v>
      </c>
      <c r="AJ34" s="262">
        <f>AI34/AI14</f>
        <v>0.17604130117731606</v>
      </c>
      <c r="AK34" s="261"/>
      <c r="AL34" s="242">
        <f>+(SUM(AL27:AL33))</f>
        <v>7335.5999999999995</v>
      </c>
      <c r="AM34" s="262">
        <f>AL34/AL14</f>
        <v>0.16742211571379664</v>
      </c>
      <c r="AN34" s="261"/>
      <c r="AO34" s="261"/>
      <c r="AP34" s="250">
        <f t="shared" si="1"/>
        <v>85557</v>
      </c>
      <c r="AQ34" s="267">
        <f>AP34/AP14</f>
        <v>0.17168628762541807</v>
      </c>
      <c r="AS34" s="252">
        <f>+AT34*AV14</f>
        <v>0.01</v>
      </c>
      <c r="AT34" s="268">
        <v>0.01</v>
      </c>
    </row>
    <row r="35" spans="3:52" x14ac:dyDescent="0.15">
      <c r="C35" s="200"/>
      <c r="E35" s="218"/>
      <c r="F35" s="191"/>
      <c r="H35" s="218"/>
      <c r="I35" s="191"/>
      <c r="K35" s="218"/>
      <c r="L35" s="191"/>
      <c r="N35" s="218"/>
      <c r="O35" s="191"/>
      <c r="P35" s="192"/>
      <c r="Q35" s="218"/>
      <c r="R35" s="191"/>
      <c r="T35" s="218"/>
      <c r="U35" s="191"/>
      <c r="W35" s="218"/>
      <c r="X35" s="191"/>
      <c r="Z35" s="218"/>
      <c r="AA35" s="191"/>
      <c r="AC35" s="218"/>
      <c r="AD35" s="191"/>
      <c r="AF35" s="218"/>
      <c r="AG35" s="191"/>
      <c r="AI35" s="218"/>
      <c r="AJ35" s="191"/>
      <c r="AL35" s="218"/>
      <c r="AM35" s="191"/>
      <c r="AP35" s="219"/>
      <c r="AQ35" s="194"/>
      <c r="AS35" s="220"/>
      <c r="AT35" s="221"/>
    </row>
    <row r="36" spans="3:52" x14ac:dyDescent="0.15">
      <c r="C36" s="254" t="s">
        <v>159</v>
      </c>
      <c r="D36" s="210"/>
      <c r="E36" s="255">
        <f>E25-E34</f>
        <v>8799.1500000000033</v>
      </c>
      <c r="F36" s="211">
        <f>E$36/E$14</f>
        <v>0.24111664230909763</v>
      </c>
      <c r="G36" s="210"/>
      <c r="H36" s="255">
        <f>H25-H34</f>
        <v>8118.7950000000001</v>
      </c>
      <c r="I36" s="211">
        <f>H$36/H$14</f>
        <v>0.22952549680185644</v>
      </c>
      <c r="J36" s="210"/>
      <c r="K36" s="255">
        <f>K25-K34</f>
        <v>10572.725</v>
      </c>
      <c r="L36" s="211">
        <f>K$36/K$14</f>
        <v>0.26823264516538231</v>
      </c>
      <c r="M36" s="210"/>
      <c r="N36" s="255">
        <f>N25-N34</f>
        <v>10851.844999999998</v>
      </c>
      <c r="O36" s="211">
        <f>N$36/N$14</f>
        <v>0.27213805209868025</v>
      </c>
      <c r="P36" s="212"/>
      <c r="Q36" s="255">
        <f>Q25-Q34</f>
        <v>12706.830000000002</v>
      </c>
      <c r="R36" s="211">
        <f>Q$36/Q$14</f>
        <v>0.29596653726708078</v>
      </c>
      <c r="S36" s="210"/>
      <c r="T36" s="255">
        <f>T25-T34</f>
        <v>13427.890000000003</v>
      </c>
      <c r="U36" s="211">
        <f>T$36/T$14</f>
        <v>0.30433777811354967</v>
      </c>
      <c r="V36" s="213"/>
      <c r="W36" s="255">
        <f>W25-W34</f>
        <v>14410.625000000002</v>
      </c>
      <c r="X36" s="211">
        <f>W$36/W$14</f>
        <v>0.3150465936107999</v>
      </c>
      <c r="Y36" s="213"/>
      <c r="Z36" s="255">
        <f>Z25-Z34</f>
        <v>16800.030000000002</v>
      </c>
      <c r="AA36" s="211">
        <f>Z$36/Z$14</f>
        <v>0.36249929873772796</v>
      </c>
      <c r="AB36" s="213"/>
      <c r="AC36" s="255">
        <f>AC25-AC34</f>
        <v>14219.43</v>
      </c>
      <c r="AD36" s="211">
        <f>AC$36/AC$14</f>
        <v>0.3355419739248422</v>
      </c>
      <c r="AE36" s="213"/>
      <c r="AF36" s="255">
        <f>AF25-AF34</f>
        <v>14244.363333333338</v>
      </c>
      <c r="AG36" s="211">
        <f>AF$36/AF$14</f>
        <v>0.33582655847855569</v>
      </c>
      <c r="AH36" s="213"/>
      <c r="AI36" s="255">
        <f>AI25-AI34</f>
        <v>12299.563333333335</v>
      </c>
      <c r="AJ36" s="211">
        <f>AI$36/AI$14</f>
        <v>0.3119671112426286</v>
      </c>
      <c r="AK36" s="213"/>
      <c r="AL36" s="255">
        <f>AL25-AL34</f>
        <v>15154.43</v>
      </c>
      <c r="AM36" s="211">
        <f>AL$36/AL$14</f>
        <v>0.3458731028186694</v>
      </c>
      <c r="AN36" s="213"/>
      <c r="AO36" s="213"/>
      <c r="AP36" s="255">
        <f>+$AL36+$AI36+$AF36+$AC36+$Z36+$W36+$T36+$Q36+$N36+$K36+$H36+$E36</f>
        <v>151605.6766666667</v>
      </c>
      <c r="AQ36" s="211">
        <f>AP$36/AP$14</f>
        <v>0.30422543812709035</v>
      </c>
      <c r="AR36" s="213"/>
      <c r="AS36" s="215">
        <f>+AS25-AS34</f>
        <v>9.5999999999999992E-3</v>
      </c>
      <c r="AT36" s="216">
        <f>AS$36/AS$14</f>
        <v>0.47999999999999993</v>
      </c>
      <c r="AU36" s="210"/>
      <c r="AV36" s="210"/>
      <c r="AW36" s="210"/>
      <c r="AX36" s="210"/>
      <c r="AY36" s="210"/>
      <c r="AZ36" s="210"/>
    </row>
    <row r="37" spans="3:52" x14ac:dyDescent="0.15">
      <c r="C37" s="200"/>
      <c r="E37" s="218"/>
      <c r="F37" s="191"/>
      <c r="H37" s="218"/>
      <c r="I37" s="191"/>
      <c r="K37" s="218"/>
      <c r="L37" s="191"/>
      <c r="N37" s="218"/>
      <c r="O37" s="191"/>
      <c r="P37" s="192"/>
      <c r="Q37" s="218"/>
      <c r="R37" s="191"/>
      <c r="T37" s="218"/>
      <c r="U37" s="191"/>
      <c r="W37" s="218"/>
      <c r="X37" s="191"/>
      <c r="Z37" s="218"/>
      <c r="AA37" s="191"/>
      <c r="AC37" s="218"/>
      <c r="AD37" s="191"/>
      <c r="AF37" s="218"/>
      <c r="AG37" s="191"/>
      <c r="AI37" s="218"/>
      <c r="AJ37" s="191"/>
      <c r="AL37" s="218"/>
      <c r="AM37" s="191"/>
      <c r="AP37" s="219"/>
      <c r="AQ37" s="194"/>
      <c r="AS37" s="220"/>
      <c r="AT37" s="221"/>
    </row>
    <row r="38" spans="3:52" x14ac:dyDescent="0.15">
      <c r="C38" s="685" t="s">
        <v>184</v>
      </c>
      <c r="E38" s="260">
        <f>'Frais financier'!E24</f>
        <v>2</v>
      </c>
      <c r="F38" s="191">
        <f>E$38/E$14</f>
        <v>5.4804530507855309E-5</v>
      </c>
      <c r="H38" s="260">
        <f>'Frais financier'!H24</f>
        <v>2</v>
      </c>
      <c r="I38" s="191">
        <f>H$38/H$14</f>
        <v>5.6541764338638049E-5</v>
      </c>
      <c r="K38" s="260">
        <f>'Frais financier'!K24</f>
        <v>2</v>
      </c>
      <c r="L38" s="191">
        <f>K$38/K$14</f>
        <v>5.074049408556116E-5</v>
      </c>
      <c r="N38" s="260">
        <f>'Frais financier'!N24</f>
        <v>2</v>
      </c>
      <c r="O38" s="191">
        <f>N$38/N$14</f>
        <v>5.0155167549606598E-5</v>
      </c>
      <c r="P38" s="192"/>
      <c r="Q38" s="260">
        <f>'Frais financier'!Q24</f>
        <v>2</v>
      </c>
      <c r="R38" s="191">
        <f>Q$38/Q$14</f>
        <v>4.6583850931677014E-5</v>
      </c>
      <c r="T38" s="260">
        <f>'Frais financier'!T24</f>
        <v>2</v>
      </c>
      <c r="U38" s="191">
        <f>T$38/T$14</f>
        <v>4.5329203339251306E-5</v>
      </c>
      <c r="W38" s="260">
        <f>'Frais financier'!W24</f>
        <v>2</v>
      </c>
      <c r="X38" s="191">
        <f>W$38/W$14</f>
        <v>4.3724209548274257E-5</v>
      </c>
      <c r="Z38" s="260">
        <f>'Frais financier'!Z24</f>
        <v>2</v>
      </c>
      <c r="AA38" s="191">
        <f>Z$38/Z$14</f>
        <v>4.3154601359369941E-5</v>
      </c>
      <c r="AC38" s="260">
        <f>'Frais financier'!AC24</f>
        <v>2</v>
      </c>
      <c r="AD38" s="191">
        <f>AC$38/AC$14</f>
        <v>4.719485576072208E-5</v>
      </c>
      <c r="AF38" s="260">
        <f>'Frais financier'!AF24</f>
        <v>2</v>
      </c>
      <c r="AG38" s="191">
        <f>AF$38/AF$14</f>
        <v>4.7152203383170587E-5</v>
      </c>
      <c r="AI38" s="260">
        <f>'Frais financier'!AI24</f>
        <v>2</v>
      </c>
      <c r="AJ38" s="191">
        <f>AI$38/AI$14</f>
        <v>5.0728160470080948E-5</v>
      </c>
      <c r="AL38" s="260">
        <f>'Frais financier'!AL24</f>
        <v>2</v>
      </c>
      <c r="AM38" s="191">
        <f>AL$38/AL$14</f>
        <v>4.5646468104530415E-5</v>
      </c>
      <c r="AP38" s="219">
        <f>+$AL38+$AI38+$AF38+$AC38+$Z38+$W38+$T38+$Q38+$N38+$K38+$H38+$E38</f>
        <v>24</v>
      </c>
      <c r="AQ38" s="194">
        <f>AP$38/AP$14</f>
        <v>4.816053511705686E-5</v>
      </c>
      <c r="AS38" s="269">
        <f>+AT38*AV14</f>
        <v>0.01</v>
      </c>
      <c r="AT38" s="205">
        <v>0.01</v>
      </c>
    </row>
    <row r="39" spans="3:52" x14ac:dyDescent="0.15">
      <c r="C39" s="685" t="s">
        <v>185</v>
      </c>
      <c r="E39" s="260">
        <f>Amortissement!E24</f>
        <v>1</v>
      </c>
      <c r="F39" s="191">
        <f>E39/E$14</f>
        <v>2.7402265253927655E-5</v>
      </c>
      <c r="H39" s="260">
        <f>Amortissement!H24</f>
        <v>1</v>
      </c>
      <c r="I39" s="191">
        <f>H39/H$14</f>
        <v>2.8270882169319025E-5</v>
      </c>
      <c r="J39" s="257">
        <v>1</v>
      </c>
      <c r="K39" s="260">
        <f>Amortissement!K24</f>
        <v>1</v>
      </c>
      <c r="L39" s="191">
        <f>K39/K$14</f>
        <v>2.537024704278058E-5</v>
      </c>
      <c r="N39" s="260">
        <f>Amortissement!N24</f>
        <v>1</v>
      </c>
      <c r="O39" s="191">
        <f>N39/N$14</f>
        <v>2.5077583774803299E-5</v>
      </c>
      <c r="P39" s="192"/>
      <c r="Q39" s="260">
        <f>Amortissement!Q24</f>
        <v>1</v>
      </c>
      <c r="R39" s="191">
        <f>Q39/Q$14</f>
        <v>2.3291925465838507E-5</v>
      </c>
      <c r="T39" s="260">
        <f>Amortissement!T24</f>
        <v>1</v>
      </c>
      <c r="U39" s="191">
        <f>T39/T$14</f>
        <v>2.2664601669625653E-5</v>
      </c>
      <c r="W39" s="260">
        <f>Amortissement!W24</f>
        <v>1</v>
      </c>
      <c r="X39" s="191">
        <f>W39/W$14</f>
        <v>2.1862104774137129E-5</v>
      </c>
      <c r="Z39" s="260">
        <f>Amortissement!Z24</f>
        <v>1</v>
      </c>
      <c r="AA39" s="191">
        <f>Z39/Z$14</f>
        <v>2.1577300679684971E-5</v>
      </c>
      <c r="AC39" s="260">
        <f>Amortissement!AC24</f>
        <v>1</v>
      </c>
      <c r="AD39" s="191">
        <f>AC39/AC$14</f>
        <v>2.359742788036104E-5</v>
      </c>
      <c r="AF39" s="260">
        <f>Amortissement!AF24</f>
        <v>1</v>
      </c>
      <c r="AG39" s="191">
        <f>AF39/AF$14</f>
        <v>2.3576101691585294E-5</v>
      </c>
      <c r="AI39" s="260">
        <f>Amortissement!AI24</f>
        <v>1</v>
      </c>
      <c r="AJ39" s="191">
        <f>AI39/AI$14</f>
        <v>2.5364080235040474E-5</v>
      </c>
      <c r="AL39" s="260">
        <f>Amortissement!AL24</f>
        <v>1</v>
      </c>
      <c r="AM39" s="191">
        <f>AL39/AL$14</f>
        <v>2.2823234052265207E-5</v>
      </c>
      <c r="AP39" s="219">
        <f t="shared" ref="AP39" si="2">+$AL39+$AI39+$AF39+$AC39+$Z39+$W39+$T39+$Q39+$N39+$K39+$H39+$E39</f>
        <v>12</v>
      </c>
      <c r="AQ39" s="194">
        <f>AP39/AP$14</f>
        <v>2.408026755852843E-5</v>
      </c>
      <c r="AS39" s="269">
        <f>+AT39*AV14</f>
        <v>0.01</v>
      </c>
      <c r="AT39" s="205">
        <v>0.01</v>
      </c>
    </row>
    <row r="40" spans="3:52" x14ac:dyDescent="0.15">
      <c r="C40" s="200"/>
      <c r="E40" s="218"/>
      <c r="F40" s="191"/>
      <c r="H40" s="218"/>
      <c r="I40" s="191"/>
      <c r="K40" s="218"/>
      <c r="L40" s="191"/>
      <c r="N40" s="218"/>
      <c r="O40" s="191"/>
      <c r="P40" s="192"/>
      <c r="Q40" s="218"/>
      <c r="R40" s="191"/>
      <c r="T40" s="218"/>
      <c r="U40" s="191"/>
      <c r="W40" s="218"/>
      <c r="X40" s="191"/>
      <c r="Z40" s="218"/>
      <c r="AA40" s="191"/>
      <c r="AC40" s="218"/>
      <c r="AD40" s="191"/>
      <c r="AF40" s="218"/>
      <c r="AG40" s="191"/>
      <c r="AI40" s="218"/>
      <c r="AJ40" s="191"/>
      <c r="AL40" s="218"/>
      <c r="AM40" s="191"/>
      <c r="AP40" s="219"/>
      <c r="AQ40" s="194"/>
      <c r="AS40" s="220"/>
      <c r="AT40" s="221"/>
    </row>
    <row r="41" spans="3:52" x14ac:dyDescent="0.15">
      <c r="C41" s="254" t="s">
        <v>160</v>
      </c>
      <c r="D41" s="270"/>
      <c r="E41" s="255">
        <f>E36-(E38+E39)</f>
        <v>8796.1500000000033</v>
      </c>
      <c r="F41" s="211">
        <f>E$41/E$14</f>
        <v>0.24103443551333584</v>
      </c>
      <c r="G41" s="212"/>
      <c r="H41" s="255">
        <f>H36-(H38+H39)</f>
        <v>8115.7950000000001</v>
      </c>
      <c r="I41" s="211">
        <f>H$41/H$14</f>
        <v>0.22944068415534849</v>
      </c>
      <c r="J41" s="210"/>
      <c r="K41" s="255">
        <f>K36-(K38+K39)</f>
        <v>10569.725</v>
      </c>
      <c r="L41" s="211">
        <f>K$41/K$14</f>
        <v>0.26815653442425397</v>
      </c>
      <c r="M41" s="210"/>
      <c r="N41" s="255">
        <f>N36-(N38+N39)</f>
        <v>10848.844999999998</v>
      </c>
      <c r="O41" s="211">
        <f>N$41/N$14</f>
        <v>0.27206281934735582</v>
      </c>
      <c r="P41" s="271"/>
      <c r="Q41" s="255">
        <f>Q36-(Q38+Q39)</f>
        <v>12703.830000000002</v>
      </c>
      <c r="R41" s="211">
        <f>Q$41/Q$14</f>
        <v>0.29589666149068328</v>
      </c>
      <c r="S41" s="213"/>
      <c r="T41" s="255">
        <f>T36-(T38+T39)</f>
        <v>13424.890000000003</v>
      </c>
      <c r="U41" s="211">
        <f>T$41/T$14</f>
        <v>0.30426978430854079</v>
      </c>
      <c r="V41" s="213"/>
      <c r="W41" s="255">
        <f>W36-(W38+W39)</f>
        <v>14407.625000000002</v>
      </c>
      <c r="X41" s="211">
        <f>W$41/W$14</f>
        <v>0.31498100729647749</v>
      </c>
      <c r="Y41" s="213"/>
      <c r="Z41" s="255">
        <f>Z36-(Z38+Z39)</f>
        <v>16797.030000000002</v>
      </c>
      <c r="AA41" s="211">
        <f>Z$41/Z$14</f>
        <v>0.36243456683568892</v>
      </c>
      <c r="AB41" s="213"/>
      <c r="AC41" s="255">
        <f>AC36-(AC38+AC39)</f>
        <v>14216.43</v>
      </c>
      <c r="AD41" s="211">
        <f>AC$41/AC$14</f>
        <v>0.3354711816412011</v>
      </c>
      <c r="AE41" s="213"/>
      <c r="AF41" s="255">
        <f>AF36-(AF38+AF39)</f>
        <v>14241.363333333338</v>
      </c>
      <c r="AG41" s="211">
        <f>AF$41/AF$14</f>
        <v>0.33575583017348093</v>
      </c>
      <c r="AH41" s="213"/>
      <c r="AI41" s="255">
        <f>AI36-(AI38+AI39)</f>
        <v>12296.563333333335</v>
      </c>
      <c r="AJ41" s="211">
        <f>AI$41/AI$14</f>
        <v>0.31189101900192345</v>
      </c>
      <c r="AK41" s="213"/>
      <c r="AL41" s="255">
        <f>AL36-(AL38+AL39)</f>
        <v>15151.43</v>
      </c>
      <c r="AM41" s="211">
        <f>AL$41/AL$14</f>
        <v>0.34580463311651261</v>
      </c>
      <c r="AN41" s="213"/>
      <c r="AO41" s="213"/>
      <c r="AP41" s="214">
        <f>+$AL41+$AI41+$AF41+$AC41+$Z41+$W41+$T41+$Q41+$N41+$K41+$H41+$E41</f>
        <v>151569.6766666667</v>
      </c>
      <c r="AQ41" s="211">
        <f>AP$41/AP$14</f>
        <v>0.30415319732441476</v>
      </c>
      <c r="AR41" s="213"/>
      <c r="AS41" s="215">
        <f>+AS36-(AS38+AS39)</f>
        <v>-1.0400000000000001E-2</v>
      </c>
      <c r="AT41" s="216">
        <f>AS$41/AS$14</f>
        <v>-0.52</v>
      </c>
      <c r="AU41" s="210"/>
      <c r="AV41" s="210">
        <v>2.8</v>
      </c>
      <c r="AW41" s="210"/>
      <c r="AX41" s="210"/>
      <c r="AY41" s="210"/>
      <c r="AZ41" s="210"/>
    </row>
    <row r="42" spans="3:52" x14ac:dyDescent="0.15">
      <c r="C42" s="200"/>
      <c r="E42" s="218"/>
      <c r="F42" s="191"/>
      <c r="H42" s="218"/>
      <c r="I42" s="191"/>
      <c r="K42" s="218"/>
      <c r="L42" s="191"/>
      <c r="N42" s="218"/>
      <c r="O42" s="191"/>
      <c r="P42" s="192"/>
      <c r="Q42" s="218"/>
      <c r="R42" s="191"/>
      <c r="T42" s="218"/>
      <c r="U42" s="191"/>
      <c r="W42" s="218"/>
      <c r="X42" s="191"/>
      <c r="Z42" s="218"/>
      <c r="AA42" s="191"/>
      <c r="AC42" s="218"/>
      <c r="AD42" s="191"/>
      <c r="AF42" s="218"/>
      <c r="AG42" s="191"/>
      <c r="AI42" s="218"/>
      <c r="AJ42" s="191"/>
      <c r="AL42" s="218"/>
      <c r="AM42" s="191"/>
      <c r="AP42" s="219"/>
      <c r="AQ42" s="194"/>
      <c r="AS42" s="220"/>
      <c r="AT42" s="221"/>
    </row>
    <row r="43" spans="3:52" x14ac:dyDescent="0.15">
      <c r="C43" s="551" t="s">
        <v>186</v>
      </c>
      <c r="E43" s="218">
        <f>+$F$47*E41</f>
        <v>87.961500000000029</v>
      </c>
      <c r="F43" s="191">
        <f>E$43/E$14</f>
        <v>2.4103443551333585E-3</v>
      </c>
      <c r="H43" s="218">
        <f>+$F$47*H41</f>
        <v>81.15795</v>
      </c>
      <c r="I43" s="191">
        <f>H$43/H$14</f>
        <v>2.294406841553485E-3</v>
      </c>
      <c r="K43" s="218">
        <f>+$F$47*K41</f>
        <v>105.69725000000001</v>
      </c>
      <c r="L43" s="191">
        <f>K$43/K$14</f>
        <v>2.6815653442425398E-3</v>
      </c>
      <c r="N43" s="218">
        <f>+$F$47*N41</f>
        <v>108.48844999999997</v>
      </c>
      <c r="O43" s="191">
        <f>N$43/N$14</f>
        <v>2.720628193473558E-3</v>
      </c>
      <c r="P43" s="192"/>
      <c r="Q43" s="218">
        <f>+$F$47*Q41</f>
        <v>127.03830000000002</v>
      </c>
      <c r="R43" s="191">
        <f>Q$43/Q$14</f>
        <v>2.9589666149068324E-3</v>
      </c>
      <c r="T43" s="218">
        <f>+$F$47*T41</f>
        <v>134.24890000000002</v>
      </c>
      <c r="U43" s="191">
        <f>T$43/T$14</f>
        <v>3.0426978430854079E-3</v>
      </c>
      <c r="W43" s="218">
        <f>+$F$47*W41</f>
        <v>144.07625000000002</v>
      </c>
      <c r="X43" s="191">
        <f>W$43/W$14</f>
        <v>3.1498100729647751E-3</v>
      </c>
      <c r="Z43" s="218">
        <f>+$F$47*Z41</f>
        <v>167.97030000000004</v>
      </c>
      <c r="AA43" s="191">
        <f>Z$43/Z$14</f>
        <v>3.6243456683568895E-3</v>
      </c>
      <c r="AC43" s="218">
        <f>+$F$47*AC41</f>
        <v>142.1643</v>
      </c>
      <c r="AD43" s="191">
        <f>AC$43/AC$14</f>
        <v>3.3547118164120112E-3</v>
      </c>
      <c r="AF43" s="218">
        <f>+$F$47*AF41</f>
        <v>142.41363333333339</v>
      </c>
      <c r="AG43" s="191">
        <f>AF$43/AF$14</f>
        <v>3.3575583017348095E-3</v>
      </c>
      <c r="AI43" s="218">
        <f>+$F$47*AI41</f>
        <v>122.96563333333336</v>
      </c>
      <c r="AJ43" s="191">
        <f>AI$43/AI$14</f>
        <v>3.1189101900192351E-3</v>
      </c>
      <c r="AL43" s="218">
        <f>+$F$47*AL41</f>
        <v>151.51430000000002</v>
      </c>
      <c r="AM43" s="191">
        <f>AL$43/AL$14</f>
        <v>3.4580463311651263E-3</v>
      </c>
      <c r="AP43" s="219">
        <f>+$AL43+$AI43+$AF43+$AC43+$Z43+$W43+$T43+$Q43+$N43+$K43+$H43+$E43</f>
        <v>1515.6967666666669</v>
      </c>
      <c r="AQ43" s="194">
        <f>AP$43/AP$14</f>
        <v>3.0415319732441477E-3</v>
      </c>
      <c r="AS43" s="269">
        <f>+$F$47*AS41</f>
        <v>-1.0400000000000002E-4</v>
      </c>
      <c r="AT43" s="221">
        <f>AS$43/AS$14</f>
        <v>-5.2000000000000006E-3</v>
      </c>
    </row>
    <row r="44" spans="3:52" ht="14" thickBot="1" x14ac:dyDescent="0.2">
      <c r="C44" s="200"/>
      <c r="E44" s="218"/>
      <c r="F44" s="191"/>
      <c r="H44" s="218"/>
      <c r="I44" s="191"/>
      <c r="K44" s="218"/>
      <c r="L44" s="191"/>
      <c r="N44" s="218"/>
      <c r="O44" s="191"/>
      <c r="P44" s="192"/>
      <c r="Q44" s="218"/>
      <c r="R44" s="191"/>
      <c r="T44" s="218"/>
      <c r="U44" s="191"/>
      <c r="W44" s="218"/>
      <c r="X44" s="191"/>
      <c r="Z44" s="218"/>
      <c r="AA44" s="191"/>
      <c r="AC44" s="218"/>
      <c r="AD44" s="191"/>
      <c r="AF44" s="218"/>
      <c r="AG44" s="191"/>
      <c r="AI44" s="218"/>
      <c r="AJ44" s="191"/>
      <c r="AL44" s="218"/>
      <c r="AM44" s="191"/>
      <c r="AP44" s="272"/>
      <c r="AQ44" s="238"/>
      <c r="AS44" s="273"/>
      <c r="AT44" s="239"/>
    </row>
    <row r="45" spans="3:52" ht="14" thickBot="1" x14ac:dyDescent="0.2">
      <c r="C45" s="274" t="s">
        <v>161</v>
      </c>
      <c r="D45" s="210"/>
      <c r="E45" s="275">
        <f>E41-E43</f>
        <v>8708.1885000000038</v>
      </c>
      <c r="F45" s="276">
        <f>E$45/E$14</f>
        <v>0.23862409115820249</v>
      </c>
      <c r="G45" s="212"/>
      <c r="H45" s="275">
        <f>H41-H43</f>
        <v>8034.6370500000003</v>
      </c>
      <c r="I45" s="276">
        <f>H$45/H$14</f>
        <v>0.227146277313795</v>
      </c>
      <c r="J45" s="210"/>
      <c r="K45" s="275">
        <f>K41-K43</f>
        <v>10464.027750000001</v>
      </c>
      <c r="L45" s="276">
        <f>K$45/K$14</f>
        <v>0.26547496908001145</v>
      </c>
      <c r="M45" s="210"/>
      <c r="N45" s="275">
        <f>N41-N43</f>
        <v>10740.356549999997</v>
      </c>
      <c r="O45" s="276">
        <f>N$45/N$14</f>
        <v>0.26934219115388225</v>
      </c>
      <c r="P45" s="271"/>
      <c r="Q45" s="275">
        <f>Q41-Q43</f>
        <v>12576.791700000002</v>
      </c>
      <c r="R45" s="276">
        <f>Q$45/Q$14</f>
        <v>0.29293769487577642</v>
      </c>
      <c r="S45" s="213"/>
      <c r="T45" s="275">
        <f>T41-T43</f>
        <v>13290.641100000003</v>
      </c>
      <c r="U45" s="276">
        <f>T$45/T$14</f>
        <v>0.30122708646545537</v>
      </c>
      <c r="V45" s="213"/>
      <c r="W45" s="275">
        <f>W41-W43</f>
        <v>14263.548750000002</v>
      </c>
      <c r="X45" s="276">
        <f>W$45/W$14</f>
        <v>0.31183119722351271</v>
      </c>
      <c r="Y45" s="213"/>
      <c r="Z45" s="275">
        <f>Z41-Z43</f>
        <v>16629.059700000002</v>
      </c>
      <c r="AA45" s="276">
        <f>Z$45/Z$14</f>
        <v>0.35881022116733202</v>
      </c>
      <c r="AB45" s="213"/>
      <c r="AC45" s="275">
        <f>AC41-AC43</f>
        <v>14074.2657</v>
      </c>
      <c r="AD45" s="276">
        <f>AC$45/AC$14</f>
        <v>0.3321164698247891</v>
      </c>
      <c r="AE45" s="213"/>
      <c r="AF45" s="275">
        <f>AF41-AF43</f>
        <v>14098.949700000005</v>
      </c>
      <c r="AG45" s="276">
        <f>AF$45/AF$14</f>
        <v>0.33239827187174609</v>
      </c>
      <c r="AH45" s="213"/>
      <c r="AI45" s="275">
        <f>AI41-AI43</f>
        <v>12173.597700000002</v>
      </c>
      <c r="AJ45" s="276">
        <f>AI$45/AI$14</f>
        <v>0.30877210881190426</v>
      </c>
      <c r="AK45" s="213"/>
      <c r="AL45" s="275">
        <f>AL41-AL43</f>
        <v>14999.9157</v>
      </c>
      <c r="AM45" s="276">
        <f>AL$45/AL$14</f>
        <v>0.34234658678534746</v>
      </c>
      <c r="AN45" s="213"/>
      <c r="AO45" s="213"/>
      <c r="AP45" s="277">
        <f>+$AL45+$AI45+$AF45+$AC45+$Z45+$W45+$T45+$Q45+$N45+$K45+$H45+$E45</f>
        <v>150053.97990000003</v>
      </c>
      <c r="AQ45" s="276">
        <f>AP$45/AP$14</f>
        <v>0.30111166535117068</v>
      </c>
      <c r="AR45" s="213"/>
      <c r="AS45" s="278">
        <f>+AS41-AS43</f>
        <v>-1.0296000000000001E-2</v>
      </c>
      <c r="AT45" s="279">
        <f>AS$45/AS$14</f>
        <v>-0.51480000000000004</v>
      </c>
      <c r="AU45" s="210"/>
      <c r="AV45" s="210"/>
      <c r="AW45" s="210"/>
      <c r="AX45" s="210"/>
      <c r="AY45" s="210"/>
      <c r="AZ45" s="210"/>
    </row>
    <row r="46" spans="3:52" ht="15" thickTop="1" thickBot="1" x14ac:dyDescent="0.2">
      <c r="P46" s="192"/>
    </row>
    <row r="47" spans="3:52" ht="15" thickTop="1" thickBot="1" x14ac:dyDescent="0.2">
      <c r="E47" s="280" t="s">
        <v>162</v>
      </c>
      <c r="F47" s="281">
        <v>0.01</v>
      </c>
      <c r="AP47" s="202" t="s">
        <v>2</v>
      </c>
    </row>
    <row r="48" spans="3:52" ht="14" thickTop="1" x14ac:dyDescent="0.15"/>
  </sheetData>
  <sheetProtection algorithmName="SHA-512" hashValue="tnWXVaqPtEzAC9dpZn5kAR7TMuHrrq8QlPldTN2xsi7ZWZ8uZtSWiF6Rh1+jfl9d2K3X/BplafHHXfqhxdR7Dg==" saltValue="cGFDR8XJmzQOXt9MXrSPJw==" spinCount="100000" sheet="1" objects="1" scenarios="1"/>
  <mergeCells count="4">
    <mergeCell ref="AY6:AZ9"/>
    <mergeCell ref="BB2:BB8"/>
    <mergeCell ref="BL2:BL8"/>
    <mergeCell ref="AS2:AT4"/>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992D-994B-954B-A05F-9788B3E910FC}">
  <sheetPr>
    <tabColor indexed="46"/>
  </sheetPr>
  <dimension ref="B1:AZ77"/>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1" width="3.6640625" customWidth="1"/>
    <col min="2" max="2" width="1.5" customWidth="1"/>
    <col min="3" max="3" width="49.83203125" customWidth="1"/>
    <col min="4" max="4" width="2.33203125" customWidth="1"/>
    <col min="5" max="5" width="14.6640625" customWidth="1"/>
    <col min="6" max="6" width="9.1640625" customWidth="1"/>
    <col min="7" max="7" width="2.5" customWidth="1"/>
    <col min="8" max="8" width="49.83203125" customWidth="1"/>
    <col min="9" max="9" width="2.1640625" customWidth="1"/>
    <col min="10" max="10" width="14.6640625" customWidth="1"/>
    <col min="11" max="11" width="11.1640625" bestFit="1" customWidth="1"/>
    <col min="12" max="12" width="9.1640625" customWidth="1"/>
    <col min="13" max="13" width="0.83203125" customWidth="1"/>
    <col min="14" max="14" width="14.664062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2</v>
      </c>
    </row>
    <row r="2" spans="3:52" ht="14" thickTop="1" x14ac:dyDescent="0.15">
      <c r="C2" s="720" t="str">
        <f>'État des Résultats'!C2</f>
        <v>Chez Les Petites Gâteries &amp; Cie.</v>
      </c>
      <c r="H2" s="720" t="str">
        <f>C2</f>
        <v>Chez Les Petites Gâteries &amp; Cie.</v>
      </c>
      <c r="AL2" t="s">
        <v>2</v>
      </c>
    </row>
    <row r="3" spans="3:52" x14ac:dyDescent="0.15">
      <c r="C3" s="1309" t="s">
        <v>403</v>
      </c>
      <c r="H3" s="1309" t="s">
        <v>402</v>
      </c>
      <c r="AL3" t="s">
        <v>2</v>
      </c>
    </row>
    <row r="4" spans="3:52" ht="14" thickBot="1" x14ac:dyDescent="0.2">
      <c r="C4" s="1310"/>
      <c r="H4" s="1310"/>
    </row>
    <row r="5" spans="3:52" ht="15" thickTop="1" thickBot="1" x14ac:dyDescent="0.2">
      <c r="C5" s="721"/>
      <c r="H5" s="721"/>
    </row>
    <row r="6" spans="3:52" ht="17" thickTop="1" x14ac:dyDescent="0.3">
      <c r="C6" s="806" t="str">
        <f>'État des Résultats'!C6</f>
        <v>Nb de places</v>
      </c>
      <c r="E6" s="722" t="s">
        <v>421</v>
      </c>
      <c r="F6" s="169">
        <f>E19/C7</f>
        <v>39000</v>
      </c>
      <c r="G6" s="26"/>
      <c r="H6" s="806" t="str">
        <f>C6</f>
        <v>Nb de places</v>
      </c>
      <c r="J6" s="722" t="str">
        <f>E6</f>
        <v>Actif / Place</v>
      </c>
      <c r="K6" s="169">
        <f>J19/H7</f>
        <v>52878.57</v>
      </c>
      <c r="AR6" s="26"/>
      <c r="AU6" s="26"/>
      <c r="AV6" s="26"/>
      <c r="AW6" s="26"/>
      <c r="AX6" s="26"/>
      <c r="AY6" s="26"/>
      <c r="AZ6" s="26"/>
    </row>
    <row r="7" spans="3:52" x14ac:dyDescent="0.15">
      <c r="C7" s="805">
        <f>'État des Résultats'!C7</f>
        <v>1</v>
      </c>
      <c r="E7" s="723" t="s">
        <v>2</v>
      </c>
      <c r="F7" s="724"/>
      <c r="G7" s="26"/>
      <c r="H7" s="805">
        <f>C7</f>
        <v>1</v>
      </c>
      <c r="J7" s="723" t="s">
        <v>2</v>
      </c>
      <c r="K7" s="724"/>
      <c r="AR7" s="26"/>
      <c r="AU7" s="26"/>
      <c r="AV7" s="26"/>
      <c r="AW7" s="26"/>
      <c r="AX7" s="26"/>
      <c r="AY7" s="26"/>
      <c r="AZ7" s="26"/>
    </row>
    <row r="8" spans="3:52" x14ac:dyDescent="0.15">
      <c r="C8" s="725" t="s">
        <v>404</v>
      </c>
      <c r="E8" s="726" t="s">
        <v>374</v>
      </c>
      <c r="F8" s="727" t="s">
        <v>138</v>
      </c>
      <c r="G8" s="728"/>
      <c r="H8" s="725" t="str">
        <f>C8</f>
        <v>Total des actifs par place</v>
      </c>
      <c r="J8" s="726" t="s">
        <v>374</v>
      </c>
      <c r="K8" s="727" t="s">
        <v>138</v>
      </c>
    </row>
    <row r="9" spans="3:52" ht="14" thickBot="1" x14ac:dyDescent="0.2">
      <c r="C9" s="729">
        <f>+E30/C7</f>
        <v>225000</v>
      </c>
      <c r="E9" s="726" t="s">
        <v>431</v>
      </c>
      <c r="F9" s="730" t="s">
        <v>2</v>
      </c>
      <c r="G9" s="731"/>
      <c r="H9" s="729">
        <f>J30/H7</f>
        <v>320278.57</v>
      </c>
      <c r="J9" s="726" t="s">
        <v>432</v>
      </c>
      <c r="K9" s="730" t="s">
        <v>2</v>
      </c>
    </row>
    <row r="10" spans="3:52" ht="14" thickTop="1" x14ac:dyDescent="0.15">
      <c r="C10" s="732" t="s">
        <v>375</v>
      </c>
      <c r="E10" s="733"/>
      <c r="F10" s="734"/>
      <c r="H10" s="732" t="str">
        <f>C10</f>
        <v>ACTIF</v>
      </c>
      <c r="J10" s="733"/>
      <c r="K10" s="734"/>
    </row>
    <row r="11" spans="3:52" x14ac:dyDescent="0.15">
      <c r="C11" s="735" t="s">
        <v>2</v>
      </c>
      <c r="E11" s="736" t="s">
        <v>2</v>
      </c>
      <c r="F11" s="737" t="s">
        <v>2</v>
      </c>
      <c r="H11" s="735" t="s">
        <v>2</v>
      </c>
      <c r="J11" s="736" t="s">
        <v>2</v>
      </c>
      <c r="K11" s="737" t="s">
        <v>2</v>
      </c>
    </row>
    <row r="12" spans="3:52" x14ac:dyDescent="0.15">
      <c r="C12" s="738" t="s">
        <v>376</v>
      </c>
      <c r="E12" s="736" t="s">
        <v>2</v>
      </c>
      <c r="F12" s="739" t="s">
        <v>2</v>
      </c>
      <c r="H12" s="738" t="str">
        <f>C12</f>
        <v>Actif courant</v>
      </c>
      <c r="J12" s="736" t="s">
        <v>2</v>
      </c>
      <c r="K12" s="739" t="s">
        <v>2</v>
      </c>
    </row>
    <row r="13" spans="3:52" x14ac:dyDescent="0.15">
      <c r="C13" s="735"/>
      <c r="E13" s="736"/>
      <c r="F13" s="739"/>
      <c r="H13" s="735"/>
      <c r="J13" s="736"/>
      <c r="K13" s="739"/>
    </row>
    <row r="14" spans="3:52" x14ac:dyDescent="0.15">
      <c r="C14" s="735" t="s">
        <v>412</v>
      </c>
      <c r="E14" s="736">
        <v>31000</v>
      </c>
      <c r="F14" s="739">
        <f>E14/E30</f>
        <v>0.13777777777777778</v>
      </c>
      <c r="H14" s="735" t="str">
        <f>C14</f>
        <v xml:space="preserve"> Trésorerie et équivalent de trésorerie</v>
      </c>
      <c r="J14" s="736">
        <v>41505.72</v>
      </c>
      <c r="K14" s="739">
        <f>J14/J30</f>
        <v>0.12959256062620736</v>
      </c>
    </row>
    <row r="15" spans="3:52" x14ac:dyDescent="0.15">
      <c r="C15" s="735" t="s">
        <v>377</v>
      </c>
      <c r="E15" s="736">
        <v>0</v>
      </c>
      <c r="F15" s="739">
        <f>E15/E30</f>
        <v>0</v>
      </c>
      <c r="H15" s="735" t="str">
        <f>C15</f>
        <v xml:space="preserve"> Clients et autres débiteurs</v>
      </c>
      <c r="J15" s="736">
        <v>0</v>
      </c>
      <c r="K15" s="739">
        <f>J15/J30</f>
        <v>0</v>
      </c>
    </row>
    <row r="16" spans="3:52" x14ac:dyDescent="0.15">
      <c r="C16" s="735" t="s">
        <v>378</v>
      </c>
      <c r="E16" s="736">
        <v>8000</v>
      </c>
      <c r="F16" s="739">
        <f>E16/E30</f>
        <v>3.5555555555555556E-2</v>
      </c>
      <c r="H16" s="735" t="str">
        <f>C16</f>
        <v xml:space="preserve"> Stocks</v>
      </c>
      <c r="J16" s="736">
        <f>+'État des Résultats'!AL16</f>
        <v>11372.849999999999</v>
      </c>
      <c r="K16" s="739">
        <f>J16/J30</f>
        <v>3.5509244343135411E-2</v>
      </c>
    </row>
    <row r="17" spans="2:52" x14ac:dyDescent="0.15">
      <c r="C17" s="735" t="s">
        <v>379</v>
      </c>
      <c r="E17" s="736">
        <v>0</v>
      </c>
      <c r="F17" s="739">
        <f>E17/E30</f>
        <v>0</v>
      </c>
      <c r="H17" s="735" t="str">
        <f>C17</f>
        <v xml:space="preserve"> Autres actifs courants</v>
      </c>
      <c r="J17" s="736">
        <v>0</v>
      </c>
      <c r="K17" s="739">
        <f>J17/J30</f>
        <v>0</v>
      </c>
    </row>
    <row r="18" spans="2:52" ht="14" thickBot="1" x14ac:dyDescent="0.2">
      <c r="C18" s="740" t="s">
        <v>2</v>
      </c>
      <c r="E18" s="736" t="s">
        <v>2</v>
      </c>
      <c r="F18" s="739" t="s">
        <v>2</v>
      </c>
      <c r="H18" s="740" t="s">
        <v>2</v>
      </c>
      <c r="J18" s="736" t="s">
        <v>2</v>
      </c>
      <c r="K18" s="739" t="s">
        <v>2</v>
      </c>
    </row>
    <row r="19" spans="2:52" ht="14" thickBot="1" x14ac:dyDescent="0.2">
      <c r="C19" s="741" t="s">
        <v>380</v>
      </c>
      <c r="D19" s="742"/>
      <c r="E19" s="743">
        <f>SUM(E14:E17)</f>
        <v>39000</v>
      </c>
      <c r="F19" s="744">
        <f>E19/E30</f>
        <v>0.17333333333333334</v>
      </c>
      <c r="H19" s="741" t="str">
        <f>C19</f>
        <v>Total des actifs courants</v>
      </c>
      <c r="I19" s="742"/>
      <c r="J19" s="743">
        <f>SUM(J14:J17)</f>
        <v>52878.57</v>
      </c>
      <c r="K19" s="744">
        <f>J19/J30</f>
        <v>0.16510180496934276</v>
      </c>
      <c r="AR19" s="742"/>
      <c r="AS19" s="742"/>
      <c r="AT19" s="742"/>
      <c r="AU19" s="742"/>
      <c r="AV19" s="742"/>
      <c r="AW19" s="742"/>
      <c r="AX19" s="742"/>
      <c r="AY19" s="742"/>
      <c r="AZ19" s="742"/>
    </row>
    <row r="20" spans="2:52" x14ac:dyDescent="0.15">
      <c r="C20" s="745"/>
      <c r="E20" s="746" t="s">
        <v>2</v>
      </c>
      <c r="F20" s="747"/>
      <c r="H20" s="745"/>
      <c r="J20" s="746" t="s">
        <v>2</v>
      </c>
      <c r="K20" s="747"/>
    </row>
    <row r="21" spans="2:52" x14ac:dyDescent="0.15">
      <c r="B21" s="748"/>
      <c r="C21" s="749" t="s">
        <v>381</v>
      </c>
      <c r="D21" s="750"/>
      <c r="E21" s="751" t="s">
        <v>2</v>
      </c>
      <c r="F21" s="752" t="s">
        <v>2</v>
      </c>
      <c r="H21" s="749" t="str">
        <f>C21</f>
        <v>Actif non courant</v>
      </c>
      <c r="I21" s="750"/>
      <c r="J21" s="751" t="s">
        <v>2</v>
      </c>
      <c r="K21" s="752" t="s">
        <v>2</v>
      </c>
      <c r="AT21" s="753" t="s">
        <v>2</v>
      </c>
    </row>
    <row r="22" spans="2:52" x14ac:dyDescent="0.15">
      <c r="C22" s="754"/>
      <c r="E22" s="755"/>
      <c r="F22" s="747"/>
      <c r="H22" s="754"/>
      <c r="J22" s="755"/>
      <c r="K22" s="747"/>
    </row>
    <row r="23" spans="2:52" x14ac:dyDescent="0.15">
      <c r="C23" s="756" t="s">
        <v>382</v>
      </c>
      <c r="E23" s="736">
        <v>0</v>
      </c>
      <c r="F23" s="747">
        <f>E23/E30</f>
        <v>0</v>
      </c>
      <c r="H23" s="756" t="str">
        <f>C23</f>
        <v xml:space="preserve"> Placements</v>
      </c>
      <c r="J23" s="736">
        <v>100000</v>
      </c>
      <c r="K23" s="747">
        <f>J23/J30</f>
        <v>0.31222819559860032</v>
      </c>
    </row>
    <row r="24" spans="2:52" x14ac:dyDescent="0.15">
      <c r="C24" s="756" t="s">
        <v>415</v>
      </c>
      <c r="E24" s="736">
        <v>186000</v>
      </c>
      <c r="F24" s="747">
        <f>E24/E30</f>
        <v>0.82666666666666666</v>
      </c>
      <c r="H24" s="756" t="str">
        <f>C24</f>
        <v xml:space="preserve"> Immobilisations corporelles </v>
      </c>
      <c r="J24" s="736">
        <f>+(E24-18600)</f>
        <v>167400</v>
      </c>
      <c r="K24" s="747">
        <f>J24/J30</f>
        <v>0.52266999943205694</v>
      </c>
    </row>
    <row r="25" spans="2:52" x14ac:dyDescent="0.15">
      <c r="C25" s="756" t="s">
        <v>414</v>
      </c>
      <c r="E25" s="736">
        <v>0</v>
      </c>
      <c r="F25" s="747">
        <f>E25/E30</f>
        <v>0</v>
      </c>
      <c r="H25" s="756" t="str">
        <f>C25</f>
        <v xml:space="preserve"> Immobilisations incorporelles</v>
      </c>
      <c r="J25" s="736">
        <v>0</v>
      </c>
      <c r="K25" s="747">
        <f>J25/J30</f>
        <v>0</v>
      </c>
    </row>
    <row r="26" spans="2:52" x14ac:dyDescent="0.15">
      <c r="C26" s="756" t="s">
        <v>383</v>
      </c>
      <c r="E26" s="736">
        <v>0</v>
      </c>
      <c r="F26" s="747">
        <f>E26/E30</f>
        <v>0</v>
      </c>
      <c r="H26" s="756" t="str">
        <f>C26</f>
        <v xml:space="preserve"> Achalandage (Goodwill)</v>
      </c>
      <c r="J26" s="736">
        <v>0</v>
      </c>
      <c r="K26" s="747">
        <f>J26/J30</f>
        <v>0</v>
      </c>
    </row>
    <row r="27" spans="2:52" x14ac:dyDescent="0.15">
      <c r="C27" s="756"/>
      <c r="E27" s="757"/>
      <c r="F27" s="747"/>
      <c r="H27" s="756"/>
      <c r="J27" s="757"/>
      <c r="K27" s="747"/>
    </row>
    <row r="28" spans="2:52" x14ac:dyDescent="0.15">
      <c r="C28" s="758" t="s">
        <v>384</v>
      </c>
      <c r="D28" s="759"/>
      <c r="E28" s="760">
        <f>SUM(E23:E26)</f>
        <v>186000</v>
      </c>
      <c r="F28" s="761">
        <f>E28/E30</f>
        <v>0.82666666666666666</v>
      </c>
      <c r="H28" s="758" t="str">
        <f>C28</f>
        <v>Total des actifs non courant</v>
      </c>
      <c r="I28" s="759"/>
      <c r="J28" s="760">
        <f>SUM(J23:J26)</f>
        <v>267400</v>
      </c>
      <c r="K28" s="761">
        <f>J28/J30</f>
        <v>0.83489819503065721</v>
      </c>
      <c r="AS28" s="753" t="s">
        <v>2</v>
      </c>
    </row>
    <row r="29" spans="2:52" x14ac:dyDescent="0.15">
      <c r="C29" s="754"/>
      <c r="E29" s="755"/>
      <c r="F29" s="747"/>
      <c r="H29" s="754"/>
      <c r="J29" s="755"/>
      <c r="K29" s="747"/>
    </row>
    <row r="30" spans="2:52" x14ac:dyDescent="0.15">
      <c r="C30" s="762" t="s">
        <v>416</v>
      </c>
      <c r="D30" s="759"/>
      <c r="E30" s="763">
        <f>+E19+E28</f>
        <v>225000</v>
      </c>
      <c r="F30" s="764">
        <f>E30/E30</f>
        <v>1</v>
      </c>
      <c r="H30" s="762" t="str">
        <f>C30</f>
        <v>TOTAL DES ACTIFS</v>
      </c>
      <c r="I30" s="759"/>
      <c r="J30" s="763">
        <f>+J19+J28</f>
        <v>320278.57</v>
      </c>
      <c r="K30" s="764">
        <f>J30/J30</f>
        <v>1</v>
      </c>
      <c r="N30" s="1114">
        <f>+J66-J30</f>
        <v>-97389.023233333341</v>
      </c>
      <c r="AR30" s="37"/>
    </row>
    <row r="31" spans="2:52" x14ac:dyDescent="0.15">
      <c r="C31" s="754"/>
      <c r="E31" s="755"/>
      <c r="F31" s="747"/>
      <c r="H31" s="754"/>
      <c r="J31" s="755"/>
      <c r="K31" s="747"/>
    </row>
    <row r="32" spans="2:52" x14ac:dyDescent="0.15">
      <c r="C32" s="765" t="s">
        <v>385</v>
      </c>
      <c r="D32" s="742"/>
      <c r="E32" s="255" t="s">
        <v>2</v>
      </c>
      <c r="F32" s="744" t="s">
        <v>2</v>
      </c>
      <c r="H32" s="765" t="str">
        <f>C32</f>
        <v>PASSIF</v>
      </c>
      <c r="I32" s="742"/>
      <c r="J32" s="255" t="s">
        <v>2</v>
      </c>
      <c r="K32" s="744" t="s">
        <v>2</v>
      </c>
      <c r="AR32" s="766"/>
      <c r="AS32" s="742"/>
      <c r="AT32" s="742"/>
      <c r="AU32" s="742"/>
      <c r="AV32" s="742"/>
      <c r="AW32" s="742"/>
      <c r="AX32" s="742"/>
      <c r="AY32" s="742"/>
      <c r="AZ32" s="742"/>
    </row>
    <row r="33" spans="3:52" x14ac:dyDescent="0.15">
      <c r="C33" s="767"/>
      <c r="E33" s="755"/>
      <c r="F33" s="747"/>
      <c r="H33" s="767"/>
      <c r="J33" s="755"/>
      <c r="K33" s="747"/>
    </row>
    <row r="34" spans="3:52" x14ac:dyDescent="0.15">
      <c r="C34" s="738" t="s">
        <v>413</v>
      </c>
      <c r="E34" s="768" t="s">
        <v>2</v>
      </c>
      <c r="F34" s="769" t="s">
        <v>2</v>
      </c>
      <c r="H34" s="738" t="str">
        <f>C34</f>
        <v>Passif courant</v>
      </c>
      <c r="J34" s="768" t="s">
        <v>2</v>
      </c>
      <c r="K34" s="769" t="s">
        <v>2</v>
      </c>
    </row>
    <row r="35" spans="3:52" x14ac:dyDescent="0.15">
      <c r="C35" s="735" t="s">
        <v>2</v>
      </c>
      <c r="D35" s="770"/>
      <c r="E35" s="768" t="s">
        <v>2</v>
      </c>
      <c r="F35" s="769" t="s">
        <v>2</v>
      </c>
      <c r="H35" s="735" t="s">
        <v>2</v>
      </c>
      <c r="I35" s="770"/>
      <c r="J35" s="768" t="s">
        <v>2</v>
      </c>
      <c r="K35" s="769" t="s">
        <v>2</v>
      </c>
    </row>
    <row r="36" spans="3:52" x14ac:dyDescent="0.15">
      <c r="C36" s="735" t="s">
        <v>386</v>
      </c>
      <c r="D36" s="770"/>
      <c r="E36" s="768">
        <v>0</v>
      </c>
      <c r="F36" s="747">
        <f>E36/E30</f>
        <v>0</v>
      </c>
      <c r="H36" s="735" t="str">
        <f t="shared" ref="H36:H41" si="0">C36</f>
        <v xml:space="preserve"> Découverts bancaires</v>
      </c>
      <c r="I36" s="770"/>
      <c r="J36" s="768">
        <v>0</v>
      </c>
      <c r="K36" s="747">
        <f>J36/J30</f>
        <v>0</v>
      </c>
    </row>
    <row r="37" spans="3:52" x14ac:dyDescent="0.15">
      <c r="C37" s="735" t="s">
        <v>387</v>
      </c>
      <c r="D37" s="770"/>
      <c r="E37" s="768">
        <v>0</v>
      </c>
      <c r="F37" s="747">
        <f>E37/E30</f>
        <v>0</v>
      </c>
      <c r="H37" s="735" t="str">
        <f t="shared" si="0"/>
        <v xml:space="preserve"> Emprunts bancaires</v>
      </c>
      <c r="I37" s="770"/>
      <c r="J37" s="768">
        <v>0</v>
      </c>
      <c r="K37" s="747">
        <f>J37/J30</f>
        <v>0</v>
      </c>
    </row>
    <row r="38" spans="3:52" x14ac:dyDescent="0.15">
      <c r="C38" s="735" t="s">
        <v>410</v>
      </c>
      <c r="E38" s="768">
        <v>0</v>
      </c>
      <c r="F38" s="747">
        <f>E38/E30</f>
        <v>0</v>
      </c>
      <c r="H38" s="735" t="str">
        <f t="shared" si="0"/>
        <v xml:space="preserve"> Fournisseurs et autres créditeurs </v>
      </c>
      <c r="J38" s="768">
        <f>+'État des Résultats'!AL16+'État des Résultats'!AP43</f>
        <v>12888.546766666666</v>
      </c>
      <c r="K38" s="747">
        <f>J38/J30</f>
        <v>4.0241677008445075E-2</v>
      </c>
    </row>
    <row r="39" spans="3:52" x14ac:dyDescent="0.15">
      <c r="C39" s="735" t="s">
        <v>388</v>
      </c>
      <c r="E39" s="768">
        <v>0</v>
      </c>
      <c r="F39" s="747">
        <f>E39/E30</f>
        <v>0</v>
      </c>
      <c r="H39" s="735" t="str">
        <f t="shared" si="0"/>
        <v xml:space="preserve"> Produits différés</v>
      </c>
      <c r="J39" s="768">
        <v>0</v>
      </c>
      <c r="K39" s="747">
        <f>J39/J30</f>
        <v>0</v>
      </c>
    </row>
    <row r="40" spans="3:52" x14ac:dyDescent="0.15">
      <c r="C40" s="735" t="s">
        <v>389</v>
      </c>
      <c r="E40" s="768">
        <v>0</v>
      </c>
      <c r="F40" s="747">
        <f>E40/E30</f>
        <v>0</v>
      </c>
      <c r="H40" s="735" t="str">
        <f t="shared" si="0"/>
        <v xml:space="preserve"> Provisions pour risques et charges</v>
      </c>
      <c r="J40" s="768">
        <v>0</v>
      </c>
      <c r="K40" s="747">
        <f>J40/J30</f>
        <v>0</v>
      </c>
    </row>
    <row r="41" spans="3:52" x14ac:dyDescent="0.15">
      <c r="C41" s="735" t="s">
        <v>390</v>
      </c>
      <c r="E41" s="768">
        <v>0</v>
      </c>
      <c r="F41" s="747">
        <f>E41/E30</f>
        <v>0</v>
      </c>
      <c r="H41" s="735" t="str">
        <f t="shared" si="0"/>
        <v xml:space="preserve"> Partie courante de la dette</v>
      </c>
      <c r="J41" s="768">
        <v>0</v>
      </c>
      <c r="K41" s="747">
        <f>J41/J30</f>
        <v>0</v>
      </c>
    </row>
    <row r="42" spans="3:52" x14ac:dyDescent="0.15">
      <c r="C42" s="735"/>
      <c r="E42" s="768"/>
      <c r="F42" s="747"/>
      <c r="H42" s="735"/>
      <c r="J42" s="768"/>
      <c r="K42" s="747"/>
    </row>
    <row r="43" spans="3:52" x14ac:dyDescent="0.15">
      <c r="C43" s="758" t="s">
        <v>391</v>
      </c>
      <c r="D43" s="771"/>
      <c r="E43" s="772">
        <f>SUM(E36:E41)</f>
        <v>0</v>
      </c>
      <c r="F43" s="773">
        <f>E43/E30</f>
        <v>0</v>
      </c>
      <c r="H43" s="758" t="str">
        <f>C43</f>
        <v>Total des passifs courants</v>
      </c>
      <c r="I43" s="771"/>
      <c r="J43" s="772">
        <f>SUM(J36:J41)</f>
        <v>12888.546766666666</v>
      </c>
      <c r="K43" s="773">
        <f>J43/J30</f>
        <v>4.0241677008445075E-2</v>
      </c>
      <c r="AS43" s="753" t="s">
        <v>2</v>
      </c>
    </row>
    <row r="44" spans="3:52" x14ac:dyDescent="0.15">
      <c r="C44" s="767"/>
      <c r="E44" s="755"/>
      <c r="F44" s="747"/>
      <c r="H44" s="767"/>
      <c r="J44" s="755"/>
      <c r="K44" s="747"/>
    </row>
    <row r="45" spans="3:52" x14ac:dyDescent="0.15">
      <c r="C45" s="774" t="s">
        <v>392</v>
      </c>
      <c r="D45" s="748"/>
      <c r="E45" s="775" t="s">
        <v>2</v>
      </c>
      <c r="F45" s="776" t="s">
        <v>2</v>
      </c>
      <c r="H45" s="774" t="str">
        <f>C45</f>
        <v>Passif non courant</v>
      </c>
      <c r="I45" s="748"/>
      <c r="J45" s="775" t="s">
        <v>2</v>
      </c>
      <c r="K45" s="776" t="s">
        <v>2</v>
      </c>
      <c r="AR45" s="766"/>
      <c r="AS45" s="742"/>
      <c r="AT45" s="742"/>
      <c r="AU45" s="742"/>
      <c r="AV45" s="742"/>
      <c r="AW45" s="742"/>
      <c r="AX45" s="742"/>
      <c r="AY45" s="742"/>
      <c r="AZ45" s="742"/>
    </row>
    <row r="46" spans="3:52" x14ac:dyDescent="0.15">
      <c r="C46" s="767"/>
      <c r="E46" s="755"/>
      <c r="F46" s="747"/>
      <c r="H46" s="767"/>
      <c r="J46" s="755"/>
      <c r="K46" s="747"/>
    </row>
    <row r="47" spans="3:52" x14ac:dyDescent="0.15">
      <c r="C47" s="735" t="s">
        <v>411</v>
      </c>
      <c r="E47" s="768">
        <v>150000</v>
      </c>
      <c r="F47" s="747">
        <f>E47/E30</f>
        <v>0.66666666666666663</v>
      </c>
      <c r="H47" s="735" t="str">
        <f>C47</f>
        <v xml:space="preserve"> Emprunts hypothécaires </v>
      </c>
      <c r="J47" s="768">
        <f>+(E47-15000)</f>
        <v>135000</v>
      </c>
      <c r="K47" s="747">
        <f>J47/J30</f>
        <v>0.42150806405811042</v>
      </c>
      <c r="AS47" s="753" t="s">
        <v>2</v>
      </c>
    </row>
    <row r="48" spans="3:52" x14ac:dyDescent="0.15">
      <c r="C48" s="735" t="s">
        <v>393</v>
      </c>
      <c r="E48" s="768">
        <v>0</v>
      </c>
      <c r="F48" s="747">
        <f>E48/E30</f>
        <v>0</v>
      </c>
      <c r="H48" s="735" t="str">
        <f>C48</f>
        <v xml:space="preserve"> Emprunts obligataires</v>
      </c>
      <c r="J48" s="768">
        <v>0</v>
      </c>
      <c r="K48" s="747">
        <f>J48/J30</f>
        <v>0</v>
      </c>
      <c r="AS48" s="753"/>
    </row>
    <row r="49" spans="3:52" x14ac:dyDescent="0.15">
      <c r="C49" s="735" t="s">
        <v>394</v>
      </c>
      <c r="E49" s="768">
        <v>0</v>
      </c>
      <c r="F49" s="747">
        <f>E49/E30</f>
        <v>0</v>
      </c>
      <c r="H49" s="735" t="str">
        <f>C49</f>
        <v xml:space="preserve"> Obligations découlant de contrats de location-financement</v>
      </c>
      <c r="J49" s="768">
        <v>0</v>
      </c>
      <c r="K49" s="747">
        <f>J49/J30</f>
        <v>0</v>
      </c>
      <c r="AS49" s="753"/>
    </row>
    <row r="50" spans="3:52" x14ac:dyDescent="0.15">
      <c r="C50" s="735" t="s">
        <v>395</v>
      </c>
      <c r="E50" s="768">
        <v>0</v>
      </c>
      <c r="F50" s="747">
        <f>E50/E30</f>
        <v>0</v>
      </c>
      <c r="H50" s="735" t="str">
        <f>C50</f>
        <v xml:space="preserve"> Impôts différés</v>
      </c>
      <c r="J50" s="768">
        <v>0</v>
      </c>
      <c r="K50" s="747">
        <f>J50/J30</f>
        <v>0</v>
      </c>
      <c r="AS50" s="753"/>
    </row>
    <row r="51" spans="3:52" x14ac:dyDescent="0.15">
      <c r="C51" s="767"/>
      <c r="E51" s="755"/>
      <c r="F51" s="747"/>
      <c r="H51" s="767"/>
      <c r="J51" s="755"/>
      <c r="K51" s="747"/>
    </row>
    <row r="52" spans="3:52" x14ac:dyDescent="0.15">
      <c r="C52" s="777" t="s">
        <v>417</v>
      </c>
      <c r="D52" s="742"/>
      <c r="E52" s="255">
        <f>+SUM(E47:E50)</f>
        <v>150000</v>
      </c>
      <c r="F52" s="744">
        <f>E52/E30</f>
        <v>0.66666666666666663</v>
      </c>
      <c r="H52" s="777" t="str">
        <f>C52</f>
        <v>Total des passifs non courant</v>
      </c>
      <c r="I52" s="742"/>
      <c r="J52" s="255">
        <f>+SUM(J47:J50)</f>
        <v>135000</v>
      </c>
      <c r="K52" s="744">
        <f>J52/J30</f>
        <v>0.42150806405811042</v>
      </c>
      <c r="AR52" s="766"/>
      <c r="AS52" s="742"/>
      <c r="AT52" s="742"/>
      <c r="AU52" s="742"/>
      <c r="AV52" s="742"/>
      <c r="AW52" s="742"/>
      <c r="AX52" s="742"/>
      <c r="AY52" s="742"/>
      <c r="AZ52" s="742"/>
    </row>
    <row r="53" spans="3:52" x14ac:dyDescent="0.15">
      <c r="C53" s="778"/>
      <c r="D53" s="779"/>
      <c r="E53" s="780"/>
      <c r="F53" s="781"/>
      <c r="H53" s="778"/>
      <c r="I53" s="779"/>
      <c r="J53" s="780"/>
      <c r="K53" s="781"/>
      <c r="AR53" s="766"/>
      <c r="AS53" s="742"/>
      <c r="AT53" s="742"/>
      <c r="AU53" s="742"/>
      <c r="AV53" s="742"/>
      <c r="AW53" s="742"/>
      <c r="AX53" s="742"/>
      <c r="AY53" s="742"/>
      <c r="AZ53" s="742"/>
    </row>
    <row r="54" spans="3:52" x14ac:dyDescent="0.15">
      <c r="C54" s="782" t="s">
        <v>418</v>
      </c>
      <c r="D54" s="779"/>
      <c r="E54" s="783">
        <f>+E43+E52</f>
        <v>150000</v>
      </c>
      <c r="F54" s="784">
        <f>E54/E30</f>
        <v>0.66666666666666663</v>
      </c>
      <c r="H54" s="782" t="str">
        <f>C54</f>
        <v>TOTAL DES PASSIFS</v>
      </c>
      <c r="I54" s="779"/>
      <c r="J54" s="783">
        <f>+J43+J52</f>
        <v>147888.54676666667</v>
      </c>
      <c r="K54" s="784">
        <f>J54/J30</f>
        <v>0.46174974106655547</v>
      </c>
      <c r="AR54" s="766"/>
      <c r="AS54" s="742"/>
      <c r="AT54" s="742"/>
      <c r="AU54" s="742"/>
      <c r="AV54" s="742"/>
      <c r="AW54" s="742"/>
      <c r="AX54" s="742"/>
      <c r="AY54" s="742"/>
      <c r="AZ54" s="742"/>
    </row>
    <row r="55" spans="3:52" x14ac:dyDescent="0.15">
      <c r="C55" s="767"/>
      <c r="E55" s="755"/>
      <c r="F55" s="747"/>
      <c r="H55" s="767"/>
      <c r="J55" s="755"/>
      <c r="K55" s="747"/>
    </row>
    <row r="56" spans="3:52" x14ac:dyDescent="0.15">
      <c r="C56" s="785" t="s">
        <v>396</v>
      </c>
      <c r="E56" s="786" t="s">
        <v>2</v>
      </c>
      <c r="F56" s="787" t="s">
        <v>2</v>
      </c>
      <c r="H56" s="785" t="str">
        <f>C56</f>
        <v>CAPITAUX PROPRES</v>
      </c>
      <c r="J56" s="786" t="s">
        <v>2</v>
      </c>
      <c r="K56" s="787" t="s">
        <v>2</v>
      </c>
      <c r="AS56" s="753" t="s">
        <v>2</v>
      </c>
    </row>
    <row r="57" spans="3:52" x14ac:dyDescent="0.15">
      <c r="C57" s="788"/>
      <c r="D57" s="770"/>
      <c r="E57" s="789"/>
      <c r="F57" s="790"/>
      <c r="H57" s="788"/>
      <c r="I57" s="770"/>
      <c r="J57" s="789"/>
      <c r="K57" s="790"/>
      <c r="AS57" s="753"/>
    </row>
    <row r="58" spans="3:52" x14ac:dyDescent="0.15">
      <c r="C58" s="791" t="s">
        <v>397</v>
      </c>
      <c r="D58" s="770"/>
      <c r="E58" s="768">
        <v>75000</v>
      </c>
      <c r="F58" s="792">
        <f>E58/$E$30</f>
        <v>0.33333333333333331</v>
      </c>
      <c r="H58" s="791" t="str">
        <f>C58</f>
        <v xml:space="preserve"> Capital actions</v>
      </c>
      <c r="I58" s="770"/>
      <c r="J58" s="768">
        <v>75000</v>
      </c>
      <c r="K58" s="792">
        <f>J58/$J$30</f>
        <v>0.23417114669895023</v>
      </c>
      <c r="AS58" s="753"/>
    </row>
    <row r="59" spans="3:52" x14ac:dyDescent="0.15">
      <c r="C59" s="791" t="s">
        <v>420</v>
      </c>
      <c r="D59" s="770"/>
      <c r="E59" s="768">
        <v>0</v>
      </c>
      <c r="F59" s="792">
        <f t="shared" ref="F59:F62" si="1">E59/$E$30</f>
        <v>0</v>
      </c>
      <c r="H59" s="791" t="str">
        <f>C59</f>
        <v xml:space="preserve"> Surplus d’apports</v>
      </c>
      <c r="I59" s="770"/>
      <c r="J59" s="768">
        <v>0</v>
      </c>
      <c r="K59" s="792">
        <f>J59/$J$30</f>
        <v>0</v>
      </c>
      <c r="AS59" s="753"/>
    </row>
    <row r="60" spans="3:52" x14ac:dyDescent="0.15">
      <c r="C60" s="791" t="s">
        <v>398</v>
      </c>
      <c r="D60" s="770"/>
      <c r="E60" s="768">
        <v>0</v>
      </c>
      <c r="F60" s="792">
        <f t="shared" si="1"/>
        <v>0</v>
      </c>
      <c r="H60" s="791" t="str">
        <f>C60</f>
        <v xml:space="preserve"> Résultats non distribués</v>
      </c>
      <c r="I60" s="770"/>
      <c r="J60" s="768">
        <v>1</v>
      </c>
      <c r="K60" s="792">
        <f>J60/$J$30</f>
        <v>3.1222819559860031E-6</v>
      </c>
      <c r="AS60" s="753"/>
    </row>
    <row r="61" spans="3:52" x14ac:dyDescent="0.15">
      <c r="C61" s="791" t="s">
        <v>399</v>
      </c>
      <c r="D61" s="770"/>
      <c r="E61" s="768">
        <v>0</v>
      </c>
      <c r="F61" s="792">
        <f t="shared" si="1"/>
        <v>0</v>
      </c>
      <c r="H61" s="791" t="str">
        <f>C61</f>
        <v xml:space="preserve"> Cumul des autres éléments du résultat global</v>
      </c>
      <c r="I61" s="770"/>
      <c r="J61" s="768">
        <v>0</v>
      </c>
      <c r="K61" s="792">
        <f>J61/$J$30</f>
        <v>0</v>
      </c>
      <c r="AS61" s="753"/>
    </row>
    <row r="62" spans="3:52" x14ac:dyDescent="0.15">
      <c r="C62" s="791" t="s">
        <v>419</v>
      </c>
      <c r="D62" s="770"/>
      <c r="E62" s="768">
        <v>0</v>
      </c>
      <c r="F62" s="792">
        <f t="shared" si="1"/>
        <v>0</v>
      </c>
      <c r="H62" s="791" t="str">
        <f>C62</f>
        <v xml:space="preserve"> Participation ne donnant pas le contrôle</v>
      </c>
      <c r="I62" s="770"/>
      <c r="J62" s="768">
        <v>0</v>
      </c>
      <c r="K62" s="792">
        <f>J62/$J$30</f>
        <v>0</v>
      </c>
      <c r="AS62" s="753"/>
    </row>
    <row r="63" spans="3:52" x14ac:dyDescent="0.15">
      <c r="C63" s="793"/>
      <c r="E63" s="755"/>
      <c r="F63" s="747"/>
      <c r="H63" s="793"/>
      <c r="J63" s="746" t="s">
        <v>2</v>
      </c>
      <c r="K63" s="769" t="s">
        <v>2</v>
      </c>
    </row>
    <row r="64" spans="3:52" ht="14" thickBot="1" x14ac:dyDescent="0.2">
      <c r="C64" s="794" t="s">
        <v>400</v>
      </c>
      <c r="D64" s="742"/>
      <c r="E64" s="795">
        <f>+SUM(E58:E62)</f>
        <v>75000</v>
      </c>
      <c r="F64" s="796">
        <f>E64/E30</f>
        <v>0.33333333333333331</v>
      </c>
      <c r="H64" s="794" t="str">
        <f>C64</f>
        <v>Total des capitaux propres</v>
      </c>
      <c r="I64" s="742"/>
      <c r="J64" s="795">
        <f>+SUM(J58:J62)</f>
        <v>75001</v>
      </c>
      <c r="K64" s="796">
        <f>J64/J30</f>
        <v>0.23417426898090621</v>
      </c>
      <c r="AR64" s="766"/>
      <c r="AS64" s="797" t="s">
        <v>2</v>
      </c>
      <c r="AT64" s="797" t="s">
        <v>2</v>
      </c>
      <c r="AU64" s="742"/>
      <c r="AV64" s="742"/>
      <c r="AW64" s="742"/>
      <c r="AX64" s="742"/>
      <c r="AY64" s="742"/>
      <c r="AZ64" s="742"/>
    </row>
    <row r="65" spans="3:42" ht="15" thickTop="1" thickBot="1" x14ac:dyDescent="0.2">
      <c r="C65" s="767"/>
      <c r="E65" s="798"/>
      <c r="F65" s="799"/>
      <c r="H65" s="767"/>
      <c r="J65" s="798"/>
      <c r="K65" s="799"/>
      <c r="P65" s="800"/>
    </row>
    <row r="66" spans="3:42" ht="15" thickTop="1" thickBot="1" x14ac:dyDescent="0.2">
      <c r="C66" s="801" t="s">
        <v>401</v>
      </c>
      <c r="E66" s="802">
        <f>+E54+E64</f>
        <v>225000</v>
      </c>
      <c r="F66" s="803">
        <f>E66/E30</f>
        <v>1</v>
      </c>
      <c r="H66" s="801" t="str">
        <f>C66</f>
        <v>TOTAL DES PASSIFS ET DES CAPITAUX PROPRES</v>
      </c>
      <c r="J66" s="802">
        <f>+J54+J64</f>
        <v>222889.54676666667</v>
      </c>
      <c r="K66" s="803">
        <f>J66/J30</f>
        <v>0.69592401004746174</v>
      </c>
      <c r="AP66" s="32" t="s">
        <v>2</v>
      </c>
    </row>
    <row r="67" spans="3:42" ht="14" thickTop="1" x14ac:dyDescent="0.15">
      <c r="H67" s="32"/>
      <c r="I67" s="804"/>
    </row>
    <row r="68" spans="3:42" x14ac:dyDescent="0.15">
      <c r="H68" s="32"/>
      <c r="I68" s="804"/>
      <c r="J68" s="982"/>
    </row>
    <row r="69" spans="3:42" x14ac:dyDescent="0.15">
      <c r="H69" s="32"/>
      <c r="I69" s="804"/>
    </row>
    <row r="70" spans="3:42" x14ac:dyDescent="0.15">
      <c r="H70" s="32"/>
      <c r="I70" s="804"/>
    </row>
    <row r="71" spans="3:42" x14ac:dyDescent="0.15">
      <c r="H71" s="32"/>
      <c r="I71" s="804"/>
    </row>
    <row r="72" spans="3:42" x14ac:dyDescent="0.15">
      <c r="H72" s="32"/>
      <c r="I72" s="804"/>
    </row>
    <row r="73" spans="3:42" x14ac:dyDescent="0.15">
      <c r="I73" s="804"/>
    </row>
    <row r="74" spans="3:42" x14ac:dyDescent="0.15">
      <c r="I74" s="804"/>
    </row>
    <row r="75" spans="3:42" x14ac:dyDescent="0.15">
      <c r="I75" s="804"/>
    </row>
    <row r="76" spans="3:42" x14ac:dyDescent="0.15">
      <c r="I76" s="804"/>
    </row>
    <row r="77" spans="3:42" x14ac:dyDescent="0.15">
      <c r="I77" s="804"/>
    </row>
  </sheetData>
  <sheetProtection algorithmName="SHA-512" hashValue="J4dF+eBWw5GnBeFW2ZugCU5tfuntYsjLjN3mB7g1zcEoP9wHBr0lnzSNhP0zj80J+5VXaqZzdxTkIGbYPVPB8Q==" saltValue="JQKGwtjZYm4wqm/+dFXrpQ=="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ignoredErrors>
    <ignoredError sqref="H9" formula="1"/>
    <ignoredError sqref="J16 J24 J38 J4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1139" t="str">
        <f>'État des Résultats'!C2</f>
        <v>Chez Les Petites Gâteries &amp; Cie.</v>
      </c>
      <c r="C2" s="1140"/>
      <c r="D2" s="1140"/>
      <c r="E2" s="1140"/>
      <c r="F2" s="1140"/>
      <c r="G2" s="1140"/>
      <c r="H2" s="1140"/>
      <c r="I2" s="1140"/>
      <c r="J2" s="1140"/>
      <c r="K2" s="1140"/>
      <c r="L2" s="1140"/>
      <c r="M2" s="1140"/>
      <c r="N2" s="1140"/>
      <c r="O2" s="1141"/>
    </row>
    <row r="3" spans="2:17" ht="20" customHeight="1" x14ac:dyDescent="0.2">
      <c r="B3" s="1142" t="str">
        <f>'État des Résultats'!C3</f>
        <v xml:space="preserve">États des résultats </v>
      </c>
      <c r="C3" s="1143"/>
      <c r="D3" s="1143"/>
      <c r="E3" s="1143"/>
      <c r="F3" s="1143"/>
      <c r="G3" s="1143"/>
      <c r="H3" s="1143"/>
      <c r="I3" s="1143"/>
      <c r="J3" s="1143"/>
      <c r="K3" s="1143"/>
      <c r="L3" s="1143"/>
      <c r="M3" s="1143"/>
      <c r="N3" s="1143"/>
      <c r="O3" s="1144"/>
    </row>
    <row r="4" spans="2:17" ht="13" customHeight="1" thickBot="1" x14ac:dyDescent="0.2">
      <c r="B4" s="1145" t="str">
        <f>'État des Résultats'!C4</f>
        <v>Pour la période du 1er janvier 2021 au 31 décembre 2021</v>
      </c>
      <c r="C4" s="1146"/>
      <c r="D4" s="1146"/>
      <c r="E4" s="1146"/>
      <c r="F4" s="1146"/>
      <c r="G4" s="1146"/>
      <c r="H4" s="1146"/>
      <c r="I4" s="1146"/>
      <c r="J4" s="1146"/>
      <c r="K4" s="1146"/>
      <c r="L4" s="1146"/>
      <c r="M4" s="1146"/>
      <c r="N4" s="1146"/>
      <c r="O4" s="1147"/>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1148" t="str">
        <f>+'Calendrier 2021'!B7:C7</f>
        <v>NB de place</v>
      </c>
      <c r="C7" s="1149"/>
      <c r="D7" s="8">
        <f>+'Calendrier 2021'!D7</f>
        <v>1</v>
      </c>
      <c r="E7" s="8">
        <f t="shared" ref="E7:O7" si="0">+D7</f>
        <v>1</v>
      </c>
      <c r="F7" s="8">
        <f t="shared" si="0"/>
        <v>1</v>
      </c>
      <c r="G7" s="8">
        <f t="shared" si="0"/>
        <v>1</v>
      </c>
      <c r="H7" s="8">
        <f t="shared" si="0"/>
        <v>1</v>
      </c>
      <c r="I7" s="8">
        <f t="shared" si="0"/>
        <v>1</v>
      </c>
      <c r="J7" s="8">
        <f t="shared" si="0"/>
        <v>1</v>
      </c>
      <c r="K7" s="8">
        <f t="shared" si="0"/>
        <v>1</v>
      </c>
      <c r="L7" s="8">
        <f t="shared" si="0"/>
        <v>1</v>
      </c>
      <c r="M7" s="8">
        <f t="shared" si="0"/>
        <v>1</v>
      </c>
      <c r="N7" s="8">
        <f t="shared" si="0"/>
        <v>1</v>
      </c>
      <c r="O7" s="9">
        <f t="shared" si="0"/>
        <v>1</v>
      </c>
    </row>
    <row r="8" spans="2:17" ht="15" thickTop="1" thickBot="1" x14ac:dyDescent="0.2">
      <c r="B8" s="1150" t="str">
        <f>+'Calendrier 2021'!B8:C8</f>
        <v>NB de jour</v>
      </c>
      <c r="C8" s="1151"/>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1136" t="s">
        <v>0</v>
      </c>
      <c r="C9" s="1137"/>
      <c r="D9" s="1137"/>
      <c r="E9" s="1137"/>
      <c r="F9" s="1137"/>
      <c r="G9" s="1137"/>
      <c r="H9" s="1137"/>
      <c r="I9" s="1137"/>
      <c r="J9" s="1137"/>
      <c r="K9" s="1137"/>
      <c r="L9" s="1137"/>
      <c r="M9" s="1137"/>
      <c r="N9" s="1137"/>
      <c r="O9" s="1138"/>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20</v>
      </c>
      <c r="F11" s="12">
        <v>20</v>
      </c>
      <c r="G11" s="12">
        <v>0</v>
      </c>
      <c r="H11" s="12">
        <v>0</v>
      </c>
      <c r="I11" s="12">
        <v>0</v>
      </c>
      <c r="J11" s="12">
        <v>0</v>
      </c>
      <c r="K11" s="12">
        <v>0</v>
      </c>
      <c r="L11" s="12">
        <v>0</v>
      </c>
      <c r="M11" s="12">
        <v>0</v>
      </c>
      <c r="N11" s="12">
        <v>20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21</v>
      </c>
      <c r="O12" s="14">
        <v>0</v>
      </c>
    </row>
    <row r="13" spans="2:17" ht="14" customHeight="1" x14ac:dyDescent="0.15">
      <c r="B13" s="13">
        <v>3</v>
      </c>
      <c r="C13" s="102" t="s">
        <v>5</v>
      </c>
      <c r="D13" s="14">
        <v>0</v>
      </c>
      <c r="E13" s="14">
        <v>50</v>
      </c>
      <c r="F13" s="14">
        <v>35</v>
      </c>
      <c r="G13" s="14">
        <v>0</v>
      </c>
      <c r="H13" s="14">
        <v>0</v>
      </c>
      <c r="I13" s="14">
        <v>0</v>
      </c>
      <c r="J13" s="14">
        <v>0</v>
      </c>
      <c r="K13" s="14">
        <v>0</v>
      </c>
      <c r="L13" s="14">
        <v>0</v>
      </c>
      <c r="M13" s="14">
        <v>0</v>
      </c>
      <c r="N13" s="14">
        <v>25</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22</v>
      </c>
      <c r="O14" s="14">
        <v>0</v>
      </c>
    </row>
    <row r="15" spans="2:17" ht="14" customHeight="1" x14ac:dyDescent="0.15">
      <c r="B15" s="13">
        <v>5</v>
      </c>
      <c r="C15" s="102" t="s">
        <v>7</v>
      </c>
      <c r="D15" s="14">
        <v>0</v>
      </c>
      <c r="E15" s="14">
        <v>9</v>
      </c>
      <c r="F15" s="14">
        <v>35</v>
      </c>
      <c r="G15" s="14">
        <v>0</v>
      </c>
      <c r="H15" s="14">
        <v>0</v>
      </c>
      <c r="I15" s="14">
        <v>0</v>
      </c>
      <c r="J15" s="14">
        <v>0</v>
      </c>
      <c r="K15" s="14">
        <v>0</v>
      </c>
      <c r="L15" s="14">
        <v>0</v>
      </c>
      <c r="M15" s="14">
        <v>0</v>
      </c>
      <c r="N15" s="14">
        <v>25</v>
      </c>
      <c r="O15" s="14">
        <v>0</v>
      </c>
    </row>
    <row r="16" spans="2:17" ht="14" customHeight="1" x14ac:dyDescent="0.15">
      <c r="B16" s="13">
        <v>6</v>
      </c>
      <c r="C16" s="102" t="s">
        <v>8</v>
      </c>
      <c r="D16" s="14">
        <v>0</v>
      </c>
      <c r="E16" s="14">
        <v>29</v>
      </c>
      <c r="F16" s="14">
        <v>19</v>
      </c>
      <c r="G16" s="14">
        <v>0</v>
      </c>
      <c r="H16" s="14">
        <v>0</v>
      </c>
      <c r="I16" s="14">
        <v>0</v>
      </c>
      <c r="J16" s="14">
        <v>0</v>
      </c>
      <c r="K16" s="14">
        <v>0</v>
      </c>
      <c r="L16" s="14">
        <v>0</v>
      </c>
      <c r="M16" s="14">
        <v>0</v>
      </c>
      <c r="N16" s="14">
        <v>22</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4">
        <f t="shared" ref="D18:O18" si="1">+D11+D12+D13+D14+D15+D16+D17</f>
        <v>0</v>
      </c>
      <c r="E18" s="284">
        <f t="shared" si="1"/>
        <v>126</v>
      </c>
      <c r="F18" s="284">
        <f t="shared" si="1"/>
        <v>129</v>
      </c>
      <c r="G18" s="284">
        <f t="shared" si="1"/>
        <v>0</v>
      </c>
      <c r="H18" s="285">
        <f t="shared" si="1"/>
        <v>0</v>
      </c>
      <c r="I18" s="284">
        <f t="shared" si="1"/>
        <v>0</v>
      </c>
      <c r="J18" s="284">
        <f t="shared" si="1"/>
        <v>0</v>
      </c>
      <c r="K18" s="284">
        <f t="shared" si="1"/>
        <v>0</v>
      </c>
      <c r="L18" s="284">
        <f t="shared" si="1"/>
        <v>0</v>
      </c>
      <c r="M18" s="284">
        <f t="shared" si="1"/>
        <v>0</v>
      </c>
      <c r="N18" s="284">
        <f t="shared" si="1"/>
        <v>135</v>
      </c>
      <c r="O18" s="284">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20</v>
      </c>
      <c r="F20" s="12">
        <v>20</v>
      </c>
      <c r="G20" s="12">
        <v>0</v>
      </c>
      <c r="H20" s="12">
        <v>0</v>
      </c>
      <c r="I20" s="12">
        <v>20</v>
      </c>
      <c r="J20" s="12">
        <v>0</v>
      </c>
      <c r="K20" s="12">
        <v>0</v>
      </c>
      <c r="L20" s="12">
        <v>0</v>
      </c>
      <c r="M20" s="12">
        <v>0</v>
      </c>
      <c r="N20" s="12">
        <v>20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21</v>
      </c>
      <c r="O21" s="14">
        <v>0</v>
      </c>
    </row>
    <row r="22" spans="2:15" ht="14" customHeight="1" thickTop="1" thickBot="1" x14ac:dyDescent="0.2">
      <c r="B22" s="121">
        <v>3</v>
      </c>
      <c r="C22" s="102" t="str">
        <f t="shared" si="2"/>
        <v>11 h 30 à 14 h 30</v>
      </c>
      <c r="D22" s="14">
        <v>0</v>
      </c>
      <c r="E22" s="14">
        <v>50</v>
      </c>
      <c r="F22" s="14">
        <v>35</v>
      </c>
      <c r="G22" s="14">
        <v>0</v>
      </c>
      <c r="H22" s="14">
        <v>0</v>
      </c>
      <c r="I22" s="14">
        <v>45</v>
      </c>
      <c r="J22" s="14">
        <v>0</v>
      </c>
      <c r="K22" s="14">
        <v>0</v>
      </c>
      <c r="L22" s="14">
        <v>0</v>
      </c>
      <c r="M22" s="14">
        <v>0</v>
      </c>
      <c r="N22" s="14">
        <v>25</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22</v>
      </c>
      <c r="O23" s="14">
        <v>0</v>
      </c>
    </row>
    <row r="24" spans="2:15" ht="14" customHeight="1" thickTop="1" thickBot="1" x14ac:dyDescent="0.2">
      <c r="B24" s="121">
        <v>5</v>
      </c>
      <c r="C24" s="102" t="str">
        <f t="shared" si="2"/>
        <v>17 h à 19 h</v>
      </c>
      <c r="D24" s="14">
        <v>0</v>
      </c>
      <c r="E24" s="14">
        <v>9</v>
      </c>
      <c r="F24" s="14">
        <v>35</v>
      </c>
      <c r="G24" s="14">
        <v>0</v>
      </c>
      <c r="H24" s="14">
        <v>0</v>
      </c>
      <c r="I24" s="14">
        <v>40</v>
      </c>
      <c r="J24" s="14">
        <v>30</v>
      </c>
      <c r="K24" s="14">
        <v>0</v>
      </c>
      <c r="L24" s="14">
        <v>0</v>
      </c>
      <c r="M24" s="14">
        <v>0</v>
      </c>
      <c r="N24" s="14">
        <v>25</v>
      </c>
      <c r="O24" s="14">
        <v>0</v>
      </c>
    </row>
    <row r="25" spans="2:15" ht="14" customHeight="1" thickTop="1" thickBot="1" x14ac:dyDescent="0.2">
      <c r="B25" s="121">
        <v>6</v>
      </c>
      <c r="C25" s="102" t="str">
        <f t="shared" si="2"/>
        <v>19 h à 23 h</v>
      </c>
      <c r="D25" s="14">
        <v>0</v>
      </c>
      <c r="E25" s="14">
        <v>29</v>
      </c>
      <c r="F25" s="14">
        <v>19</v>
      </c>
      <c r="G25" s="14">
        <v>0</v>
      </c>
      <c r="H25" s="14">
        <v>0</v>
      </c>
      <c r="I25" s="14">
        <v>15</v>
      </c>
      <c r="J25" s="14">
        <v>0</v>
      </c>
      <c r="K25" s="14">
        <v>0</v>
      </c>
      <c r="L25" s="14">
        <v>0</v>
      </c>
      <c r="M25" s="14">
        <v>0</v>
      </c>
      <c r="N25" s="14">
        <v>22</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1">
        <f t="shared" ref="D27:O27" si="4">+D20+D21+D22+D23+D24+D25+D26</f>
        <v>0</v>
      </c>
      <c r="E27" s="301">
        <f t="shared" si="4"/>
        <v>126</v>
      </c>
      <c r="F27" s="301">
        <f t="shared" si="4"/>
        <v>129</v>
      </c>
      <c r="G27" s="301">
        <f t="shared" si="4"/>
        <v>0</v>
      </c>
      <c r="H27" s="17">
        <f t="shared" si="4"/>
        <v>0</v>
      </c>
      <c r="I27" s="301">
        <f t="shared" si="4"/>
        <v>150</v>
      </c>
      <c r="J27" s="301">
        <f t="shared" si="4"/>
        <v>30</v>
      </c>
      <c r="K27" s="17">
        <f t="shared" si="4"/>
        <v>0</v>
      </c>
      <c r="L27" s="302">
        <f>+L20+L21+L22+L23+L24+L25+L26</f>
        <v>0</v>
      </c>
      <c r="M27" s="24">
        <f t="shared" si="4"/>
        <v>0</v>
      </c>
      <c r="N27" s="24">
        <f t="shared" si="4"/>
        <v>135</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20</v>
      </c>
      <c r="F29" s="12">
        <v>20</v>
      </c>
      <c r="G29" s="12">
        <v>0</v>
      </c>
      <c r="H29" s="12">
        <v>0</v>
      </c>
      <c r="I29" s="12">
        <v>20</v>
      </c>
      <c r="J29" s="12">
        <v>0</v>
      </c>
      <c r="K29" s="12">
        <v>0</v>
      </c>
      <c r="L29" s="12">
        <v>20</v>
      </c>
      <c r="M29" s="12">
        <v>0</v>
      </c>
      <c r="N29" s="12">
        <v>20</v>
      </c>
      <c r="O29" s="12">
        <v>20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25</v>
      </c>
      <c r="M30" s="14">
        <v>0</v>
      </c>
      <c r="N30" s="14">
        <v>21</v>
      </c>
      <c r="O30" s="14">
        <v>25</v>
      </c>
    </row>
    <row r="31" spans="2:15" ht="14" customHeight="1" thickTop="1" thickBot="1" x14ac:dyDescent="0.2">
      <c r="B31" s="121">
        <v>3</v>
      </c>
      <c r="C31" s="102" t="str">
        <f t="shared" si="5"/>
        <v>11 h 30 à 14 h 30</v>
      </c>
      <c r="D31" s="14">
        <v>0</v>
      </c>
      <c r="E31" s="14">
        <v>50</v>
      </c>
      <c r="F31" s="14">
        <v>35</v>
      </c>
      <c r="G31" s="14">
        <v>0</v>
      </c>
      <c r="H31" s="14">
        <v>0</v>
      </c>
      <c r="I31" s="14">
        <v>45</v>
      </c>
      <c r="J31" s="14">
        <v>0</v>
      </c>
      <c r="K31" s="14">
        <v>0</v>
      </c>
      <c r="L31" s="14">
        <v>25</v>
      </c>
      <c r="M31" s="14">
        <v>0</v>
      </c>
      <c r="N31" s="14">
        <v>25</v>
      </c>
      <c r="O31" s="14">
        <v>25</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25</v>
      </c>
      <c r="M32" s="14">
        <v>0</v>
      </c>
      <c r="N32" s="14">
        <v>22</v>
      </c>
      <c r="O32" s="14">
        <v>25</v>
      </c>
    </row>
    <row r="33" spans="2:15" ht="14" customHeight="1" thickTop="1" thickBot="1" x14ac:dyDescent="0.2">
      <c r="B33" s="121">
        <v>5</v>
      </c>
      <c r="C33" s="102" t="str">
        <f t="shared" si="5"/>
        <v>17 h à 19 h</v>
      </c>
      <c r="D33" s="14">
        <v>0</v>
      </c>
      <c r="E33" s="14">
        <v>9</v>
      </c>
      <c r="F33" s="14">
        <v>35</v>
      </c>
      <c r="G33" s="14">
        <v>0</v>
      </c>
      <c r="H33" s="14">
        <v>0</v>
      </c>
      <c r="I33" s="14">
        <v>40</v>
      </c>
      <c r="J33" s="14">
        <v>0</v>
      </c>
      <c r="K33" s="14">
        <v>0</v>
      </c>
      <c r="L33" s="14">
        <v>25</v>
      </c>
      <c r="M33" s="14">
        <v>0</v>
      </c>
      <c r="N33" s="14">
        <v>25</v>
      </c>
      <c r="O33" s="14">
        <v>25</v>
      </c>
    </row>
    <row r="34" spans="2:15" ht="14" customHeight="1" thickTop="1" thickBot="1" x14ac:dyDescent="0.2">
      <c r="B34" s="121">
        <v>6</v>
      </c>
      <c r="C34" s="102" t="str">
        <f t="shared" si="5"/>
        <v>19 h à 23 h</v>
      </c>
      <c r="D34" s="14">
        <v>0</v>
      </c>
      <c r="E34" s="14">
        <v>29</v>
      </c>
      <c r="F34" s="14">
        <v>19</v>
      </c>
      <c r="G34" s="14">
        <v>0</v>
      </c>
      <c r="H34" s="14">
        <v>0</v>
      </c>
      <c r="I34" s="14">
        <v>15</v>
      </c>
      <c r="J34" s="14">
        <v>0</v>
      </c>
      <c r="K34" s="14">
        <v>0</v>
      </c>
      <c r="L34" s="14">
        <v>25</v>
      </c>
      <c r="M34" s="14">
        <v>0</v>
      </c>
      <c r="N34" s="14">
        <v>22</v>
      </c>
      <c r="O34" s="14">
        <v>25</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126</v>
      </c>
      <c r="F36" s="17">
        <f t="shared" si="7"/>
        <v>129</v>
      </c>
      <c r="G36" s="24">
        <f t="shared" si="7"/>
        <v>0</v>
      </c>
      <c r="H36" s="17">
        <f t="shared" si="7"/>
        <v>0</v>
      </c>
      <c r="I36" s="24">
        <f t="shared" si="7"/>
        <v>150</v>
      </c>
      <c r="J36" s="24">
        <f t="shared" si="7"/>
        <v>0</v>
      </c>
      <c r="K36" s="17">
        <f t="shared" si="7"/>
        <v>0</v>
      </c>
      <c r="L36" s="24">
        <f t="shared" si="7"/>
        <v>145</v>
      </c>
      <c r="M36" s="24">
        <f t="shared" si="7"/>
        <v>0</v>
      </c>
      <c r="N36" s="17">
        <f t="shared" si="7"/>
        <v>135</v>
      </c>
      <c r="O36" s="24">
        <f t="shared" si="7"/>
        <v>145</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20</v>
      </c>
      <c r="F38" s="12">
        <v>20</v>
      </c>
      <c r="G38" s="12">
        <v>20</v>
      </c>
      <c r="H38" s="12">
        <v>0</v>
      </c>
      <c r="I38" s="12">
        <v>20</v>
      </c>
      <c r="J38" s="12">
        <v>20</v>
      </c>
      <c r="K38" s="12">
        <v>0</v>
      </c>
      <c r="L38" s="12">
        <v>0</v>
      </c>
      <c r="M38" s="12">
        <v>0</v>
      </c>
      <c r="N38" s="12">
        <v>20</v>
      </c>
      <c r="O38" s="12">
        <v>20</v>
      </c>
    </row>
    <row r="39" spans="2:15" ht="14" customHeight="1" thickTop="1" thickBot="1" x14ac:dyDescent="0.2">
      <c r="B39" s="121">
        <v>2</v>
      </c>
      <c r="C39" s="102" t="str">
        <f t="shared" si="8"/>
        <v>9 h 30 à 11 h 30</v>
      </c>
      <c r="D39" s="14">
        <v>0</v>
      </c>
      <c r="E39" s="14">
        <v>9</v>
      </c>
      <c r="F39" s="14">
        <v>10</v>
      </c>
      <c r="G39" s="14">
        <v>14</v>
      </c>
      <c r="H39" s="14">
        <v>0</v>
      </c>
      <c r="I39" s="14">
        <v>15</v>
      </c>
      <c r="J39" s="14">
        <v>10</v>
      </c>
      <c r="K39" s="14">
        <v>0</v>
      </c>
      <c r="L39" s="14">
        <v>25</v>
      </c>
      <c r="M39" s="14">
        <v>0</v>
      </c>
      <c r="N39" s="14">
        <v>21</v>
      </c>
      <c r="O39" s="14">
        <v>25</v>
      </c>
    </row>
    <row r="40" spans="2:15" ht="14" customHeight="1" thickTop="1" thickBot="1" x14ac:dyDescent="0.2">
      <c r="B40" s="121">
        <v>3</v>
      </c>
      <c r="C40" s="102" t="str">
        <f t="shared" si="8"/>
        <v>11 h 30 à 14 h 30</v>
      </c>
      <c r="D40" s="14">
        <v>0</v>
      </c>
      <c r="E40" s="14">
        <v>50</v>
      </c>
      <c r="F40" s="14">
        <v>35</v>
      </c>
      <c r="G40" s="14">
        <v>41</v>
      </c>
      <c r="H40" s="14">
        <v>0</v>
      </c>
      <c r="I40" s="14">
        <v>45</v>
      </c>
      <c r="J40" s="14">
        <v>50</v>
      </c>
      <c r="K40" s="14">
        <v>0</v>
      </c>
      <c r="L40" s="14">
        <v>25</v>
      </c>
      <c r="M40" s="14">
        <v>0</v>
      </c>
      <c r="N40" s="14">
        <v>25</v>
      </c>
      <c r="O40" s="14">
        <v>25</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25</v>
      </c>
      <c r="M41" s="14">
        <v>0</v>
      </c>
      <c r="N41" s="14">
        <v>22</v>
      </c>
      <c r="O41" s="14">
        <v>25</v>
      </c>
    </row>
    <row r="42" spans="2:15" ht="14" customHeight="1" thickTop="1" thickBot="1" x14ac:dyDescent="0.2">
      <c r="B42" s="121">
        <v>5</v>
      </c>
      <c r="C42" s="102" t="str">
        <f t="shared" si="8"/>
        <v>17 h à 19 h</v>
      </c>
      <c r="D42" s="14">
        <v>0</v>
      </c>
      <c r="E42" s="14">
        <v>9</v>
      </c>
      <c r="F42" s="14">
        <v>35</v>
      </c>
      <c r="G42" s="14">
        <v>41</v>
      </c>
      <c r="H42" s="14">
        <v>0</v>
      </c>
      <c r="I42" s="14">
        <v>40</v>
      </c>
      <c r="J42" s="14">
        <v>16</v>
      </c>
      <c r="K42" s="14">
        <v>0</v>
      </c>
      <c r="L42" s="14">
        <v>25</v>
      </c>
      <c r="M42" s="14">
        <v>0</v>
      </c>
      <c r="N42" s="14">
        <v>25</v>
      </c>
      <c r="O42" s="14">
        <v>25</v>
      </c>
    </row>
    <row r="43" spans="2:15" ht="14" customHeight="1" thickTop="1" thickBot="1" x14ac:dyDescent="0.2">
      <c r="B43" s="121">
        <v>6</v>
      </c>
      <c r="C43" s="102" t="str">
        <f t="shared" si="8"/>
        <v>19 h à 23 h</v>
      </c>
      <c r="D43" s="14">
        <v>0</v>
      </c>
      <c r="E43" s="14">
        <v>29</v>
      </c>
      <c r="F43" s="14">
        <v>19</v>
      </c>
      <c r="G43" s="14">
        <v>11</v>
      </c>
      <c r="H43" s="14">
        <v>0</v>
      </c>
      <c r="I43" s="14">
        <v>15</v>
      </c>
      <c r="J43" s="14">
        <v>40</v>
      </c>
      <c r="K43" s="14">
        <v>0</v>
      </c>
      <c r="L43" s="14">
        <v>25</v>
      </c>
      <c r="M43" s="14">
        <v>0</v>
      </c>
      <c r="N43" s="14">
        <v>22</v>
      </c>
      <c r="O43" s="14">
        <v>25</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7" t="str">
        <f>+C36</f>
        <v>Total</v>
      </c>
      <c r="D45" s="17">
        <f t="shared" ref="D45:K45" si="9">+D38+D39+D40+D41+D42+D43+D44</f>
        <v>0</v>
      </c>
      <c r="E45" s="17">
        <f t="shared" si="9"/>
        <v>126</v>
      </c>
      <c r="F45" s="17">
        <f t="shared" si="9"/>
        <v>129</v>
      </c>
      <c r="G45" s="24">
        <f t="shared" si="9"/>
        <v>138</v>
      </c>
      <c r="H45" s="17">
        <f t="shared" si="9"/>
        <v>0</v>
      </c>
      <c r="I45" s="17">
        <f t="shared" si="9"/>
        <v>150</v>
      </c>
      <c r="J45" s="24">
        <f t="shared" si="9"/>
        <v>156</v>
      </c>
      <c r="K45" s="17">
        <f t="shared" si="9"/>
        <v>0</v>
      </c>
      <c r="L45" s="24">
        <f>+L38+L39+L40+L41+L42+L43+L44</f>
        <v>125</v>
      </c>
      <c r="M45" s="24">
        <f>+M38+M39+M40+M41+M42+M43+M44</f>
        <v>0</v>
      </c>
      <c r="N45" s="17">
        <f>+N38+N39+N40+N41+N42+N43+N44</f>
        <v>135</v>
      </c>
      <c r="O45" s="24">
        <f>+O38+O39+O40+O41+O42+O43+O44</f>
        <v>145</v>
      </c>
    </row>
    <row r="46" spans="2:15" ht="14" customHeight="1" thickTop="1" thickBot="1" x14ac:dyDescent="0.2">
      <c r="B46" s="124" t="s">
        <v>2</v>
      </c>
      <c r="C46" s="298"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299" t="str">
        <f t="shared" ref="C47:C53" si="10">C38</f>
        <v>6 h à 9 h 30</v>
      </c>
      <c r="D47" s="12">
        <v>20</v>
      </c>
      <c r="E47" s="12">
        <v>20</v>
      </c>
      <c r="F47" s="12">
        <v>20</v>
      </c>
      <c r="G47" s="12">
        <v>20</v>
      </c>
      <c r="H47" s="12">
        <v>0</v>
      </c>
      <c r="I47" s="12">
        <v>20</v>
      </c>
      <c r="J47" s="12">
        <v>20</v>
      </c>
      <c r="K47" s="12">
        <v>0</v>
      </c>
      <c r="L47" s="12">
        <v>20</v>
      </c>
      <c r="M47" s="12">
        <v>20</v>
      </c>
      <c r="N47" s="12">
        <v>20</v>
      </c>
      <c r="O47" s="12">
        <v>20</v>
      </c>
    </row>
    <row r="48" spans="2:15" ht="14" customHeight="1" thickTop="1" thickBot="1" x14ac:dyDescent="0.2">
      <c r="B48" s="121">
        <v>2</v>
      </c>
      <c r="C48" s="102" t="str">
        <f t="shared" si="10"/>
        <v>9 h 30 à 11 h 30</v>
      </c>
      <c r="D48" s="14">
        <v>25</v>
      </c>
      <c r="E48" s="14">
        <v>9</v>
      </c>
      <c r="F48" s="14">
        <v>10</v>
      </c>
      <c r="G48" s="14">
        <v>14</v>
      </c>
      <c r="H48" s="14">
        <v>0</v>
      </c>
      <c r="I48" s="14">
        <v>15</v>
      </c>
      <c r="J48" s="14">
        <v>10</v>
      </c>
      <c r="K48" s="14">
        <v>0</v>
      </c>
      <c r="L48" s="14">
        <v>25</v>
      </c>
      <c r="M48" s="14">
        <v>24</v>
      </c>
      <c r="N48" s="14">
        <v>21</v>
      </c>
      <c r="O48" s="14">
        <v>25</v>
      </c>
    </row>
    <row r="49" spans="2:15" ht="14" customHeight="1" thickTop="1" thickBot="1" x14ac:dyDescent="0.2">
      <c r="B49" s="121">
        <v>3</v>
      </c>
      <c r="C49" s="102" t="str">
        <f t="shared" si="10"/>
        <v>11 h 30 à 14 h 30</v>
      </c>
      <c r="D49" s="14">
        <v>25</v>
      </c>
      <c r="E49" s="14">
        <v>50</v>
      </c>
      <c r="F49" s="14">
        <v>35</v>
      </c>
      <c r="G49" s="14">
        <v>41</v>
      </c>
      <c r="H49" s="14">
        <v>0</v>
      </c>
      <c r="I49" s="14">
        <v>45</v>
      </c>
      <c r="J49" s="14">
        <v>50</v>
      </c>
      <c r="K49" s="14">
        <v>0</v>
      </c>
      <c r="L49" s="14">
        <v>25</v>
      </c>
      <c r="M49" s="14">
        <v>24</v>
      </c>
      <c r="N49" s="14">
        <v>25</v>
      </c>
      <c r="O49" s="14">
        <v>25</v>
      </c>
    </row>
    <row r="50" spans="2:15" ht="14" customHeight="1" thickTop="1" thickBot="1" x14ac:dyDescent="0.2">
      <c r="B50" s="121">
        <v>4</v>
      </c>
      <c r="C50" s="102" t="str">
        <f t="shared" si="10"/>
        <v>14 h 30 à 17 h</v>
      </c>
      <c r="D50" s="14">
        <v>20</v>
      </c>
      <c r="E50" s="14">
        <v>9</v>
      </c>
      <c r="F50" s="14">
        <v>10</v>
      </c>
      <c r="G50" s="14">
        <v>11</v>
      </c>
      <c r="H50" s="14">
        <v>0</v>
      </c>
      <c r="I50" s="14">
        <v>15</v>
      </c>
      <c r="J50" s="14">
        <v>20</v>
      </c>
      <c r="K50" s="14">
        <v>0</v>
      </c>
      <c r="L50" s="14">
        <v>25</v>
      </c>
      <c r="M50" s="14">
        <v>24</v>
      </c>
      <c r="N50" s="14">
        <v>22</v>
      </c>
      <c r="O50" s="14">
        <v>25</v>
      </c>
    </row>
    <row r="51" spans="2:15" ht="14" customHeight="1" thickTop="1" thickBot="1" x14ac:dyDescent="0.2">
      <c r="B51" s="121">
        <v>5</v>
      </c>
      <c r="C51" s="102" t="str">
        <f t="shared" si="10"/>
        <v>17 h à 19 h</v>
      </c>
      <c r="D51" s="14">
        <v>25</v>
      </c>
      <c r="E51" s="14">
        <v>9</v>
      </c>
      <c r="F51" s="14">
        <v>35</v>
      </c>
      <c r="G51" s="14">
        <v>41</v>
      </c>
      <c r="H51" s="14">
        <v>0</v>
      </c>
      <c r="I51" s="14">
        <v>40</v>
      </c>
      <c r="J51" s="14">
        <v>16</v>
      </c>
      <c r="K51" s="14">
        <v>0</v>
      </c>
      <c r="L51" s="14">
        <v>25</v>
      </c>
      <c r="M51" s="14">
        <v>24</v>
      </c>
      <c r="N51" s="14">
        <v>25</v>
      </c>
      <c r="O51" s="14">
        <v>25</v>
      </c>
    </row>
    <row r="52" spans="2:15" ht="14" customHeight="1" thickTop="1" thickBot="1" x14ac:dyDescent="0.2">
      <c r="B52" s="121">
        <v>6</v>
      </c>
      <c r="C52" s="102" t="str">
        <f t="shared" si="10"/>
        <v>19 h à 23 h</v>
      </c>
      <c r="D52" s="14">
        <v>20</v>
      </c>
      <c r="E52" s="14">
        <v>29</v>
      </c>
      <c r="F52" s="14">
        <v>19</v>
      </c>
      <c r="G52" s="14">
        <v>11</v>
      </c>
      <c r="H52" s="14">
        <v>0</v>
      </c>
      <c r="I52" s="14">
        <v>15</v>
      </c>
      <c r="J52" s="14">
        <v>40</v>
      </c>
      <c r="K52" s="14">
        <v>0</v>
      </c>
      <c r="L52" s="14">
        <v>25</v>
      </c>
      <c r="M52" s="14">
        <v>24</v>
      </c>
      <c r="N52" s="14">
        <v>22</v>
      </c>
      <c r="O52" s="14">
        <v>25</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135</v>
      </c>
      <c r="E54" s="17">
        <f t="shared" si="12"/>
        <v>126</v>
      </c>
      <c r="F54" s="17">
        <f t="shared" si="12"/>
        <v>129</v>
      </c>
      <c r="G54" s="24">
        <f t="shared" si="12"/>
        <v>138</v>
      </c>
      <c r="H54" s="17">
        <f t="shared" si="12"/>
        <v>0</v>
      </c>
      <c r="I54" s="17">
        <f t="shared" si="12"/>
        <v>150</v>
      </c>
      <c r="J54" s="24">
        <f t="shared" si="12"/>
        <v>156</v>
      </c>
      <c r="K54" s="17">
        <f t="shared" si="12"/>
        <v>0</v>
      </c>
      <c r="L54" s="17">
        <f t="shared" si="12"/>
        <v>145</v>
      </c>
      <c r="M54" s="24">
        <f t="shared" si="12"/>
        <v>140</v>
      </c>
      <c r="N54" s="17">
        <f>+N47+N48+N49+N50+N51+N52+N53</f>
        <v>135</v>
      </c>
      <c r="O54" s="17">
        <f>+O47+O48+O49+O50+O51+O52+O53</f>
        <v>145</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20</v>
      </c>
      <c r="E56" s="12">
        <v>20</v>
      </c>
      <c r="F56" s="12">
        <v>20</v>
      </c>
      <c r="G56" s="12">
        <v>20</v>
      </c>
      <c r="H56" s="12">
        <v>20</v>
      </c>
      <c r="I56" s="12">
        <v>20</v>
      </c>
      <c r="J56" s="12">
        <v>20</v>
      </c>
      <c r="K56" s="12">
        <v>0</v>
      </c>
      <c r="L56" s="12">
        <v>20</v>
      </c>
      <c r="M56" s="12">
        <v>20</v>
      </c>
      <c r="N56" s="12">
        <v>20</v>
      </c>
      <c r="O56" s="12">
        <v>20</v>
      </c>
    </row>
    <row r="57" spans="2:15" ht="14" customHeight="1" thickTop="1" thickBot="1" x14ac:dyDescent="0.2">
      <c r="B57" s="18">
        <v>2</v>
      </c>
      <c r="C57" s="102" t="str">
        <f t="shared" si="13"/>
        <v>9 h 30 à 11 h 30</v>
      </c>
      <c r="D57" s="14">
        <v>25</v>
      </c>
      <c r="E57" s="14">
        <v>9</v>
      </c>
      <c r="F57" s="14">
        <v>10</v>
      </c>
      <c r="G57" s="14">
        <v>14</v>
      </c>
      <c r="H57" s="14">
        <v>45</v>
      </c>
      <c r="I57" s="14">
        <v>15</v>
      </c>
      <c r="J57" s="14">
        <v>10</v>
      </c>
      <c r="K57" s="14">
        <v>0</v>
      </c>
      <c r="L57" s="14">
        <v>25</v>
      </c>
      <c r="M57" s="14">
        <v>24</v>
      </c>
      <c r="N57" s="14">
        <v>21</v>
      </c>
      <c r="O57" s="14">
        <v>25</v>
      </c>
    </row>
    <row r="58" spans="2:15" ht="14" customHeight="1" thickTop="1" thickBot="1" x14ac:dyDescent="0.2">
      <c r="B58" s="18">
        <v>3</v>
      </c>
      <c r="C58" s="102" t="str">
        <f t="shared" si="13"/>
        <v>11 h 30 à 14 h 30</v>
      </c>
      <c r="D58" s="14">
        <v>25</v>
      </c>
      <c r="E58" s="14">
        <v>50</v>
      </c>
      <c r="F58" s="14">
        <v>35</v>
      </c>
      <c r="G58" s="14">
        <v>41</v>
      </c>
      <c r="H58" s="14">
        <v>46</v>
      </c>
      <c r="I58" s="14">
        <v>45</v>
      </c>
      <c r="J58" s="14">
        <v>50</v>
      </c>
      <c r="K58" s="14">
        <v>0</v>
      </c>
      <c r="L58" s="14">
        <v>25</v>
      </c>
      <c r="M58" s="14">
        <v>24</v>
      </c>
      <c r="N58" s="14">
        <v>25</v>
      </c>
      <c r="O58" s="14">
        <v>25</v>
      </c>
    </row>
    <row r="59" spans="2:15" ht="14" customHeight="1" thickTop="1" thickBot="1" x14ac:dyDescent="0.2">
      <c r="B59" s="18">
        <v>4</v>
      </c>
      <c r="C59" s="102" t="str">
        <f t="shared" si="13"/>
        <v>14 h 30 à 17 h</v>
      </c>
      <c r="D59" s="14">
        <v>20</v>
      </c>
      <c r="E59" s="14">
        <v>9</v>
      </c>
      <c r="F59" s="14">
        <v>10</v>
      </c>
      <c r="G59" s="14">
        <v>11</v>
      </c>
      <c r="H59" s="14">
        <v>10</v>
      </c>
      <c r="I59" s="14">
        <v>15</v>
      </c>
      <c r="J59" s="14">
        <v>20</v>
      </c>
      <c r="K59" s="14">
        <v>0</v>
      </c>
      <c r="L59" s="14">
        <v>25</v>
      </c>
      <c r="M59" s="14">
        <v>24</v>
      </c>
      <c r="N59" s="14">
        <v>22</v>
      </c>
      <c r="O59" s="14">
        <v>25</v>
      </c>
    </row>
    <row r="60" spans="2:15" ht="14" customHeight="1" thickTop="1" thickBot="1" x14ac:dyDescent="0.2">
      <c r="B60" s="18">
        <v>5</v>
      </c>
      <c r="C60" s="102" t="str">
        <f t="shared" si="13"/>
        <v>17 h à 19 h</v>
      </c>
      <c r="D60" s="14">
        <v>25</v>
      </c>
      <c r="E60" s="14">
        <v>9</v>
      </c>
      <c r="F60" s="14">
        <v>35</v>
      </c>
      <c r="G60" s="14">
        <v>41</v>
      </c>
      <c r="H60" s="14">
        <v>11</v>
      </c>
      <c r="I60" s="14">
        <v>40</v>
      </c>
      <c r="J60" s="14">
        <v>16</v>
      </c>
      <c r="K60" s="14">
        <v>0</v>
      </c>
      <c r="L60" s="14">
        <v>25</v>
      </c>
      <c r="M60" s="14">
        <v>24</v>
      </c>
      <c r="N60" s="14">
        <v>25</v>
      </c>
      <c r="O60" s="14">
        <v>25</v>
      </c>
    </row>
    <row r="61" spans="2:15" ht="14" customHeight="1" thickTop="1" thickBot="1" x14ac:dyDescent="0.2">
      <c r="B61" s="18">
        <v>6</v>
      </c>
      <c r="C61" s="102" t="str">
        <f t="shared" si="13"/>
        <v>19 h à 23 h</v>
      </c>
      <c r="D61" s="14">
        <v>10</v>
      </c>
      <c r="E61" s="14">
        <v>29</v>
      </c>
      <c r="F61" s="14">
        <v>19</v>
      </c>
      <c r="G61" s="14">
        <v>11</v>
      </c>
      <c r="H61" s="14">
        <v>10</v>
      </c>
      <c r="I61" s="14">
        <v>15</v>
      </c>
      <c r="J61" s="14">
        <v>40</v>
      </c>
      <c r="K61" s="14">
        <v>0</v>
      </c>
      <c r="L61" s="14">
        <v>25</v>
      </c>
      <c r="M61" s="14">
        <v>24</v>
      </c>
      <c r="N61" s="14">
        <v>22</v>
      </c>
      <c r="O61" s="14">
        <v>25</v>
      </c>
    </row>
    <row r="62" spans="2:15" ht="14" customHeight="1" thickTop="1" thickBot="1" x14ac:dyDescent="0.2">
      <c r="B62" s="18">
        <v>7</v>
      </c>
      <c r="C62" s="102" t="str">
        <f t="shared" si="13"/>
        <v>23 h à 6 h</v>
      </c>
      <c r="D62" s="14">
        <v>0</v>
      </c>
      <c r="E62" s="14">
        <v>0</v>
      </c>
      <c r="F62" s="14">
        <v>0</v>
      </c>
      <c r="G62" s="14">
        <v>0</v>
      </c>
      <c r="H62" s="14">
        <v>0</v>
      </c>
      <c r="I62" s="14">
        <v>0</v>
      </c>
      <c r="J62" s="14">
        <v>0</v>
      </c>
      <c r="K62" s="14">
        <v>0</v>
      </c>
      <c r="L62" s="14">
        <v>0</v>
      </c>
      <c r="M62" s="14">
        <v>0</v>
      </c>
      <c r="N62" s="14">
        <v>0</v>
      </c>
      <c r="O62" s="14">
        <v>0</v>
      </c>
    </row>
    <row r="63" spans="2:15" ht="14" customHeight="1" thickTop="1" thickBot="1" x14ac:dyDescent="0.2">
      <c r="B63" s="19"/>
      <c r="C63" s="297" t="str">
        <f t="shared" ref="C63" si="14">+C54</f>
        <v>Total</v>
      </c>
      <c r="D63" s="17">
        <f t="shared" ref="D63:M63" si="15">+D56+D57+D58+D59+D60+D61+D62</f>
        <v>125</v>
      </c>
      <c r="E63" s="17">
        <f t="shared" si="15"/>
        <v>126</v>
      </c>
      <c r="F63" s="17">
        <f t="shared" si="15"/>
        <v>129</v>
      </c>
      <c r="G63" s="17">
        <f t="shared" si="15"/>
        <v>138</v>
      </c>
      <c r="H63" s="17">
        <f t="shared" si="15"/>
        <v>142</v>
      </c>
      <c r="I63" s="17">
        <f t="shared" si="15"/>
        <v>150</v>
      </c>
      <c r="J63" s="17">
        <f t="shared" si="15"/>
        <v>156</v>
      </c>
      <c r="K63" s="17">
        <f t="shared" si="15"/>
        <v>0</v>
      </c>
      <c r="L63" s="17">
        <f t="shared" si="15"/>
        <v>145</v>
      </c>
      <c r="M63" s="24">
        <f t="shared" si="15"/>
        <v>140</v>
      </c>
      <c r="N63" s="17">
        <f>+N56+N57+N58+N59+N60+N61+N62</f>
        <v>135</v>
      </c>
      <c r="O63" s="17">
        <f>+O56+O57+O58+O59+O60+O61+O62</f>
        <v>145</v>
      </c>
    </row>
    <row r="64" spans="2:15" ht="14" customHeight="1" thickTop="1" thickBot="1" x14ac:dyDescent="0.2">
      <c r="B64" s="124" t="s">
        <v>2</v>
      </c>
      <c r="C64" s="298"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20</v>
      </c>
      <c r="E65" s="12">
        <v>20</v>
      </c>
      <c r="F65" s="12">
        <v>20</v>
      </c>
      <c r="G65" s="12">
        <v>20</v>
      </c>
      <c r="H65" s="12">
        <v>20</v>
      </c>
      <c r="I65" s="12">
        <v>20</v>
      </c>
      <c r="J65" s="12">
        <v>20</v>
      </c>
      <c r="K65" s="12">
        <v>20</v>
      </c>
      <c r="L65" s="12">
        <v>20</v>
      </c>
      <c r="M65" s="12">
        <v>20</v>
      </c>
      <c r="N65" s="12">
        <v>20</v>
      </c>
      <c r="O65" s="12">
        <v>20</v>
      </c>
    </row>
    <row r="66" spans="2:15" ht="14" customHeight="1" thickTop="1" thickBot="1" x14ac:dyDescent="0.2">
      <c r="B66" s="18">
        <v>2</v>
      </c>
      <c r="C66" s="102" t="str">
        <f t="shared" si="16"/>
        <v>9 h 30 à 11 h 30</v>
      </c>
      <c r="D66" s="14">
        <v>20</v>
      </c>
      <c r="E66" s="14">
        <v>9</v>
      </c>
      <c r="F66" s="14">
        <v>10</v>
      </c>
      <c r="G66" s="14">
        <v>14</v>
      </c>
      <c r="H66" s="14">
        <v>45</v>
      </c>
      <c r="I66" s="14">
        <v>15</v>
      </c>
      <c r="J66" s="14">
        <v>10</v>
      </c>
      <c r="K66" s="14">
        <v>28</v>
      </c>
      <c r="L66" s="14">
        <v>25</v>
      </c>
      <c r="M66" s="14">
        <v>24</v>
      </c>
      <c r="N66" s="14">
        <v>21</v>
      </c>
      <c r="O66" s="14">
        <v>25</v>
      </c>
    </row>
    <row r="67" spans="2:15" ht="14" customHeight="1" thickTop="1" thickBot="1" x14ac:dyDescent="0.2">
      <c r="B67" s="18">
        <v>3</v>
      </c>
      <c r="C67" s="102" t="str">
        <f t="shared" si="16"/>
        <v>11 h 30 à 14 h 30</v>
      </c>
      <c r="D67" s="14">
        <v>25</v>
      </c>
      <c r="E67" s="14">
        <v>50</v>
      </c>
      <c r="F67" s="14">
        <v>35</v>
      </c>
      <c r="G67" s="14">
        <v>41</v>
      </c>
      <c r="H67" s="14">
        <v>46</v>
      </c>
      <c r="I67" s="14">
        <v>45</v>
      </c>
      <c r="J67" s="14">
        <v>50</v>
      </c>
      <c r="K67" s="14">
        <v>28</v>
      </c>
      <c r="L67" s="14">
        <v>25</v>
      </c>
      <c r="M67" s="14">
        <v>24</v>
      </c>
      <c r="N67" s="14">
        <v>25</v>
      </c>
      <c r="O67" s="14">
        <v>25</v>
      </c>
    </row>
    <row r="68" spans="2:15" ht="14" customHeight="1" thickTop="1" thickBot="1" x14ac:dyDescent="0.2">
      <c r="B68" s="18">
        <v>4</v>
      </c>
      <c r="C68" s="102" t="str">
        <f t="shared" si="16"/>
        <v>14 h 30 à 17 h</v>
      </c>
      <c r="D68" s="14">
        <v>25</v>
      </c>
      <c r="E68" s="14">
        <v>9</v>
      </c>
      <c r="F68" s="14">
        <v>10</v>
      </c>
      <c r="G68" s="14">
        <v>11</v>
      </c>
      <c r="H68" s="14">
        <v>10</v>
      </c>
      <c r="I68" s="14">
        <v>15</v>
      </c>
      <c r="J68" s="14">
        <v>20</v>
      </c>
      <c r="K68" s="14">
        <v>28</v>
      </c>
      <c r="L68" s="14">
        <v>25</v>
      </c>
      <c r="M68" s="14">
        <v>24</v>
      </c>
      <c r="N68" s="14">
        <v>22</v>
      </c>
      <c r="O68" s="14">
        <v>25</v>
      </c>
    </row>
    <row r="69" spans="2:15" ht="14" customHeight="1" thickTop="1" thickBot="1" x14ac:dyDescent="0.2">
      <c r="B69" s="18">
        <v>5</v>
      </c>
      <c r="C69" s="102" t="str">
        <f t="shared" si="16"/>
        <v>17 h à 19 h</v>
      </c>
      <c r="D69" s="14">
        <v>25</v>
      </c>
      <c r="E69" s="14">
        <v>9</v>
      </c>
      <c r="F69" s="14">
        <v>35</v>
      </c>
      <c r="G69" s="14">
        <v>41</v>
      </c>
      <c r="H69" s="14">
        <v>11</v>
      </c>
      <c r="I69" s="14">
        <v>40</v>
      </c>
      <c r="J69" s="14">
        <v>16</v>
      </c>
      <c r="K69" s="14">
        <v>28</v>
      </c>
      <c r="L69" s="14">
        <v>25</v>
      </c>
      <c r="M69" s="14">
        <v>24</v>
      </c>
      <c r="N69" s="14">
        <v>25</v>
      </c>
      <c r="O69" s="14">
        <v>25</v>
      </c>
    </row>
    <row r="70" spans="2:15" ht="14" customHeight="1" thickTop="1" thickBot="1" x14ac:dyDescent="0.2">
      <c r="B70" s="18">
        <v>6</v>
      </c>
      <c r="C70" s="102" t="str">
        <f t="shared" si="16"/>
        <v>19 h à 23 h</v>
      </c>
      <c r="D70" s="14">
        <v>20</v>
      </c>
      <c r="E70" s="14">
        <v>29</v>
      </c>
      <c r="F70" s="14">
        <v>19</v>
      </c>
      <c r="G70" s="14">
        <v>11</v>
      </c>
      <c r="H70" s="14">
        <v>10</v>
      </c>
      <c r="I70" s="14">
        <v>15</v>
      </c>
      <c r="J70" s="14">
        <v>40</v>
      </c>
      <c r="K70" s="14">
        <v>21</v>
      </c>
      <c r="L70" s="14">
        <v>25</v>
      </c>
      <c r="M70" s="14">
        <v>24</v>
      </c>
      <c r="N70" s="14">
        <v>22</v>
      </c>
      <c r="O70" s="14">
        <v>25</v>
      </c>
    </row>
    <row r="71" spans="2:15" ht="14" customHeight="1" thickTop="1" thickBot="1" x14ac:dyDescent="0.2">
      <c r="B71" s="18">
        <v>7</v>
      </c>
      <c r="C71" s="102" t="str">
        <f t="shared" si="16"/>
        <v>23 h à 6 h</v>
      </c>
      <c r="D71" s="14">
        <v>0</v>
      </c>
      <c r="E71" s="14">
        <v>0</v>
      </c>
      <c r="F71" s="14">
        <v>0</v>
      </c>
      <c r="G71" s="14">
        <v>0</v>
      </c>
      <c r="H71" s="14">
        <v>0</v>
      </c>
      <c r="I71" s="14">
        <v>0</v>
      </c>
      <c r="J71" s="14">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135</v>
      </c>
      <c r="E72" s="17">
        <f t="shared" si="18"/>
        <v>126</v>
      </c>
      <c r="F72" s="17">
        <f t="shared" si="18"/>
        <v>129</v>
      </c>
      <c r="G72" s="17">
        <f t="shared" si="18"/>
        <v>138</v>
      </c>
      <c r="H72" s="17">
        <f t="shared" si="18"/>
        <v>142</v>
      </c>
      <c r="I72" s="17">
        <f t="shared" si="18"/>
        <v>150</v>
      </c>
      <c r="J72" s="17">
        <f t="shared" si="18"/>
        <v>156</v>
      </c>
      <c r="K72" s="17">
        <f t="shared" si="18"/>
        <v>153</v>
      </c>
      <c r="L72" s="17">
        <f t="shared" si="18"/>
        <v>145</v>
      </c>
      <c r="M72" s="17">
        <f t="shared" si="18"/>
        <v>140</v>
      </c>
      <c r="N72" s="17">
        <f t="shared" si="18"/>
        <v>135</v>
      </c>
      <c r="O72" s="17">
        <f t="shared" si="18"/>
        <v>145</v>
      </c>
    </row>
    <row r="73" spans="2:15" ht="14" customHeight="1" thickTop="1" thickBot="1" x14ac:dyDescent="0.2">
      <c r="B73" s="1129" t="s">
        <v>17</v>
      </c>
      <c r="C73" s="1130"/>
      <c r="D73" s="1130"/>
      <c r="E73" s="1130"/>
      <c r="F73" s="1130"/>
      <c r="G73" s="1130"/>
      <c r="H73" s="1130"/>
      <c r="I73" s="1130"/>
      <c r="J73" s="1130"/>
      <c r="K73" s="1130"/>
      <c r="L73" s="1130"/>
      <c r="M73" s="1130"/>
      <c r="N73" s="1130"/>
      <c r="O73" s="1131"/>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20</v>
      </c>
      <c r="E75" s="12">
        <v>20</v>
      </c>
      <c r="F75" s="12">
        <v>20</v>
      </c>
      <c r="G75" s="12">
        <v>20</v>
      </c>
      <c r="H75" s="12">
        <v>20</v>
      </c>
      <c r="I75" s="12">
        <v>20</v>
      </c>
      <c r="J75" s="12">
        <v>20</v>
      </c>
      <c r="K75" s="12">
        <v>20</v>
      </c>
      <c r="L75" s="12">
        <v>20</v>
      </c>
      <c r="M75" s="12">
        <v>20</v>
      </c>
      <c r="N75" s="12">
        <v>20</v>
      </c>
      <c r="O75" s="12">
        <v>20</v>
      </c>
    </row>
    <row r="76" spans="2:15" ht="14" customHeight="1" x14ac:dyDescent="0.15">
      <c r="B76" s="13">
        <v>2</v>
      </c>
      <c r="C76" s="102" t="str">
        <f t="shared" si="19"/>
        <v>9 h 30 à 11 h 30</v>
      </c>
      <c r="D76" s="14">
        <v>25</v>
      </c>
      <c r="E76" s="14">
        <v>9</v>
      </c>
      <c r="F76" s="14">
        <v>10</v>
      </c>
      <c r="G76" s="14">
        <v>14</v>
      </c>
      <c r="H76" s="14">
        <v>45</v>
      </c>
      <c r="I76" s="14">
        <v>15</v>
      </c>
      <c r="J76" s="14">
        <v>10</v>
      </c>
      <c r="K76" s="14">
        <v>28</v>
      </c>
      <c r="L76" s="14">
        <v>25</v>
      </c>
      <c r="M76" s="14">
        <v>24</v>
      </c>
      <c r="N76" s="14">
        <v>21</v>
      </c>
      <c r="O76" s="14">
        <v>25</v>
      </c>
    </row>
    <row r="77" spans="2:15" ht="14" customHeight="1" x14ac:dyDescent="0.15">
      <c r="B77" s="13">
        <v>3</v>
      </c>
      <c r="C77" s="102" t="str">
        <f t="shared" si="19"/>
        <v>11 h 30 à 14 h 30</v>
      </c>
      <c r="D77" s="14">
        <v>25</v>
      </c>
      <c r="E77" s="14">
        <v>50</v>
      </c>
      <c r="F77" s="14">
        <v>35</v>
      </c>
      <c r="G77" s="14">
        <v>41</v>
      </c>
      <c r="H77" s="14">
        <v>46</v>
      </c>
      <c r="I77" s="14">
        <v>45</v>
      </c>
      <c r="J77" s="14">
        <v>50</v>
      </c>
      <c r="K77" s="14">
        <v>28</v>
      </c>
      <c r="L77" s="14">
        <v>25</v>
      </c>
      <c r="M77" s="14">
        <v>24</v>
      </c>
      <c r="N77" s="14">
        <v>25</v>
      </c>
      <c r="O77" s="14">
        <v>25</v>
      </c>
    </row>
    <row r="78" spans="2:15" ht="14" customHeight="1" x14ac:dyDescent="0.15">
      <c r="B78" s="13">
        <v>4</v>
      </c>
      <c r="C78" s="102" t="str">
        <f t="shared" si="19"/>
        <v>14 h 30 à 17 h</v>
      </c>
      <c r="D78" s="14">
        <v>20</v>
      </c>
      <c r="E78" s="14">
        <v>9</v>
      </c>
      <c r="F78" s="14">
        <v>10</v>
      </c>
      <c r="G78" s="14">
        <v>11</v>
      </c>
      <c r="H78" s="14">
        <v>10</v>
      </c>
      <c r="I78" s="14">
        <v>15</v>
      </c>
      <c r="J78" s="14">
        <v>20</v>
      </c>
      <c r="K78" s="14">
        <v>28</v>
      </c>
      <c r="L78" s="14">
        <v>25</v>
      </c>
      <c r="M78" s="14">
        <v>24</v>
      </c>
      <c r="N78" s="14">
        <v>22</v>
      </c>
      <c r="O78" s="14">
        <v>25</v>
      </c>
    </row>
    <row r="79" spans="2:15" ht="14" customHeight="1" x14ac:dyDescent="0.15">
      <c r="B79" s="13">
        <v>5</v>
      </c>
      <c r="C79" s="102" t="str">
        <f t="shared" si="19"/>
        <v>17 h à 19 h</v>
      </c>
      <c r="D79" s="14">
        <v>25</v>
      </c>
      <c r="E79" s="14">
        <v>9</v>
      </c>
      <c r="F79" s="14">
        <v>35</v>
      </c>
      <c r="G79" s="14">
        <v>41</v>
      </c>
      <c r="H79" s="14">
        <v>11</v>
      </c>
      <c r="I79" s="14">
        <v>40</v>
      </c>
      <c r="J79" s="14">
        <v>16</v>
      </c>
      <c r="K79" s="14">
        <v>28</v>
      </c>
      <c r="L79" s="14">
        <v>25</v>
      </c>
      <c r="M79" s="14">
        <v>24</v>
      </c>
      <c r="N79" s="14">
        <v>25</v>
      </c>
      <c r="O79" s="14">
        <v>25</v>
      </c>
    </row>
    <row r="80" spans="2:15" ht="14" customHeight="1" x14ac:dyDescent="0.15">
      <c r="B80" s="13">
        <v>6</v>
      </c>
      <c r="C80" s="102" t="str">
        <f t="shared" si="19"/>
        <v>19 h à 23 h</v>
      </c>
      <c r="D80" s="14">
        <v>20</v>
      </c>
      <c r="E80" s="14">
        <v>29</v>
      </c>
      <c r="F80" s="14">
        <v>19</v>
      </c>
      <c r="G80" s="14">
        <v>11</v>
      </c>
      <c r="H80" s="14">
        <v>10</v>
      </c>
      <c r="I80" s="14">
        <v>15</v>
      </c>
      <c r="J80" s="14">
        <v>40</v>
      </c>
      <c r="K80" s="14">
        <v>21</v>
      </c>
      <c r="L80" s="14">
        <v>25</v>
      </c>
      <c r="M80" s="14">
        <v>24</v>
      </c>
      <c r="N80" s="14">
        <v>22</v>
      </c>
      <c r="O80" s="14">
        <v>25</v>
      </c>
    </row>
    <row r="81" spans="2:15" ht="14" customHeight="1" x14ac:dyDescent="0.15">
      <c r="B81" s="13">
        <v>7</v>
      </c>
      <c r="C81" s="102" t="str">
        <f t="shared" si="19"/>
        <v>23 h à 6 h</v>
      </c>
      <c r="D81" s="14">
        <v>0</v>
      </c>
      <c r="E81" s="14">
        <v>0</v>
      </c>
      <c r="F81" s="14">
        <v>0</v>
      </c>
      <c r="G81" s="14">
        <v>0</v>
      </c>
      <c r="H81" s="14">
        <v>0</v>
      </c>
      <c r="I81" s="14">
        <v>0</v>
      </c>
      <c r="J81" s="14">
        <v>0</v>
      </c>
      <c r="K81" s="14">
        <v>0</v>
      </c>
      <c r="L81" s="14">
        <v>0</v>
      </c>
      <c r="M81" s="14">
        <v>0</v>
      </c>
      <c r="N81" s="14">
        <v>0</v>
      </c>
      <c r="O81" s="14">
        <v>0</v>
      </c>
    </row>
    <row r="82" spans="2:15" ht="14" customHeight="1" thickBot="1" x14ac:dyDescent="0.2">
      <c r="B82" s="15"/>
      <c r="C82" s="300" t="str">
        <f>+C72</f>
        <v>Total</v>
      </c>
      <c r="D82" s="17">
        <f t="shared" ref="D82:O82" si="20">+D75+D76+D77+D78+D79+D80+D81</f>
        <v>135</v>
      </c>
      <c r="E82" s="17">
        <f t="shared" si="20"/>
        <v>126</v>
      </c>
      <c r="F82" s="17">
        <f t="shared" si="20"/>
        <v>129</v>
      </c>
      <c r="G82" s="17">
        <f t="shared" si="20"/>
        <v>138</v>
      </c>
      <c r="H82" s="17">
        <f t="shared" si="20"/>
        <v>142</v>
      </c>
      <c r="I82" s="17">
        <f t="shared" si="20"/>
        <v>150</v>
      </c>
      <c r="J82" s="17">
        <f t="shared" si="20"/>
        <v>156</v>
      </c>
      <c r="K82" s="17">
        <f t="shared" si="20"/>
        <v>153</v>
      </c>
      <c r="L82" s="17">
        <f t="shared" si="20"/>
        <v>145</v>
      </c>
      <c r="M82" s="17">
        <f t="shared" si="20"/>
        <v>140</v>
      </c>
      <c r="N82" s="17">
        <f t="shared" si="20"/>
        <v>135</v>
      </c>
      <c r="O82" s="17">
        <f t="shared" si="20"/>
        <v>145</v>
      </c>
    </row>
    <row r="83" spans="2:15" ht="14" customHeight="1" thickTop="1" thickBot="1" x14ac:dyDescent="0.2">
      <c r="B83" s="124" t="s">
        <v>2</v>
      </c>
      <c r="C83" s="298"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20</v>
      </c>
      <c r="E84" s="12">
        <v>20</v>
      </c>
      <c r="F84" s="12">
        <v>20</v>
      </c>
      <c r="G84" s="12">
        <v>20</v>
      </c>
      <c r="H84" s="12">
        <v>20</v>
      </c>
      <c r="I84" s="12">
        <v>20</v>
      </c>
      <c r="J84" s="12">
        <v>20</v>
      </c>
      <c r="K84" s="12">
        <v>20</v>
      </c>
      <c r="L84" s="12">
        <v>20</v>
      </c>
      <c r="M84" s="12">
        <v>20</v>
      </c>
      <c r="N84" s="12">
        <v>20</v>
      </c>
      <c r="O84" s="12">
        <v>20</v>
      </c>
    </row>
    <row r="85" spans="2:15" ht="14" customHeight="1" thickTop="1" thickBot="1" x14ac:dyDescent="0.2">
      <c r="B85" s="121">
        <v>2</v>
      </c>
      <c r="C85" s="102" t="str">
        <f t="shared" si="21"/>
        <v>9 h 30 à 11 h 30</v>
      </c>
      <c r="D85" s="14">
        <v>25</v>
      </c>
      <c r="E85" s="14">
        <v>9</v>
      </c>
      <c r="F85" s="14">
        <v>10</v>
      </c>
      <c r="G85" s="14">
        <v>14</v>
      </c>
      <c r="H85" s="14">
        <v>45</v>
      </c>
      <c r="I85" s="14">
        <v>15</v>
      </c>
      <c r="J85" s="14">
        <v>10</v>
      </c>
      <c r="K85" s="14">
        <v>28</v>
      </c>
      <c r="L85" s="14">
        <v>25</v>
      </c>
      <c r="M85" s="14">
        <v>24</v>
      </c>
      <c r="N85" s="14">
        <v>21</v>
      </c>
      <c r="O85" s="14">
        <v>25</v>
      </c>
    </row>
    <row r="86" spans="2:15" ht="14" customHeight="1" thickTop="1" thickBot="1" x14ac:dyDescent="0.2">
      <c r="B86" s="121">
        <v>3</v>
      </c>
      <c r="C86" s="102" t="str">
        <f t="shared" si="21"/>
        <v>11 h 30 à 14 h 30</v>
      </c>
      <c r="D86" s="14">
        <v>25</v>
      </c>
      <c r="E86" s="14">
        <v>50</v>
      </c>
      <c r="F86" s="14">
        <v>35</v>
      </c>
      <c r="G86" s="14">
        <v>41</v>
      </c>
      <c r="H86" s="14">
        <v>46</v>
      </c>
      <c r="I86" s="14">
        <v>45</v>
      </c>
      <c r="J86" s="14">
        <v>50</v>
      </c>
      <c r="K86" s="14">
        <v>28</v>
      </c>
      <c r="L86" s="14">
        <v>25</v>
      </c>
      <c r="M86" s="14">
        <v>24</v>
      </c>
      <c r="N86" s="14">
        <v>25</v>
      </c>
      <c r="O86" s="14">
        <v>25</v>
      </c>
    </row>
    <row r="87" spans="2:15" ht="14" customHeight="1" thickTop="1" thickBot="1" x14ac:dyDescent="0.2">
      <c r="B87" s="121">
        <v>4</v>
      </c>
      <c r="C87" s="102" t="str">
        <f t="shared" si="21"/>
        <v>14 h 30 à 17 h</v>
      </c>
      <c r="D87" s="14">
        <v>10</v>
      </c>
      <c r="E87" s="14">
        <v>9</v>
      </c>
      <c r="F87" s="14">
        <v>10</v>
      </c>
      <c r="G87" s="14">
        <v>11</v>
      </c>
      <c r="H87" s="14">
        <v>10</v>
      </c>
      <c r="I87" s="14">
        <v>15</v>
      </c>
      <c r="J87" s="14">
        <v>20</v>
      </c>
      <c r="K87" s="14">
        <v>28</v>
      </c>
      <c r="L87" s="14">
        <v>25</v>
      </c>
      <c r="M87" s="14">
        <v>24</v>
      </c>
      <c r="N87" s="14">
        <v>22</v>
      </c>
      <c r="O87" s="14">
        <v>25</v>
      </c>
    </row>
    <row r="88" spans="2:15" ht="14" customHeight="1" thickTop="1" thickBot="1" x14ac:dyDescent="0.2">
      <c r="B88" s="121">
        <v>5</v>
      </c>
      <c r="C88" s="102" t="str">
        <f t="shared" si="21"/>
        <v>17 h à 19 h</v>
      </c>
      <c r="D88" s="14">
        <v>25</v>
      </c>
      <c r="E88" s="14">
        <v>9</v>
      </c>
      <c r="F88" s="14">
        <v>35</v>
      </c>
      <c r="G88" s="14">
        <v>41</v>
      </c>
      <c r="H88" s="14">
        <v>11</v>
      </c>
      <c r="I88" s="14">
        <v>40</v>
      </c>
      <c r="J88" s="14">
        <v>16</v>
      </c>
      <c r="K88" s="14">
        <v>28</v>
      </c>
      <c r="L88" s="14">
        <v>25</v>
      </c>
      <c r="M88" s="14">
        <v>24</v>
      </c>
      <c r="N88" s="14">
        <v>25</v>
      </c>
      <c r="O88" s="14">
        <v>25</v>
      </c>
    </row>
    <row r="89" spans="2:15" ht="14" customHeight="1" thickTop="1" thickBot="1" x14ac:dyDescent="0.2">
      <c r="B89" s="121">
        <v>6</v>
      </c>
      <c r="C89" s="102" t="str">
        <f t="shared" si="21"/>
        <v>19 h à 23 h</v>
      </c>
      <c r="D89" s="14">
        <v>20</v>
      </c>
      <c r="E89" s="14">
        <v>29</v>
      </c>
      <c r="F89" s="14">
        <v>19</v>
      </c>
      <c r="G89" s="14">
        <v>11</v>
      </c>
      <c r="H89" s="14">
        <v>10</v>
      </c>
      <c r="I89" s="14">
        <v>15</v>
      </c>
      <c r="J89" s="14">
        <v>40</v>
      </c>
      <c r="K89" s="14">
        <v>21</v>
      </c>
      <c r="L89" s="14">
        <v>25</v>
      </c>
      <c r="M89" s="14">
        <v>24</v>
      </c>
      <c r="N89" s="14">
        <v>22</v>
      </c>
      <c r="O89" s="14">
        <v>25</v>
      </c>
    </row>
    <row r="90" spans="2:15" ht="14" customHeight="1" thickTop="1" thickBot="1" x14ac:dyDescent="0.2">
      <c r="B90" s="121">
        <v>7</v>
      </c>
      <c r="C90" s="102" t="str">
        <f t="shared" si="21"/>
        <v>23 h à 6 h</v>
      </c>
      <c r="D90" s="14">
        <v>0</v>
      </c>
      <c r="E90" s="14">
        <v>0</v>
      </c>
      <c r="F90" s="14">
        <v>0</v>
      </c>
      <c r="G90" s="14">
        <v>0</v>
      </c>
      <c r="H90" s="14">
        <v>0</v>
      </c>
      <c r="I90" s="14">
        <v>0</v>
      </c>
      <c r="J90" s="14">
        <v>0</v>
      </c>
      <c r="K90" s="14">
        <v>0</v>
      </c>
      <c r="L90" s="14">
        <v>0</v>
      </c>
      <c r="M90" s="14">
        <v>0</v>
      </c>
      <c r="N90" s="14">
        <v>0</v>
      </c>
      <c r="O90" s="14">
        <v>0</v>
      </c>
    </row>
    <row r="91" spans="2:15" ht="14" customHeight="1" thickTop="1" thickBot="1" x14ac:dyDescent="0.2">
      <c r="B91" s="19"/>
      <c r="C91" s="21" t="str">
        <f t="shared" ref="C91" si="22">+C82</f>
        <v>Total</v>
      </c>
      <c r="D91" s="17">
        <f t="shared" ref="D91:O91" si="23">+D84+D85+D86+D87+D88+D89+D90</f>
        <v>125</v>
      </c>
      <c r="E91" s="17">
        <f t="shared" si="23"/>
        <v>126</v>
      </c>
      <c r="F91" s="17">
        <f t="shared" si="23"/>
        <v>129</v>
      </c>
      <c r="G91" s="17">
        <f t="shared" si="23"/>
        <v>138</v>
      </c>
      <c r="H91" s="17">
        <f t="shared" si="23"/>
        <v>142</v>
      </c>
      <c r="I91" s="17">
        <f t="shared" si="23"/>
        <v>150</v>
      </c>
      <c r="J91" s="17">
        <f t="shared" si="23"/>
        <v>156</v>
      </c>
      <c r="K91" s="17">
        <f t="shared" si="23"/>
        <v>153</v>
      </c>
      <c r="L91" s="17">
        <f t="shared" si="23"/>
        <v>145</v>
      </c>
      <c r="M91" s="17">
        <f t="shared" si="23"/>
        <v>140</v>
      </c>
      <c r="N91" s="17">
        <f t="shared" si="23"/>
        <v>135</v>
      </c>
      <c r="O91" s="17">
        <f t="shared" si="23"/>
        <v>145</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20</v>
      </c>
      <c r="E93" s="12">
        <v>20</v>
      </c>
      <c r="F93" s="12">
        <v>20</v>
      </c>
      <c r="G93" s="12">
        <v>20</v>
      </c>
      <c r="H93" s="12">
        <v>20</v>
      </c>
      <c r="I93" s="12">
        <v>20</v>
      </c>
      <c r="J93" s="12">
        <v>20</v>
      </c>
      <c r="K93" s="12">
        <v>20</v>
      </c>
      <c r="L93" s="12">
        <v>20</v>
      </c>
      <c r="M93" s="12">
        <v>20</v>
      </c>
      <c r="N93" s="12">
        <v>20</v>
      </c>
      <c r="O93" s="12">
        <v>20</v>
      </c>
    </row>
    <row r="94" spans="2:15" ht="14" customHeight="1" thickTop="1" thickBot="1" x14ac:dyDescent="0.2">
      <c r="B94" s="121">
        <v>2</v>
      </c>
      <c r="C94" s="102" t="str">
        <f t="shared" si="24"/>
        <v>9 h 30 à 11 h 30</v>
      </c>
      <c r="D94" s="14">
        <v>25</v>
      </c>
      <c r="E94" s="14">
        <v>9</v>
      </c>
      <c r="F94" s="14">
        <v>10</v>
      </c>
      <c r="G94" s="14">
        <v>14</v>
      </c>
      <c r="H94" s="14">
        <v>45</v>
      </c>
      <c r="I94" s="14">
        <v>15</v>
      </c>
      <c r="J94" s="14">
        <v>10</v>
      </c>
      <c r="K94" s="14">
        <v>28</v>
      </c>
      <c r="L94" s="14">
        <v>25</v>
      </c>
      <c r="M94" s="14">
        <v>24</v>
      </c>
      <c r="N94" s="14">
        <v>21</v>
      </c>
      <c r="O94" s="14">
        <v>25</v>
      </c>
    </row>
    <row r="95" spans="2:15" ht="14" customHeight="1" thickTop="1" thickBot="1" x14ac:dyDescent="0.2">
      <c r="B95" s="121">
        <v>3</v>
      </c>
      <c r="C95" s="102" t="str">
        <f t="shared" si="24"/>
        <v>11 h 30 à 14 h 30</v>
      </c>
      <c r="D95" s="14">
        <v>25</v>
      </c>
      <c r="E95" s="14">
        <v>50</v>
      </c>
      <c r="F95" s="14">
        <v>35</v>
      </c>
      <c r="G95" s="14">
        <v>41</v>
      </c>
      <c r="H95" s="14">
        <v>46</v>
      </c>
      <c r="I95" s="14">
        <v>45</v>
      </c>
      <c r="J95" s="14">
        <v>50</v>
      </c>
      <c r="K95" s="14">
        <v>28</v>
      </c>
      <c r="L95" s="14">
        <v>25</v>
      </c>
      <c r="M95" s="14">
        <v>24</v>
      </c>
      <c r="N95" s="14">
        <v>25</v>
      </c>
      <c r="O95" s="14">
        <v>25</v>
      </c>
    </row>
    <row r="96" spans="2:15" ht="14" customHeight="1" thickTop="1" thickBot="1" x14ac:dyDescent="0.2">
      <c r="B96" s="121">
        <v>4</v>
      </c>
      <c r="C96" s="102" t="str">
        <f t="shared" si="24"/>
        <v>14 h 30 à 17 h</v>
      </c>
      <c r="D96" s="14">
        <v>10</v>
      </c>
      <c r="E96" s="14">
        <v>19</v>
      </c>
      <c r="F96" s="14">
        <v>20</v>
      </c>
      <c r="G96" s="14">
        <v>21</v>
      </c>
      <c r="H96" s="14">
        <v>20</v>
      </c>
      <c r="I96" s="14">
        <v>25</v>
      </c>
      <c r="J96" s="14">
        <v>30</v>
      </c>
      <c r="K96" s="14">
        <v>38</v>
      </c>
      <c r="L96" s="14">
        <v>35</v>
      </c>
      <c r="M96" s="14">
        <v>34</v>
      </c>
      <c r="N96" s="14">
        <v>32</v>
      </c>
      <c r="O96" s="14">
        <v>35</v>
      </c>
    </row>
    <row r="97" spans="2:15" ht="14" customHeight="1" thickTop="1" thickBot="1" x14ac:dyDescent="0.2">
      <c r="B97" s="121">
        <v>5</v>
      </c>
      <c r="C97" s="102" t="str">
        <f t="shared" si="24"/>
        <v>17 h à 19 h</v>
      </c>
      <c r="D97" s="14">
        <v>25</v>
      </c>
      <c r="E97" s="14">
        <v>9</v>
      </c>
      <c r="F97" s="14">
        <v>35</v>
      </c>
      <c r="G97" s="14">
        <v>41</v>
      </c>
      <c r="H97" s="14">
        <v>11</v>
      </c>
      <c r="I97" s="14">
        <v>40</v>
      </c>
      <c r="J97" s="14">
        <v>16</v>
      </c>
      <c r="K97" s="14">
        <v>28</v>
      </c>
      <c r="L97" s="14">
        <v>25</v>
      </c>
      <c r="M97" s="14">
        <v>24</v>
      </c>
      <c r="N97" s="14">
        <v>25</v>
      </c>
      <c r="O97" s="14">
        <v>25</v>
      </c>
    </row>
    <row r="98" spans="2:15" ht="14" customHeight="1" thickTop="1" thickBot="1" x14ac:dyDescent="0.2">
      <c r="B98" s="121">
        <v>6</v>
      </c>
      <c r="C98" s="102" t="str">
        <f t="shared" si="24"/>
        <v>19 h à 23 h</v>
      </c>
      <c r="D98" s="14">
        <v>20</v>
      </c>
      <c r="E98" s="14">
        <v>29</v>
      </c>
      <c r="F98" s="14">
        <v>19</v>
      </c>
      <c r="G98" s="14">
        <v>11</v>
      </c>
      <c r="H98" s="14">
        <v>10</v>
      </c>
      <c r="I98" s="14">
        <v>15</v>
      </c>
      <c r="J98" s="14">
        <v>40</v>
      </c>
      <c r="K98" s="14">
        <v>21</v>
      </c>
      <c r="L98" s="14">
        <v>25</v>
      </c>
      <c r="M98" s="14">
        <v>24</v>
      </c>
      <c r="N98" s="14">
        <v>22</v>
      </c>
      <c r="O98" s="14">
        <v>25</v>
      </c>
    </row>
    <row r="99" spans="2:15" ht="14" customHeight="1" thickTop="1" thickBot="1" x14ac:dyDescent="0.2">
      <c r="B99" s="121">
        <v>7</v>
      </c>
      <c r="C99" s="102" t="str">
        <f t="shared" si="24"/>
        <v>23 h à 6 h</v>
      </c>
      <c r="D99" s="14">
        <v>0</v>
      </c>
      <c r="E99" s="14">
        <v>0</v>
      </c>
      <c r="F99" s="14">
        <v>0</v>
      </c>
      <c r="G99" s="14">
        <v>0</v>
      </c>
      <c r="H99" s="14">
        <v>0</v>
      </c>
      <c r="I99" s="14">
        <v>0</v>
      </c>
      <c r="J99" s="14">
        <v>0</v>
      </c>
      <c r="K99" s="14">
        <v>0</v>
      </c>
      <c r="L99" s="14">
        <v>0</v>
      </c>
      <c r="M99" s="14">
        <v>0</v>
      </c>
      <c r="N99" s="14">
        <v>0</v>
      </c>
      <c r="O99" s="14">
        <v>0</v>
      </c>
    </row>
    <row r="100" spans="2:15" ht="14" customHeight="1" thickTop="1" thickBot="1" x14ac:dyDescent="0.2">
      <c r="B100" s="19"/>
      <c r="C100" s="297" t="str">
        <f t="shared" ref="C100" si="25">+C82</f>
        <v>Total</v>
      </c>
      <c r="D100" s="17">
        <f t="shared" ref="D100:O100" si="26">+D93+D94+D95+D96+D97+D98+D99</f>
        <v>125</v>
      </c>
      <c r="E100" s="17">
        <f t="shared" si="26"/>
        <v>136</v>
      </c>
      <c r="F100" s="17">
        <f t="shared" si="26"/>
        <v>139</v>
      </c>
      <c r="G100" s="17">
        <f t="shared" si="26"/>
        <v>148</v>
      </c>
      <c r="H100" s="17">
        <f t="shared" si="26"/>
        <v>152</v>
      </c>
      <c r="I100" s="17">
        <f t="shared" si="26"/>
        <v>160</v>
      </c>
      <c r="J100" s="17">
        <f t="shared" si="26"/>
        <v>166</v>
      </c>
      <c r="K100" s="17">
        <f t="shared" si="26"/>
        <v>163</v>
      </c>
      <c r="L100" s="17">
        <f t="shared" si="26"/>
        <v>155</v>
      </c>
      <c r="M100" s="17">
        <f t="shared" si="26"/>
        <v>150</v>
      </c>
      <c r="N100" s="17">
        <f t="shared" si="26"/>
        <v>145</v>
      </c>
      <c r="O100" s="17">
        <f t="shared" si="26"/>
        <v>155</v>
      </c>
    </row>
    <row r="101" spans="2:15" ht="14" customHeight="1" thickTop="1" thickBot="1" x14ac:dyDescent="0.2">
      <c r="B101" s="124" t="s">
        <v>2</v>
      </c>
      <c r="C101" s="298"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20</v>
      </c>
      <c r="E102" s="12">
        <v>20</v>
      </c>
      <c r="F102" s="12">
        <v>20</v>
      </c>
      <c r="G102" s="12">
        <v>20</v>
      </c>
      <c r="H102" s="12">
        <v>20</v>
      </c>
      <c r="I102" s="12">
        <v>20</v>
      </c>
      <c r="J102" s="12">
        <v>20</v>
      </c>
      <c r="K102" s="12">
        <v>20</v>
      </c>
      <c r="L102" s="12">
        <v>20</v>
      </c>
      <c r="M102" s="12">
        <v>20</v>
      </c>
      <c r="N102" s="12">
        <v>20</v>
      </c>
      <c r="O102" s="12">
        <v>20</v>
      </c>
    </row>
    <row r="103" spans="2:15" ht="14" customHeight="1" thickTop="1" thickBot="1" x14ac:dyDescent="0.2">
      <c r="B103" s="121">
        <v>2</v>
      </c>
      <c r="C103" s="102" t="str">
        <f t="shared" si="27"/>
        <v>9 h 30 à 11 h 30</v>
      </c>
      <c r="D103" s="14">
        <v>25</v>
      </c>
      <c r="E103" s="14">
        <v>9</v>
      </c>
      <c r="F103" s="14">
        <v>10</v>
      </c>
      <c r="G103" s="14">
        <v>14</v>
      </c>
      <c r="H103" s="14">
        <v>45</v>
      </c>
      <c r="I103" s="14">
        <v>15</v>
      </c>
      <c r="J103" s="14">
        <v>10</v>
      </c>
      <c r="K103" s="14">
        <v>28</v>
      </c>
      <c r="L103" s="14">
        <v>25</v>
      </c>
      <c r="M103" s="14">
        <v>24</v>
      </c>
      <c r="N103" s="14">
        <v>21</v>
      </c>
      <c r="O103" s="14">
        <v>25</v>
      </c>
    </row>
    <row r="104" spans="2:15" ht="14" customHeight="1" thickTop="1" thickBot="1" x14ac:dyDescent="0.2">
      <c r="B104" s="121">
        <v>3</v>
      </c>
      <c r="C104" s="102" t="str">
        <f t="shared" si="27"/>
        <v>11 h 30 à 14 h 30</v>
      </c>
      <c r="D104" s="14">
        <v>25</v>
      </c>
      <c r="E104" s="14">
        <v>50</v>
      </c>
      <c r="F104" s="14">
        <v>35</v>
      </c>
      <c r="G104" s="14">
        <v>41</v>
      </c>
      <c r="H104" s="14">
        <v>46</v>
      </c>
      <c r="I104" s="14">
        <v>45</v>
      </c>
      <c r="J104" s="14">
        <v>50</v>
      </c>
      <c r="K104" s="14">
        <v>28</v>
      </c>
      <c r="L104" s="14">
        <v>25</v>
      </c>
      <c r="M104" s="14">
        <v>24</v>
      </c>
      <c r="N104" s="14">
        <v>25</v>
      </c>
      <c r="O104" s="14">
        <v>25</v>
      </c>
    </row>
    <row r="105" spans="2:15" ht="14" customHeight="1" thickTop="1" thickBot="1" x14ac:dyDescent="0.2">
      <c r="B105" s="121">
        <v>4</v>
      </c>
      <c r="C105" s="102" t="str">
        <f t="shared" si="27"/>
        <v>14 h 30 à 17 h</v>
      </c>
      <c r="D105" s="14">
        <v>20</v>
      </c>
      <c r="E105" s="14">
        <v>9</v>
      </c>
      <c r="F105" s="14">
        <v>10</v>
      </c>
      <c r="G105" s="14">
        <v>11</v>
      </c>
      <c r="H105" s="14">
        <v>10</v>
      </c>
      <c r="I105" s="14">
        <v>15</v>
      </c>
      <c r="J105" s="14">
        <v>20</v>
      </c>
      <c r="K105" s="14">
        <v>28</v>
      </c>
      <c r="L105" s="14">
        <v>25</v>
      </c>
      <c r="M105" s="14">
        <v>24</v>
      </c>
      <c r="N105" s="14">
        <v>22</v>
      </c>
      <c r="O105" s="14">
        <v>25</v>
      </c>
    </row>
    <row r="106" spans="2:15" ht="14" customHeight="1" thickTop="1" thickBot="1" x14ac:dyDescent="0.2">
      <c r="B106" s="121">
        <v>5</v>
      </c>
      <c r="C106" s="102" t="str">
        <f t="shared" si="27"/>
        <v>17 h à 19 h</v>
      </c>
      <c r="D106" s="14">
        <v>25</v>
      </c>
      <c r="E106" s="14">
        <v>9</v>
      </c>
      <c r="F106" s="14">
        <v>35</v>
      </c>
      <c r="G106" s="14">
        <v>41</v>
      </c>
      <c r="H106" s="14">
        <v>11</v>
      </c>
      <c r="I106" s="14">
        <v>40</v>
      </c>
      <c r="J106" s="14">
        <v>16</v>
      </c>
      <c r="K106" s="14">
        <v>28</v>
      </c>
      <c r="L106" s="14">
        <v>25</v>
      </c>
      <c r="M106" s="14">
        <v>24</v>
      </c>
      <c r="N106" s="14">
        <v>25</v>
      </c>
      <c r="O106" s="14">
        <v>25</v>
      </c>
    </row>
    <row r="107" spans="2:15" ht="14" customHeight="1" thickTop="1" thickBot="1" x14ac:dyDescent="0.2">
      <c r="B107" s="121">
        <v>6</v>
      </c>
      <c r="C107" s="102" t="str">
        <f t="shared" si="27"/>
        <v>19 h à 23 h</v>
      </c>
      <c r="D107" s="14">
        <v>10</v>
      </c>
      <c r="E107" s="14">
        <v>29</v>
      </c>
      <c r="F107" s="14">
        <v>19</v>
      </c>
      <c r="G107" s="14">
        <v>11</v>
      </c>
      <c r="H107" s="14">
        <v>10</v>
      </c>
      <c r="I107" s="14">
        <v>15</v>
      </c>
      <c r="J107" s="14">
        <v>40</v>
      </c>
      <c r="K107" s="14">
        <v>21</v>
      </c>
      <c r="L107" s="14">
        <v>25</v>
      </c>
      <c r="M107" s="14">
        <v>24</v>
      </c>
      <c r="N107" s="14">
        <v>22</v>
      </c>
      <c r="O107" s="14">
        <v>25</v>
      </c>
    </row>
    <row r="108" spans="2:15" ht="14" customHeight="1" thickTop="1" thickBot="1" x14ac:dyDescent="0.2">
      <c r="B108" s="121">
        <v>7</v>
      </c>
      <c r="C108" s="102" t="str">
        <f t="shared" si="27"/>
        <v>23 h à 6 h</v>
      </c>
      <c r="D108" s="14">
        <v>0</v>
      </c>
      <c r="E108" s="14">
        <v>0</v>
      </c>
      <c r="F108" s="14">
        <v>0</v>
      </c>
      <c r="G108" s="14">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125</v>
      </c>
      <c r="E109" s="17">
        <f t="shared" si="28"/>
        <v>126</v>
      </c>
      <c r="F109" s="17">
        <f t="shared" si="28"/>
        <v>129</v>
      </c>
      <c r="G109" s="17">
        <f t="shared" si="28"/>
        <v>138</v>
      </c>
      <c r="H109" s="17">
        <f t="shared" si="28"/>
        <v>142</v>
      </c>
      <c r="I109" s="17">
        <f t="shared" si="28"/>
        <v>150</v>
      </c>
      <c r="J109" s="17">
        <f t="shared" si="28"/>
        <v>156</v>
      </c>
      <c r="K109" s="17">
        <f t="shared" si="28"/>
        <v>153</v>
      </c>
      <c r="L109" s="17">
        <f t="shared" si="28"/>
        <v>145</v>
      </c>
      <c r="M109" s="17">
        <f t="shared" si="28"/>
        <v>140</v>
      </c>
      <c r="N109" s="17">
        <f t="shared" si="28"/>
        <v>135</v>
      </c>
      <c r="O109" s="17">
        <f t="shared" si="28"/>
        <v>145</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20</v>
      </c>
      <c r="E111" s="12">
        <v>20</v>
      </c>
      <c r="F111" s="12">
        <v>20</v>
      </c>
      <c r="G111" s="12">
        <v>20</v>
      </c>
      <c r="H111" s="12">
        <v>20</v>
      </c>
      <c r="I111" s="12">
        <v>20</v>
      </c>
      <c r="J111" s="12">
        <v>20</v>
      </c>
      <c r="K111" s="12">
        <v>20</v>
      </c>
      <c r="L111" s="12">
        <v>20</v>
      </c>
      <c r="M111" s="12">
        <v>20</v>
      </c>
      <c r="N111" s="12">
        <v>20</v>
      </c>
      <c r="O111" s="12">
        <v>20</v>
      </c>
    </row>
    <row r="112" spans="2:15" ht="14" customHeight="1" thickTop="1" thickBot="1" x14ac:dyDescent="0.2">
      <c r="B112" s="121">
        <v>2</v>
      </c>
      <c r="C112" s="102" t="str">
        <f t="shared" si="29"/>
        <v>9 h 30 à 11 h 30</v>
      </c>
      <c r="D112" s="14">
        <v>25</v>
      </c>
      <c r="E112" s="14">
        <v>9</v>
      </c>
      <c r="F112" s="14">
        <v>10</v>
      </c>
      <c r="G112" s="14">
        <v>14</v>
      </c>
      <c r="H112" s="14">
        <v>45</v>
      </c>
      <c r="I112" s="14">
        <v>15</v>
      </c>
      <c r="J112" s="14">
        <v>10</v>
      </c>
      <c r="K112" s="14">
        <v>28</v>
      </c>
      <c r="L112" s="14">
        <v>25</v>
      </c>
      <c r="M112" s="14">
        <v>24</v>
      </c>
      <c r="N112" s="14">
        <v>21</v>
      </c>
      <c r="O112" s="14">
        <v>25</v>
      </c>
    </row>
    <row r="113" spans="2:16" ht="14" customHeight="1" thickTop="1" thickBot="1" x14ac:dyDescent="0.2">
      <c r="B113" s="121">
        <v>3</v>
      </c>
      <c r="C113" s="102" t="str">
        <f t="shared" si="29"/>
        <v>11 h 30 à 14 h 30</v>
      </c>
      <c r="D113" s="14">
        <v>25</v>
      </c>
      <c r="E113" s="14">
        <v>50</v>
      </c>
      <c r="F113" s="14">
        <v>35</v>
      </c>
      <c r="G113" s="14">
        <v>41</v>
      </c>
      <c r="H113" s="14">
        <v>46</v>
      </c>
      <c r="I113" s="14">
        <v>45</v>
      </c>
      <c r="J113" s="14">
        <v>50</v>
      </c>
      <c r="K113" s="14">
        <v>28</v>
      </c>
      <c r="L113" s="14">
        <v>25</v>
      </c>
      <c r="M113" s="14">
        <v>24</v>
      </c>
      <c r="N113" s="14">
        <v>25</v>
      </c>
      <c r="O113" s="14">
        <v>25</v>
      </c>
    </row>
    <row r="114" spans="2:16" ht="14" customHeight="1" thickTop="1" thickBot="1" x14ac:dyDescent="0.2">
      <c r="B114" s="121">
        <v>4</v>
      </c>
      <c r="C114" s="102" t="str">
        <f t="shared" si="29"/>
        <v>14 h 30 à 17 h</v>
      </c>
      <c r="D114" s="14">
        <v>10</v>
      </c>
      <c r="E114" s="14">
        <v>9</v>
      </c>
      <c r="F114" s="14">
        <v>10</v>
      </c>
      <c r="G114" s="14">
        <v>11</v>
      </c>
      <c r="H114" s="14">
        <v>10</v>
      </c>
      <c r="I114" s="14">
        <v>15</v>
      </c>
      <c r="J114" s="14">
        <v>20</v>
      </c>
      <c r="K114" s="14">
        <v>28</v>
      </c>
      <c r="L114" s="14">
        <v>25</v>
      </c>
      <c r="M114" s="14">
        <v>24</v>
      </c>
      <c r="N114" s="14">
        <v>22</v>
      </c>
      <c r="O114" s="14">
        <v>25</v>
      </c>
    </row>
    <row r="115" spans="2:16" ht="14" customHeight="1" thickTop="1" thickBot="1" x14ac:dyDescent="0.2">
      <c r="B115" s="121">
        <v>5</v>
      </c>
      <c r="C115" s="102" t="str">
        <f t="shared" si="29"/>
        <v>17 h à 19 h</v>
      </c>
      <c r="D115" s="14">
        <v>25</v>
      </c>
      <c r="E115" s="14">
        <v>9</v>
      </c>
      <c r="F115" s="14">
        <v>35</v>
      </c>
      <c r="G115" s="14">
        <v>41</v>
      </c>
      <c r="H115" s="14">
        <v>11</v>
      </c>
      <c r="I115" s="14">
        <v>40</v>
      </c>
      <c r="J115" s="14">
        <v>16</v>
      </c>
      <c r="K115" s="14">
        <v>28</v>
      </c>
      <c r="L115" s="14">
        <v>25</v>
      </c>
      <c r="M115" s="14">
        <v>24</v>
      </c>
      <c r="N115" s="14">
        <v>25</v>
      </c>
      <c r="O115" s="14">
        <v>25</v>
      </c>
    </row>
    <row r="116" spans="2:16" ht="14" customHeight="1" thickTop="1" thickBot="1" x14ac:dyDescent="0.2">
      <c r="B116" s="121">
        <v>6</v>
      </c>
      <c r="C116" s="102" t="str">
        <f t="shared" si="29"/>
        <v>19 h à 23 h</v>
      </c>
      <c r="D116" s="14">
        <v>10</v>
      </c>
      <c r="E116" s="14">
        <v>29</v>
      </c>
      <c r="F116" s="14">
        <v>19</v>
      </c>
      <c r="G116" s="14">
        <v>11</v>
      </c>
      <c r="H116" s="14">
        <v>10</v>
      </c>
      <c r="I116" s="14">
        <v>15</v>
      </c>
      <c r="J116" s="14">
        <v>40</v>
      </c>
      <c r="K116" s="14">
        <v>21</v>
      </c>
      <c r="L116" s="14">
        <v>25</v>
      </c>
      <c r="M116" s="14">
        <v>24</v>
      </c>
      <c r="N116" s="14">
        <v>22</v>
      </c>
      <c r="O116" s="14">
        <v>25</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7" t="str">
        <f t="shared" ref="C118" si="30">+C109</f>
        <v>Total</v>
      </c>
      <c r="D118" s="17">
        <f t="shared" ref="D118:O118" si="31">+D111+D112+D113+D114+D115+D116+D117</f>
        <v>115</v>
      </c>
      <c r="E118" s="17">
        <f t="shared" si="31"/>
        <v>126</v>
      </c>
      <c r="F118" s="17">
        <f t="shared" si="31"/>
        <v>129</v>
      </c>
      <c r="G118" s="17">
        <f t="shared" si="31"/>
        <v>138</v>
      </c>
      <c r="H118" s="17">
        <f t="shared" si="31"/>
        <v>142</v>
      </c>
      <c r="I118" s="17">
        <f t="shared" si="31"/>
        <v>150</v>
      </c>
      <c r="J118" s="17">
        <f t="shared" si="31"/>
        <v>156</v>
      </c>
      <c r="K118" s="17">
        <f t="shared" si="31"/>
        <v>153</v>
      </c>
      <c r="L118" s="17">
        <f t="shared" si="31"/>
        <v>145</v>
      </c>
      <c r="M118" s="17">
        <f t="shared" si="31"/>
        <v>140</v>
      </c>
      <c r="N118" s="17">
        <f t="shared" si="31"/>
        <v>135</v>
      </c>
      <c r="O118" s="17">
        <f t="shared" si="31"/>
        <v>145</v>
      </c>
    </row>
    <row r="119" spans="2:16" ht="14" customHeight="1" thickTop="1" thickBot="1" x14ac:dyDescent="0.2">
      <c r="B119" s="124" t="s">
        <v>2</v>
      </c>
      <c r="C119" s="298"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20</v>
      </c>
      <c r="E120" s="12">
        <v>20</v>
      </c>
      <c r="F120" s="12">
        <v>20</v>
      </c>
      <c r="G120" s="12">
        <v>20</v>
      </c>
      <c r="H120" s="12">
        <v>20</v>
      </c>
      <c r="I120" s="12">
        <v>20</v>
      </c>
      <c r="J120" s="12">
        <v>20</v>
      </c>
      <c r="K120" s="12">
        <v>20</v>
      </c>
      <c r="L120" s="12">
        <v>20</v>
      </c>
      <c r="M120" s="12">
        <v>20</v>
      </c>
      <c r="N120" s="12">
        <v>20</v>
      </c>
      <c r="O120" s="12">
        <v>20</v>
      </c>
      <c r="P120" s="23" t="s">
        <v>2</v>
      </c>
    </row>
    <row r="121" spans="2:16" ht="14" customHeight="1" thickTop="1" thickBot="1" x14ac:dyDescent="0.2">
      <c r="B121" s="18">
        <v>2</v>
      </c>
      <c r="C121" s="102" t="str">
        <f t="shared" si="32"/>
        <v>9 h 30 à 11 h 30</v>
      </c>
      <c r="D121" s="14">
        <v>25</v>
      </c>
      <c r="E121" s="14">
        <v>9</v>
      </c>
      <c r="F121" s="22">
        <v>10</v>
      </c>
      <c r="G121" s="14">
        <v>14</v>
      </c>
      <c r="H121" s="14">
        <v>45</v>
      </c>
      <c r="I121" s="14">
        <v>15</v>
      </c>
      <c r="J121" s="14">
        <v>10</v>
      </c>
      <c r="K121" s="14">
        <v>28</v>
      </c>
      <c r="L121" s="14">
        <v>25</v>
      </c>
      <c r="M121" s="14">
        <v>24</v>
      </c>
      <c r="N121" s="14">
        <v>21</v>
      </c>
      <c r="O121" s="14">
        <v>25</v>
      </c>
    </row>
    <row r="122" spans="2:16" ht="14" customHeight="1" thickTop="1" thickBot="1" x14ac:dyDescent="0.2">
      <c r="B122" s="18">
        <v>3</v>
      </c>
      <c r="C122" s="102" t="str">
        <f t="shared" si="32"/>
        <v>11 h 30 à 14 h 30</v>
      </c>
      <c r="D122" s="14">
        <v>25</v>
      </c>
      <c r="E122" s="14">
        <v>50</v>
      </c>
      <c r="F122" s="22">
        <v>35</v>
      </c>
      <c r="G122" s="14">
        <v>41</v>
      </c>
      <c r="H122" s="14">
        <v>46</v>
      </c>
      <c r="I122" s="14">
        <v>45</v>
      </c>
      <c r="J122" s="14">
        <v>50</v>
      </c>
      <c r="K122" s="14">
        <v>28</v>
      </c>
      <c r="L122" s="14">
        <v>25</v>
      </c>
      <c r="M122" s="14">
        <v>24</v>
      </c>
      <c r="N122" s="14">
        <v>25</v>
      </c>
      <c r="O122" s="14">
        <v>25</v>
      </c>
    </row>
    <row r="123" spans="2:16" ht="14" customHeight="1" thickTop="1" thickBot="1" x14ac:dyDescent="0.2">
      <c r="B123" s="18">
        <v>4</v>
      </c>
      <c r="C123" s="102" t="str">
        <f t="shared" si="32"/>
        <v>14 h 30 à 17 h</v>
      </c>
      <c r="D123" s="14">
        <v>20</v>
      </c>
      <c r="E123" s="14">
        <v>29</v>
      </c>
      <c r="F123" s="22">
        <v>20</v>
      </c>
      <c r="G123" s="14">
        <v>21</v>
      </c>
      <c r="H123" s="14">
        <v>20</v>
      </c>
      <c r="I123" s="14">
        <v>25</v>
      </c>
      <c r="J123" s="14">
        <v>30</v>
      </c>
      <c r="K123" s="14">
        <v>38</v>
      </c>
      <c r="L123" s="14">
        <v>35</v>
      </c>
      <c r="M123" s="14">
        <v>34</v>
      </c>
      <c r="N123" s="14">
        <v>32</v>
      </c>
      <c r="O123" s="14">
        <v>35</v>
      </c>
    </row>
    <row r="124" spans="2:16" ht="14" customHeight="1" thickTop="1" thickBot="1" x14ac:dyDescent="0.2">
      <c r="B124" s="18">
        <v>5</v>
      </c>
      <c r="C124" s="102" t="str">
        <f t="shared" si="32"/>
        <v>17 h à 19 h</v>
      </c>
      <c r="D124" s="14">
        <v>25</v>
      </c>
      <c r="E124" s="14">
        <v>9</v>
      </c>
      <c r="F124" s="22">
        <v>35</v>
      </c>
      <c r="G124" s="14">
        <v>41</v>
      </c>
      <c r="H124" s="14">
        <v>11</v>
      </c>
      <c r="I124" s="14">
        <v>40</v>
      </c>
      <c r="J124" s="14">
        <v>16</v>
      </c>
      <c r="K124" s="14">
        <v>28</v>
      </c>
      <c r="L124" s="14">
        <v>25</v>
      </c>
      <c r="M124" s="14">
        <v>24</v>
      </c>
      <c r="N124" s="14">
        <v>25</v>
      </c>
      <c r="O124" s="14">
        <v>25</v>
      </c>
    </row>
    <row r="125" spans="2:16" ht="14" customHeight="1" thickTop="1" thickBot="1" x14ac:dyDescent="0.2">
      <c r="B125" s="18">
        <v>6</v>
      </c>
      <c r="C125" s="102" t="str">
        <f t="shared" si="32"/>
        <v>19 h à 23 h</v>
      </c>
      <c r="D125" s="14">
        <v>10</v>
      </c>
      <c r="E125" s="14">
        <v>29</v>
      </c>
      <c r="F125" s="22">
        <v>19</v>
      </c>
      <c r="G125" s="14">
        <v>11</v>
      </c>
      <c r="H125" s="14">
        <v>10</v>
      </c>
      <c r="I125" s="14">
        <v>15</v>
      </c>
      <c r="J125" s="14">
        <v>40</v>
      </c>
      <c r="K125" s="14">
        <v>21</v>
      </c>
      <c r="L125" s="14">
        <v>25</v>
      </c>
      <c r="M125" s="14">
        <v>24</v>
      </c>
      <c r="N125" s="14">
        <v>22</v>
      </c>
      <c r="O125" s="14">
        <v>25</v>
      </c>
    </row>
    <row r="126" spans="2:16" ht="14" customHeight="1" thickTop="1" thickBot="1" x14ac:dyDescent="0.2">
      <c r="B126" s="18">
        <v>7</v>
      </c>
      <c r="C126" s="102" t="str">
        <f t="shared" si="32"/>
        <v>23 h à 6 h</v>
      </c>
      <c r="D126" s="14">
        <v>0</v>
      </c>
      <c r="E126" s="14">
        <v>0</v>
      </c>
      <c r="F126" s="22">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125</v>
      </c>
      <c r="E127" s="17">
        <f>+E120+E121+E122+E123+E124+E125+E126</f>
        <v>146</v>
      </c>
      <c r="F127" s="17">
        <f>+F120+F121+F122+F123+F124+F125+F126</f>
        <v>139</v>
      </c>
      <c r="G127" s="17">
        <f t="shared" ref="G127:N127" si="34">+G120+G121+G122+G123+G124+G125+G126</f>
        <v>148</v>
      </c>
      <c r="H127" s="17">
        <f t="shared" si="34"/>
        <v>152</v>
      </c>
      <c r="I127" s="17">
        <f t="shared" si="34"/>
        <v>160</v>
      </c>
      <c r="J127" s="17">
        <f t="shared" si="34"/>
        <v>166</v>
      </c>
      <c r="K127" s="17">
        <f t="shared" si="34"/>
        <v>163</v>
      </c>
      <c r="L127" s="17">
        <f t="shared" si="34"/>
        <v>155</v>
      </c>
      <c r="M127" s="17">
        <f t="shared" si="34"/>
        <v>150</v>
      </c>
      <c r="N127" s="17">
        <f t="shared" si="34"/>
        <v>145</v>
      </c>
      <c r="O127" s="24">
        <f>+O120+O121+O122+O123+O124+O125+O126</f>
        <v>155</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20</v>
      </c>
      <c r="E129" s="12">
        <v>20</v>
      </c>
      <c r="F129" s="12">
        <v>20</v>
      </c>
      <c r="G129" s="12">
        <v>20</v>
      </c>
      <c r="H129" s="12">
        <v>20</v>
      </c>
      <c r="I129" s="12">
        <v>20</v>
      </c>
      <c r="J129" s="12">
        <v>20</v>
      </c>
      <c r="K129" s="12">
        <v>20</v>
      </c>
      <c r="L129" s="12">
        <v>20</v>
      </c>
      <c r="M129" s="12">
        <v>20</v>
      </c>
      <c r="N129" s="12">
        <v>20</v>
      </c>
      <c r="O129" s="12">
        <v>20</v>
      </c>
    </row>
    <row r="130" spans="2:15" ht="14" customHeight="1" thickTop="1" thickBot="1" x14ac:dyDescent="0.2">
      <c r="B130" s="18">
        <v>2</v>
      </c>
      <c r="C130" s="102" t="str">
        <f t="shared" si="35"/>
        <v>9 h 30 à 11 h 30</v>
      </c>
      <c r="D130" s="14">
        <v>25</v>
      </c>
      <c r="E130" s="14">
        <v>9</v>
      </c>
      <c r="F130" s="22">
        <v>10</v>
      </c>
      <c r="G130" s="14">
        <v>14</v>
      </c>
      <c r="H130" s="14">
        <v>45</v>
      </c>
      <c r="I130" s="14">
        <v>15</v>
      </c>
      <c r="J130" s="14">
        <v>10</v>
      </c>
      <c r="K130" s="14">
        <v>28</v>
      </c>
      <c r="L130" s="14">
        <v>25</v>
      </c>
      <c r="M130" s="14">
        <v>24</v>
      </c>
      <c r="N130" s="14">
        <v>21</v>
      </c>
      <c r="O130" s="14">
        <v>25</v>
      </c>
    </row>
    <row r="131" spans="2:15" ht="14" customHeight="1" thickTop="1" thickBot="1" x14ac:dyDescent="0.2">
      <c r="B131" s="18">
        <v>3</v>
      </c>
      <c r="C131" s="102" t="str">
        <f t="shared" si="35"/>
        <v>11 h 30 à 14 h 30</v>
      </c>
      <c r="D131" s="14">
        <v>25</v>
      </c>
      <c r="E131" s="14">
        <v>50</v>
      </c>
      <c r="F131" s="22">
        <v>35</v>
      </c>
      <c r="G131" s="14">
        <v>41</v>
      </c>
      <c r="H131" s="14">
        <v>46</v>
      </c>
      <c r="I131" s="14">
        <v>45</v>
      </c>
      <c r="J131" s="14">
        <v>50</v>
      </c>
      <c r="K131" s="14">
        <v>28</v>
      </c>
      <c r="L131" s="14">
        <v>25</v>
      </c>
      <c r="M131" s="14">
        <v>24</v>
      </c>
      <c r="N131" s="14">
        <v>25</v>
      </c>
      <c r="O131" s="14">
        <v>25</v>
      </c>
    </row>
    <row r="132" spans="2:15" ht="14" customHeight="1" thickTop="1" thickBot="1" x14ac:dyDescent="0.2">
      <c r="B132" s="18">
        <v>4</v>
      </c>
      <c r="C132" s="102" t="str">
        <f t="shared" si="35"/>
        <v>14 h 30 à 17 h</v>
      </c>
      <c r="D132" s="14">
        <v>10</v>
      </c>
      <c r="E132" s="14">
        <v>9</v>
      </c>
      <c r="F132" s="22">
        <v>10</v>
      </c>
      <c r="G132" s="14">
        <v>11</v>
      </c>
      <c r="H132" s="14">
        <v>10</v>
      </c>
      <c r="I132" s="14">
        <v>15</v>
      </c>
      <c r="J132" s="14">
        <v>20</v>
      </c>
      <c r="K132" s="14">
        <v>28</v>
      </c>
      <c r="L132" s="14">
        <v>25</v>
      </c>
      <c r="M132" s="14">
        <v>24</v>
      </c>
      <c r="N132" s="14">
        <v>22</v>
      </c>
      <c r="O132" s="14">
        <v>25</v>
      </c>
    </row>
    <row r="133" spans="2:15" ht="14" customHeight="1" thickTop="1" thickBot="1" x14ac:dyDescent="0.2">
      <c r="B133" s="18">
        <v>5</v>
      </c>
      <c r="C133" s="102" t="str">
        <f t="shared" si="35"/>
        <v>17 h à 19 h</v>
      </c>
      <c r="D133" s="14">
        <v>25</v>
      </c>
      <c r="E133" s="14">
        <v>9</v>
      </c>
      <c r="F133" s="22">
        <v>35</v>
      </c>
      <c r="G133" s="14">
        <v>41</v>
      </c>
      <c r="H133" s="14">
        <v>11</v>
      </c>
      <c r="I133" s="14">
        <v>40</v>
      </c>
      <c r="J133" s="14">
        <v>16</v>
      </c>
      <c r="K133" s="14">
        <v>28</v>
      </c>
      <c r="L133" s="14">
        <v>25</v>
      </c>
      <c r="M133" s="14">
        <v>24</v>
      </c>
      <c r="N133" s="14">
        <v>25</v>
      </c>
      <c r="O133" s="14">
        <v>25</v>
      </c>
    </row>
    <row r="134" spans="2:15" ht="14" customHeight="1" thickTop="1" thickBot="1" x14ac:dyDescent="0.2">
      <c r="B134" s="18">
        <v>6</v>
      </c>
      <c r="C134" s="102" t="str">
        <f t="shared" si="35"/>
        <v>19 h à 23 h</v>
      </c>
      <c r="D134" s="14">
        <v>10</v>
      </c>
      <c r="E134" s="14">
        <v>29</v>
      </c>
      <c r="F134" s="22">
        <v>19</v>
      </c>
      <c r="G134" s="14">
        <v>11</v>
      </c>
      <c r="H134" s="14">
        <v>10</v>
      </c>
      <c r="I134" s="14">
        <v>15</v>
      </c>
      <c r="J134" s="14">
        <v>40</v>
      </c>
      <c r="K134" s="14">
        <v>21</v>
      </c>
      <c r="L134" s="14">
        <v>25</v>
      </c>
      <c r="M134" s="14">
        <v>24</v>
      </c>
      <c r="N134" s="14">
        <v>22</v>
      </c>
      <c r="O134" s="14">
        <v>25</v>
      </c>
    </row>
    <row r="135" spans="2:15" ht="14" customHeight="1" thickTop="1" thickBot="1" x14ac:dyDescent="0.2">
      <c r="B135" s="18">
        <v>7</v>
      </c>
      <c r="C135" s="102" t="str">
        <f t="shared" si="35"/>
        <v>23 h à 6 h</v>
      </c>
      <c r="D135" s="14">
        <v>0</v>
      </c>
      <c r="E135" s="14">
        <v>0</v>
      </c>
      <c r="F135" s="22">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115</v>
      </c>
      <c r="E136" s="24">
        <f t="shared" si="37"/>
        <v>126</v>
      </c>
      <c r="F136" s="24">
        <f t="shared" si="37"/>
        <v>129</v>
      </c>
      <c r="G136" s="24">
        <f t="shared" si="37"/>
        <v>138</v>
      </c>
      <c r="H136" s="24">
        <f t="shared" si="37"/>
        <v>142</v>
      </c>
      <c r="I136" s="24">
        <f t="shared" si="37"/>
        <v>150</v>
      </c>
      <c r="J136" s="24">
        <f t="shared" si="37"/>
        <v>156</v>
      </c>
      <c r="K136" s="24">
        <f t="shared" si="37"/>
        <v>153</v>
      </c>
      <c r="L136" s="24">
        <f t="shared" si="37"/>
        <v>145</v>
      </c>
      <c r="M136" s="24">
        <f>+M129+M130+M131+M132+M133+M134+M135</f>
        <v>140</v>
      </c>
      <c r="N136" s="24">
        <f>+N129+N130+N131+N132+N133+N134+N135</f>
        <v>135</v>
      </c>
      <c r="O136" s="24">
        <f>+O129+O130+O131+O132+O133+O134+O135</f>
        <v>145</v>
      </c>
    </row>
    <row r="137" spans="2:15" ht="14" customHeight="1" thickTop="1" thickBot="1" x14ac:dyDescent="0.2">
      <c r="B137" s="1129" t="s">
        <v>18</v>
      </c>
      <c r="C137" s="1130"/>
      <c r="D137" s="1130"/>
      <c r="E137" s="1130"/>
      <c r="F137" s="1130"/>
      <c r="G137" s="1130"/>
      <c r="H137" s="1130"/>
      <c r="I137" s="1130"/>
      <c r="J137" s="1130"/>
      <c r="K137" s="1130"/>
      <c r="L137" s="1130"/>
      <c r="M137" s="1130"/>
      <c r="N137" s="1130"/>
      <c r="O137" s="1131"/>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20</v>
      </c>
      <c r="E139" s="12">
        <v>20</v>
      </c>
      <c r="F139" s="12">
        <v>20</v>
      </c>
      <c r="G139" s="12">
        <v>20</v>
      </c>
      <c r="H139" s="12">
        <v>20</v>
      </c>
      <c r="I139" s="12">
        <v>20</v>
      </c>
      <c r="J139" s="12">
        <v>20</v>
      </c>
      <c r="K139" s="12">
        <v>20</v>
      </c>
      <c r="L139" s="12">
        <v>20</v>
      </c>
      <c r="M139" s="12">
        <v>20</v>
      </c>
      <c r="N139" s="12">
        <v>20</v>
      </c>
      <c r="O139" s="12">
        <v>20</v>
      </c>
    </row>
    <row r="140" spans="2:15" ht="14" customHeight="1" x14ac:dyDescent="0.15">
      <c r="B140" s="13">
        <v>2</v>
      </c>
      <c r="C140" s="102" t="str">
        <f t="shared" si="38"/>
        <v>9 h 30 à 11 h 30</v>
      </c>
      <c r="D140" s="14">
        <v>25</v>
      </c>
      <c r="E140" s="14">
        <v>9</v>
      </c>
      <c r="F140" s="22">
        <v>10</v>
      </c>
      <c r="G140" s="14">
        <v>14</v>
      </c>
      <c r="H140" s="14">
        <v>45</v>
      </c>
      <c r="I140" s="14">
        <v>15</v>
      </c>
      <c r="J140" s="14">
        <v>10</v>
      </c>
      <c r="K140" s="14">
        <v>28</v>
      </c>
      <c r="L140" s="14">
        <v>25</v>
      </c>
      <c r="M140" s="14">
        <v>24</v>
      </c>
      <c r="N140" s="14">
        <v>21</v>
      </c>
      <c r="O140" s="14">
        <v>25</v>
      </c>
    </row>
    <row r="141" spans="2:15" ht="14" customHeight="1" x14ac:dyDescent="0.15">
      <c r="B141" s="13">
        <v>3</v>
      </c>
      <c r="C141" s="102" t="str">
        <f t="shared" si="38"/>
        <v>11 h 30 à 14 h 30</v>
      </c>
      <c r="D141" s="14">
        <v>25</v>
      </c>
      <c r="E141" s="14">
        <v>50</v>
      </c>
      <c r="F141" s="22">
        <v>35</v>
      </c>
      <c r="G141" s="14">
        <v>41</v>
      </c>
      <c r="H141" s="14">
        <v>46</v>
      </c>
      <c r="I141" s="14">
        <v>45</v>
      </c>
      <c r="J141" s="14">
        <v>50</v>
      </c>
      <c r="K141" s="14">
        <v>28</v>
      </c>
      <c r="L141" s="14">
        <v>25</v>
      </c>
      <c r="M141" s="14">
        <v>24</v>
      </c>
      <c r="N141" s="14">
        <v>25</v>
      </c>
      <c r="O141" s="14">
        <v>25</v>
      </c>
    </row>
    <row r="142" spans="2:15" ht="14" customHeight="1" x14ac:dyDescent="0.15">
      <c r="B142" s="13">
        <v>4</v>
      </c>
      <c r="C142" s="102" t="str">
        <f t="shared" si="38"/>
        <v>14 h 30 à 17 h</v>
      </c>
      <c r="D142" s="14">
        <v>10</v>
      </c>
      <c r="E142" s="14">
        <v>9</v>
      </c>
      <c r="F142" s="22">
        <v>10</v>
      </c>
      <c r="G142" s="14">
        <v>11</v>
      </c>
      <c r="H142" s="14">
        <v>10</v>
      </c>
      <c r="I142" s="14">
        <v>15</v>
      </c>
      <c r="J142" s="14">
        <v>20</v>
      </c>
      <c r="K142" s="14">
        <v>28</v>
      </c>
      <c r="L142" s="14">
        <v>25</v>
      </c>
      <c r="M142" s="14">
        <v>24</v>
      </c>
      <c r="N142" s="14">
        <v>22</v>
      </c>
      <c r="O142" s="14">
        <v>25</v>
      </c>
    </row>
    <row r="143" spans="2:15" ht="14" customHeight="1" x14ac:dyDescent="0.15">
      <c r="B143" s="13">
        <v>5</v>
      </c>
      <c r="C143" s="102" t="str">
        <f t="shared" si="38"/>
        <v>17 h à 19 h</v>
      </c>
      <c r="D143" s="14">
        <v>25</v>
      </c>
      <c r="E143" s="14">
        <v>9</v>
      </c>
      <c r="F143" s="22">
        <v>35</v>
      </c>
      <c r="G143" s="14">
        <v>41</v>
      </c>
      <c r="H143" s="14">
        <v>11</v>
      </c>
      <c r="I143" s="14">
        <v>40</v>
      </c>
      <c r="J143" s="14">
        <v>16</v>
      </c>
      <c r="K143" s="14">
        <v>28</v>
      </c>
      <c r="L143" s="14">
        <v>25</v>
      </c>
      <c r="M143" s="14">
        <v>24</v>
      </c>
      <c r="N143" s="14">
        <v>25</v>
      </c>
      <c r="O143" s="14">
        <v>25</v>
      </c>
    </row>
    <row r="144" spans="2:15" ht="14" customHeight="1" x14ac:dyDescent="0.15">
      <c r="B144" s="13">
        <v>6</v>
      </c>
      <c r="C144" s="102" t="str">
        <f t="shared" si="38"/>
        <v>19 h à 23 h</v>
      </c>
      <c r="D144" s="14">
        <v>10</v>
      </c>
      <c r="E144" s="14">
        <v>29</v>
      </c>
      <c r="F144" s="22">
        <v>19</v>
      </c>
      <c r="G144" s="14">
        <v>11</v>
      </c>
      <c r="H144" s="14">
        <v>10</v>
      </c>
      <c r="I144" s="14">
        <v>15</v>
      </c>
      <c r="J144" s="14">
        <v>40</v>
      </c>
      <c r="K144" s="14">
        <v>21</v>
      </c>
      <c r="L144" s="14">
        <v>25</v>
      </c>
      <c r="M144" s="14">
        <v>24</v>
      </c>
      <c r="N144" s="14">
        <v>22</v>
      </c>
      <c r="O144" s="14">
        <v>25</v>
      </c>
    </row>
    <row r="145" spans="2:15" ht="14" customHeight="1" x14ac:dyDescent="0.15">
      <c r="B145" s="13">
        <v>7</v>
      </c>
      <c r="C145" s="102" t="str">
        <f t="shared" si="38"/>
        <v>23 h à 6 h</v>
      </c>
      <c r="D145" s="14">
        <v>0</v>
      </c>
      <c r="E145" s="14">
        <v>0</v>
      </c>
      <c r="F145" s="22">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115</v>
      </c>
      <c r="E146" s="24">
        <f t="shared" si="39"/>
        <v>126</v>
      </c>
      <c r="F146" s="24">
        <f t="shared" si="39"/>
        <v>129</v>
      </c>
      <c r="G146" s="24">
        <f t="shared" si="39"/>
        <v>138</v>
      </c>
      <c r="H146" s="24">
        <f t="shared" si="39"/>
        <v>142</v>
      </c>
      <c r="I146" s="24">
        <f t="shared" si="39"/>
        <v>150</v>
      </c>
      <c r="J146" s="24">
        <f t="shared" si="39"/>
        <v>156</v>
      </c>
      <c r="K146" s="24">
        <f t="shared" si="39"/>
        <v>153</v>
      </c>
      <c r="L146" s="24">
        <f t="shared" si="39"/>
        <v>145</v>
      </c>
      <c r="M146" s="24">
        <f>+M139+M140+M141+M142+M143+M144+M145</f>
        <v>140</v>
      </c>
      <c r="N146" s="24">
        <f>+N139+N140+N141+N142+N143+N144+N145</f>
        <v>135</v>
      </c>
      <c r="O146" s="24">
        <f>+O139+O140+O141+O142+O143+O144+O145</f>
        <v>145</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20</v>
      </c>
      <c r="E148" s="12">
        <v>20</v>
      </c>
      <c r="F148" s="12">
        <v>20</v>
      </c>
      <c r="G148" s="12">
        <v>20</v>
      </c>
      <c r="H148" s="12">
        <v>20</v>
      </c>
      <c r="I148" s="12">
        <v>20</v>
      </c>
      <c r="J148" s="12">
        <v>20</v>
      </c>
      <c r="K148" s="12">
        <v>20</v>
      </c>
      <c r="L148" s="12">
        <v>20</v>
      </c>
      <c r="M148" s="12">
        <v>20</v>
      </c>
      <c r="N148" s="12">
        <v>20</v>
      </c>
      <c r="O148" s="12">
        <v>20</v>
      </c>
    </row>
    <row r="149" spans="2:15" ht="14" customHeight="1" thickTop="1" thickBot="1" x14ac:dyDescent="0.2">
      <c r="B149" s="121">
        <v>2</v>
      </c>
      <c r="C149" s="102" t="str">
        <f t="shared" si="40"/>
        <v>9 h 30 à 11 h 30</v>
      </c>
      <c r="D149" s="14">
        <v>25</v>
      </c>
      <c r="E149" s="14">
        <v>9</v>
      </c>
      <c r="F149" s="22">
        <v>10</v>
      </c>
      <c r="G149" s="14">
        <v>14</v>
      </c>
      <c r="H149" s="14">
        <v>45</v>
      </c>
      <c r="I149" s="14">
        <v>15</v>
      </c>
      <c r="J149" s="14">
        <v>10</v>
      </c>
      <c r="K149" s="14">
        <v>28</v>
      </c>
      <c r="L149" s="14">
        <v>25</v>
      </c>
      <c r="M149" s="14">
        <v>24</v>
      </c>
      <c r="N149" s="14">
        <v>21</v>
      </c>
      <c r="O149" s="14">
        <v>25</v>
      </c>
    </row>
    <row r="150" spans="2:15" ht="14" customHeight="1" thickTop="1" thickBot="1" x14ac:dyDescent="0.2">
      <c r="B150" s="121">
        <v>3</v>
      </c>
      <c r="C150" s="102" t="str">
        <f t="shared" si="40"/>
        <v>11 h 30 à 14 h 30</v>
      </c>
      <c r="D150" s="14">
        <v>25</v>
      </c>
      <c r="E150" s="14">
        <v>50</v>
      </c>
      <c r="F150" s="22">
        <v>35</v>
      </c>
      <c r="G150" s="14">
        <v>41</v>
      </c>
      <c r="H150" s="14">
        <v>46</v>
      </c>
      <c r="I150" s="14">
        <v>45</v>
      </c>
      <c r="J150" s="14">
        <v>40</v>
      </c>
      <c r="K150" s="14">
        <v>28</v>
      </c>
      <c r="L150" s="14">
        <v>25</v>
      </c>
      <c r="M150" s="14">
        <v>24</v>
      </c>
      <c r="N150" s="14">
        <v>25</v>
      </c>
      <c r="O150" s="14">
        <v>25</v>
      </c>
    </row>
    <row r="151" spans="2:15" ht="14" customHeight="1" thickTop="1" thickBot="1" x14ac:dyDescent="0.2">
      <c r="B151" s="121">
        <v>4</v>
      </c>
      <c r="C151" s="102" t="str">
        <f t="shared" si="40"/>
        <v>14 h 30 à 17 h</v>
      </c>
      <c r="D151" s="14">
        <v>20</v>
      </c>
      <c r="E151" s="14">
        <v>29</v>
      </c>
      <c r="F151" s="22">
        <v>30</v>
      </c>
      <c r="G151" s="14">
        <v>31</v>
      </c>
      <c r="H151" s="14">
        <v>20</v>
      </c>
      <c r="I151" s="14">
        <v>25</v>
      </c>
      <c r="J151" s="14">
        <v>30</v>
      </c>
      <c r="K151" s="14">
        <v>38</v>
      </c>
      <c r="L151" s="14">
        <v>35</v>
      </c>
      <c r="M151" s="14">
        <v>34</v>
      </c>
      <c r="N151" s="14">
        <v>32</v>
      </c>
      <c r="O151" s="14">
        <v>35</v>
      </c>
    </row>
    <row r="152" spans="2:15" ht="14" customHeight="1" thickTop="1" thickBot="1" x14ac:dyDescent="0.2">
      <c r="B152" s="121">
        <v>5</v>
      </c>
      <c r="C152" s="102" t="str">
        <f t="shared" si="40"/>
        <v>17 h à 19 h</v>
      </c>
      <c r="D152" s="14">
        <v>25</v>
      </c>
      <c r="E152" s="14">
        <v>9</v>
      </c>
      <c r="F152" s="22">
        <v>35</v>
      </c>
      <c r="G152" s="14">
        <v>41</v>
      </c>
      <c r="H152" s="14">
        <v>11</v>
      </c>
      <c r="I152" s="14">
        <v>40</v>
      </c>
      <c r="J152" s="14">
        <v>16</v>
      </c>
      <c r="K152" s="14">
        <v>28</v>
      </c>
      <c r="L152" s="14">
        <v>25</v>
      </c>
      <c r="M152" s="14">
        <v>24</v>
      </c>
      <c r="N152" s="14">
        <v>25</v>
      </c>
      <c r="O152" s="14">
        <v>25</v>
      </c>
    </row>
    <row r="153" spans="2:15" ht="14" customHeight="1" thickTop="1" thickBot="1" x14ac:dyDescent="0.2">
      <c r="B153" s="121">
        <v>6</v>
      </c>
      <c r="C153" s="102" t="str">
        <f t="shared" si="40"/>
        <v>19 h à 23 h</v>
      </c>
      <c r="D153" s="14">
        <v>10</v>
      </c>
      <c r="E153" s="14">
        <v>29</v>
      </c>
      <c r="F153" s="22">
        <v>19</v>
      </c>
      <c r="G153" s="14">
        <v>11</v>
      </c>
      <c r="H153" s="14">
        <v>10</v>
      </c>
      <c r="I153" s="14">
        <v>15</v>
      </c>
      <c r="J153" s="14">
        <v>40</v>
      </c>
      <c r="K153" s="14">
        <v>21</v>
      </c>
      <c r="L153" s="14">
        <v>25</v>
      </c>
      <c r="M153" s="14">
        <v>24</v>
      </c>
      <c r="N153" s="14">
        <v>22</v>
      </c>
      <c r="O153" s="14">
        <v>25</v>
      </c>
    </row>
    <row r="154" spans="2:15" ht="14" customHeight="1" thickTop="1" thickBot="1" x14ac:dyDescent="0.2">
      <c r="B154" s="121">
        <v>7</v>
      </c>
      <c r="C154" s="102" t="str">
        <f t="shared" si="40"/>
        <v>23 h à 6 h</v>
      </c>
      <c r="D154" s="14">
        <v>0</v>
      </c>
      <c r="E154" s="14">
        <v>0</v>
      </c>
      <c r="F154" s="22">
        <v>0</v>
      </c>
      <c r="G154" s="14">
        <v>0</v>
      </c>
      <c r="H154" s="14">
        <v>0</v>
      </c>
      <c r="I154" s="14">
        <v>0</v>
      </c>
      <c r="J154" s="14">
        <v>0</v>
      </c>
      <c r="K154" s="14">
        <v>0</v>
      </c>
      <c r="L154" s="14">
        <v>0</v>
      </c>
      <c r="M154" s="14">
        <v>0</v>
      </c>
      <c r="N154" s="14">
        <v>0</v>
      </c>
      <c r="O154" s="14">
        <v>0</v>
      </c>
    </row>
    <row r="155" spans="2:15" ht="14" customHeight="1" thickTop="1" thickBot="1" x14ac:dyDescent="0.2">
      <c r="B155" s="19"/>
      <c r="C155" s="297" t="str">
        <f t="shared" ref="C155" si="41">+C146</f>
        <v>Total</v>
      </c>
      <c r="D155" s="24">
        <f t="shared" ref="D155:L155" si="42">+D148+D149+D150+D151+D152+D153+D154</f>
        <v>125</v>
      </c>
      <c r="E155" s="24">
        <f t="shared" si="42"/>
        <v>146</v>
      </c>
      <c r="F155" s="24">
        <f t="shared" si="42"/>
        <v>149</v>
      </c>
      <c r="G155" s="24">
        <f t="shared" si="42"/>
        <v>158</v>
      </c>
      <c r="H155" s="24">
        <f t="shared" si="42"/>
        <v>152</v>
      </c>
      <c r="I155" s="24">
        <f t="shared" si="42"/>
        <v>160</v>
      </c>
      <c r="J155" s="24">
        <f t="shared" si="42"/>
        <v>156</v>
      </c>
      <c r="K155" s="24">
        <f t="shared" si="42"/>
        <v>163</v>
      </c>
      <c r="L155" s="24">
        <f t="shared" si="42"/>
        <v>155</v>
      </c>
      <c r="M155" s="24">
        <f>+M148+M149+M150+M151+M152+M153+M154</f>
        <v>150</v>
      </c>
      <c r="N155" s="24">
        <f>+N148+N149+N150+N151+N152+N153+N154</f>
        <v>145</v>
      </c>
      <c r="O155" s="24">
        <f>+O148+O149+O150+O151+O152+O153+O154</f>
        <v>155</v>
      </c>
    </row>
    <row r="156" spans="2:15" ht="14" customHeight="1" thickTop="1" thickBot="1" x14ac:dyDescent="0.2">
      <c r="B156" s="124" t="s">
        <v>2</v>
      </c>
      <c r="C156" s="298"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20</v>
      </c>
      <c r="E157" s="12">
        <v>20</v>
      </c>
      <c r="F157" s="12">
        <v>20</v>
      </c>
      <c r="G157" s="12">
        <v>20</v>
      </c>
      <c r="H157" s="12">
        <v>20</v>
      </c>
      <c r="I157" s="12">
        <v>20</v>
      </c>
      <c r="J157" s="12">
        <v>20</v>
      </c>
      <c r="K157" s="12">
        <v>20</v>
      </c>
      <c r="L157" s="12">
        <v>20</v>
      </c>
      <c r="M157" s="12">
        <v>20</v>
      </c>
      <c r="N157" s="12">
        <v>20</v>
      </c>
      <c r="O157" s="12">
        <v>20</v>
      </c>
    </row>
    <row r="158" spans="2:15" ht="14" customHeight="1" thickTop="1" thickBot="1" x14ac:dyDescent="0.2">
      <c r="B158" s="121">
        <v>2</v>
      </c>
      <c r="C158" s="102" t="str">
        <f t="shared" si="43"/>
        <v>9 h 30 à 11 h 30</v>
      </c>
      <c r="D158" s="14">
        <v>25</v>
      </c>
      <c r="E158" s="14">
        <v>20</v>
      </c>
      <c r="F158" s="22">
        <v>10</v>
      </c>
      <c r="G158" s="14">
        <v>14</v>
      </c>
      <c r="H158" s="14">
        <v>45</v>
      </c>
      <c r="I158" s="14">
        <v>15</v>
      </c>
      <c r="J158" s="14">
        <v>10</v>
      </c>
      <c r="K158" s="14">
        <v>28</v>
      </c>
      <c r="L158" s="14">
        <v>25</v>
      </c>
      <c r="M158" s="14">
        <v>24</v>
      </c>
      <c r="N158" s="14">
        <v>21</v>
      </c>
      <c r="O158" s="14">
        <v>25</v>
      </c>
    </row>
    <row r="159" spans="2:15" ht="14" customHeight="1" thickTop="1" thickBot="1" x14ac:dyDescent="0.2">
      <c r="B159" s="121">
        <v>3</v>
      </c>
      <c r="C159" s="102" t="str">
        <f t="shared" si="43"/>
        <v>11 h 30 à 14 h 30</v>
      </c>
      <c r="D159" s="14">
        <v>25</v>
      </c>
      <c r="E159" s="14">
        <v>20</v>
      </c>
      <c r="F159" s="22">
        <v>35</v>
      </c>
      <c r="G159" s="14">
        <v>41</v>
      </c>
      <c r="H159" s="14">
        <v>46</v>
      </c>
      <c r="I159" s="14">
        <v>45</v>
      </c>
      <c r="J159" s="14">
        <v>40</v>
      </c>
      <c r="K159" s="14">
        <v>28</v>
      </c>
      <c r="L159" s="14">
        <v>25</v>
      </c>
      <c r="M159" s="14">
        <v>24</v>
      </c>
      <c r="N159" s="14">
        <v>25</v>
      </c>
      <c r="O159" s="14">
        <v>25</v>
      </c>
    </row>
    <row r="160" spans="2:15" ht="14" customHeight="1" thickTop="1" thickBot="1" x14ac:dyDescent="0.2">
      <c r="B160" s="121">
        <v>4</v>
      </c>
      <c r="C160" s="102" t="str">
        <f t="shared" si="43"/>
        <v>14 h 30 à 17 h</v>
      </c>
      <c r="D160" s="14">
        <v>10</v>
      </c>
      <c r="E160" s="14">
        <v>20</v>
      </c>
      <c r="F160" s="22">
        <v>10</v>
      </c>
      <c r="G160" s="14">
        <v>11</v>
      </c>
      <c r="H160" s="14">
        <v>10</v>
      </c>
      <c r="I160" s="14">
        <v>15</v>
      </c>
      <c r="J160" s="14">
        <v>20</v>
      </c>
      <c r="K160" s="14">
        <v>28</v>
      </c>
      <c r="L160" s="14">
        <v>25</v>
      </c>
      <c r="M160" s="14">
        <v>24</v>
      </c>
      <c r="N160" s="14">
        <v>22</v>
      </c>
      <c r="O160" s="14">
        <v>25</v>
      </c>
    </row>
    <row r="161" spans="2:15" ht="14" customHeight="1" thickTop="1" thickBot="1" x14ac:dyDescent="0.2">
      <c r="B161" s="121">
        <v>5</v>
      </c>
      <c r="C161" s="102" t="str">
        <f t="shared" si="43"/>
        <v>17 h à 19 h</v>
      </c>
      <c r="D161" s="14">
        <v>25</v>
      </c>
      <c r="E161" s="14">
        <v>20</v>
      </c>
      <c r="F161" s="22">
        <v>35</v>
      </c>
      <c r="G161" s="14">
        <v>41</v>
      </c>
      <c r="H161" s="14">
        <v>11</v>
      </c>
      <c r="I161" s="14">
        <v>40</v>
      </c>
      <c r="J161" s="14">
        <v>16</v>
      </c>
      <c r="K161" s="14">
        <v>28</v>
      </c>
      <c r="L161" s="14">
        <v>25</v>
      </c>
      <c r="M161" s="14">
        <v>24</v>
      </c>
      <c r="N161" s="14">
        <v>25</v>
      </c>
      <c r="O161" s="14">
        <v>25</v>
      </c>
    </row>
    <row r="162" spans="2:15" ht="14" customHeight="1" thickTop="1" thickBot="1" x14ac:dyDescent="0.2">
      <c r="B162" s="121">
        <v>6</v>
      </c>
      <c r="C162" s="102" t="str">
        <f t="shared" si="43"/>
        <v>19 h à 23 h</v>
      </c>
      <c r="D162" s="14">
        <v>10</v>
      </c>
      <c r="E162" s="14">
        <v>29</v>
      </c>
      <c r="F162" s="22">
        <v>19</v>
      </c>
      <c r="G162" s="14">
        <v>11</v>
      </c>
      <c r="H162" s="14">
        <v>10</v>
      </c>
      <c r="I162" s="14">
        <v>15</v>
      </c>
      <c r="J162" s="14">
        <v>40</v>
      </c>
      <c r="K162" s="14">
        <v>21</v>
      </c>
      <c r="L162" s="14">
        <v>25</v>
      </c>
      <c r="M162" s="14">
        <v>24</v>
      </c>
      <c r="N162" s="14">
        <v>22</v>
      </c>
      <c r="O162" s="14">
        <v>25</v>
      </c>
    </row>
    <row r="163" spans="2:15" ht="14" customHeight="1" thickTop="1" thickBot="1" x14ac:dyDescent="0.2">
      <c r="B163" s="121">
        <v>7</v>
      </c>
      <c r="C163" s="102" t="str">
        <f t="shared" si="43"/>
        <v>23 h à 6 h</v>
      </c>
      <c r="D163" s="14">
        <v>0</v>
      </c>
      <c r="E163" s="14">
        <v>0</v>
      </c>
      <c r="F163" s="22">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115</v>
      </c>
      <c r="E164" s="24">
        <f t="shared" si="45"/>
        <v>129</v>
      </c>
      <c r="F164" s="24">
        <f t="shared" si="45"/>
        <v>129</v>
      </c>
      <c r="G164" s="24">
        <f t="shared" si="45"/>
        <v>138</v>
      </c>
      <c r="H164" s="24">
        <f t="shared" si="45"/>
        <v>142</v>
      </c>
      <c r="I164" s="24">
        <f t="shared" si="45"/>
        <v>150</v>
      </c>
      <c r="J164" s="24">
        <f t="shared" si="45"/>
        <v>146</v>
      </c>
      <c r="K164" s="24">
        <f t="shared" si="45"/>
        <v>153</v>
      </c>
      <c r="L164" s="24">
        <f t="shared" si="45"/>
        <v>145</v>
      </c>
      <c r="M164" s="24">
        <f>+M157+M158+M159+M160+M161+M162+M163</f>
        <v>140</v>
      </c>
      <c r="N164" s="24">
        <f>+N157+N158+N159+N160+N161+N162+N163</f>
        <v>135</v>
      </c>
      <c r="O164" s="24">
        <f>+O157+O158+O159+O160+O161+O162+O163</f>
        <v>145</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20</v>
      </c>
      <c r="E166" s="12">
        <v>20</v>
      </c>
      <c r="F166" s="12">
        <v>20</v>
      </c>
      <c r="G166" s="12">
        <v>20</v>
      </c>
      <c r="H166" s="12">
        <v>20</v>
      </c>
      <c r="I166" s="12">
        <v>20</v>
      </c>
      <c r="J166" s="12">
        <v>20</v>
      </c>
      <c r="K166" s="12">
        <v>20</v>
      </c>
      <c r="L166" s="12">
        <v>20</v>
      </c>
      <c r="M166" s="12">
        <v>20</v>
      </c>
      <c r="N166" s="12">
        <v>20</v>
      </c>
      <c r="O166" s="12">
        <v>20</v>
      </c>
    </row>
    <row r="167" spans="2:15" ht="14" customHeight="1" thickTop="1" thickBot="1" x14ac:dyDescent="0.2">
      <c r="B167" s="121">
        <v>2</v>
      </c>
      <c r="C167" s="102" t="str">
        <f t="shared" si="46"/>
        <v>9 h 30 à 11 h 30</v>
      </c>
      <c r="D167" s="14">
        <v>25</v>
      </c>
      <c r="E167" s="14">
        <v>9</v>
      </c>
      <c r="F167" s="22">
        <v>10</v>
      </c>
      <c r="G167" s="14">
        <v>14</v>
      </c>
      <c r="H167" s="14">
        <v>45</v>
      </c>
      <c r="I167" s="14">
        <v>15</v>
      </c>
      <c r="J167" s="14">
        <v>10</v>
      </c>
      <c r="K167" s="14">
        <v>28</v>
      </c>
      <c r="L167" s="14">
        <v>25</v>
      </c>
      <c r="M167" s="14">
        <v>24</v>
      </c>
      <c r="N167" s="14">
        <v>21</v>
      </c>
      <c r="O167" s="14">
        <v>25</v>
      </c>
    </row>
    <row r="168" spans="2:15" ht="14" customHeight="1" thickTop="1" thickBot="1" x14ac:dyDescent="0.2">
      <c r="B168" s="121">
        <v>3</v>
      </c>
      <c r="C168" s="102" t="str">
        <f t="shared" si="46"/>
        <v>11 h 30 à 14 h 30</v>
      </c>
      <c r="D168" s="14">
        <v>25</v>
      </c>
      <c r="E168" s="14">
        <v>50</v>
      </c>
      <c r="F168" s="22">
        <v>35</v>
      </c>
      <c r="G168" s="14">
        <v>41</v>
      </c>
      <c r="H168" s="14">
        <v>46</v>
      </c>
      <c r="I168" s="14">
        <v>45</v>
      </c>
      <c r="J168" s="14">
        <v>40</v>
      </c>
      <c r="K168" s="14">
        <v>28</v>
      </c>
      <c r="L168" s="14">
        <v>25</v>
      </c>
      <c r="M168" s="14">
        <v>24</v>
      </c>
      <c r="N168" s="14">
        <v>25</v>
      </c>
      <c r="O168" s="14">
        <v>25</v>
      </c>
    </row>
    <row r="169" spans="2:15" ht="14" customHeight="1" thickTop="1" thickBot="1" x14ac:dyDescent="0.2">
      <c r="B169" s="121">
        <v>4</v>
      </c>
      <c r="C169" s="102" t="str">
        <f t="shared" si="46"/>
        <v>14 h 30 à 17 h</v>
      </c>
      <c r="D169" s="14">
        <v>10</v>
      </c>
      <c r="E169" s="14">
        <v>9</v>
      </c>
      <c r="F169" s="22">
        <v>10</v>
      </c>
      <c r="G169" s="14">
        <v>11</v>
      </c>
      <c r="H169" s="14">
        <v>10</v>
      </c>
      <c r="I169" s="14">
        <v>15</v>
      </c>
      <c r="J169" s="14">
        <v>20</v>
      </c>
      <c r="K169" s="14">
        <v>28</v>
      </c>
      <c r="L169" s="14">
        <v>25</v>
      </c>
      <c r="M169" s="14">
        <v>24</v>
      </c>
      <c r="N169" s="14">
        <v>22</v>
      </c>
      <c r="O169" s="14">
        <v>25</v>
      </c>
    </row>
    <row r="170" spans="2:15" ht="14" customHeight="1" thickTop="1" thickBot="1" x14ac:dyDescent="0.2">
      <c r="B170" s="121">
        <v>5</v>
      </c>
      <c r="C170" s="102" t="str">
        <f t="shared" si="46"/>
        <v>17 h à 19 h</v>
      </c>
      <c r="D170" s="14">
        <v>25</v>
      </c>
      <c r="E170" s="14">
        <v>9</v>
      </c>
      <c r="F170" s="22">
        <v>35</v>
      </c>
      <c r="G170" s="14">
        <v>41</v>
      </c>
      <c r="H170" s="14">
        <v>11</v>
      </c>
      <c r="I170" s="14">
        <v>40</v>
      </c>
      <c r="J170" s="14">
        <v>16</v>
      </c>
      <c r="K170" s="14">
        <v>28</v>
      </c>
      <c r="L170" s="14">
        <v>25</v>
      </c>
      <c r="M170" s="14">
        <v>24</v>
      </c>
      <c r="N170" s="14">
        <v>25</v>
      </c>
      <c r="O170" s="14">
        <v>25</v>
      </c>
    </row>
    <row r="171" spans="2:15" ht="14" customHeight="1" thickTop="1" thickBot="1" x14ac:dyDescent="0.2">
      <c r="B171" s="121">
        <v>6</v>
      </c>
      <c r="C171" s="102" t="str">
        <f t="shared" si="46"/>
        <v>19 h à 23 h</v>
      </c>
      <c r="D171" s="14">
        <v>10</v>
      </c>
      <c r="E171" s="14">
        <v>29</v>
      </c>
      <c r="F171" s="22">
        <v>19</v>
      </c>
      <c r="G171" s="14">
        <v>11</v>
      </c>
      <c r="H171" s="14">
        <v>10</v>
      </c>
      <c r="I171" s="14">
        <v>15</v>
      </c>
      <c r="J171" s="14">
        <v>40</v>
      </c>
      <c r="K171" s="14">
        <v>21</v>
      </c>
      <c r="L171" s="14">
        <v>25</v>
      </c>
      <c r="M171" s="14">
        <v>24</v>
      </c>
      <c r="N171" s="14">
        <v>22</v>
      </c>
      <c r="O171" s="14">
        <v>25</v>
      </c>
    </row>
    <row r="172" spans="2:15" ht="14" customHeight="1" thickTop="1" thickBot="1" x14ac:dyDescent="0.2">
      <c r="B172" s="121">
        <v>7</v>
      </c>
      <c r="C172" s="102" t="str">
        <f t="shared" si="46"/>
        <v>23 h à 6 h</v>
      </c>
      <c r="D172" s="14">
        <v>0</v>
      </c>
      <c r="E172" s="14">
        <v>0</v>
      </c>
      <c r="F172" s="22">
        <v>0</v>
      </c>
      <c r="G172" s="14">
        <v>0</v>
      </c>
      <c r="H172" s="14">
        <v>0</v>
      </c>
      <c r="I172" s="14">
        <v>0</v>
      </c>
      <c r="J172" s="14">
        <v>0</v>
      </c>
      <c r="K172" s="14">
        <v>0</v>
      </c>
      <c r="L172" s="14">
        <v>0</v>
      </c>
      <c r="M172" s="14">
        <v>0</v>
      </c>
      <c r="N172" s="14">
        <v>0</v>
      </c>
      <c r="O172" s="14">
        <v>0</v>
      </c>
    </row>
    <row r="173" spans="2:15" ht="14" customHeight="1" thickTop="1" thickBot="1" x14ac:dyDescent="0.2">
      <c r="B173" s="19"/>
      <c r="C173" s="297" t="str">
        <f>+C164</f>
        <v>Total</v>
      </c>
      <c r="D173" s="24">
        <f t="shared" ref="D173:L173" si="47">+D166+D167+D168+D169+D170+D171+D172</f>
        <v>115</v>
      </c>
      <c r="E173" s="24">
        <f t="shared" si="47"/>
        <v>126</v>
      </c>
      <c r="F173" s="24">
        <f t="shared" si="47"/>
        <v>129</v>
      </c>
      <c r="G173" s="24">
        <f t="shared" si="47"/>
        <v>138</v>
      </c>
      <c r="H173" s="24">
        <f t="shared" si="47"/>
        <v>142</v>
      </c>
      <c r="I173" s="24">
        <f t="shared" si="47"/>
        <v>150</v>
      </c>
      <c r="J173" s="24">
        <f t="shared" si="47"/>
        <v>146</v>
      </c>
      <c r="K173" s="24">
        <f t="shared" si="47"/>
        <v>153</v>
      </c>
      <c r="L173" s="24">
        <f t="shared" si="47"/>
        <v>145</v>
      </c>
      <c r="M173" s="24">
        <f>+M166+M167+M168+M169+M170+M171+M172</f>
        <v>140</v>
      </c>
      <c r="N173" s="24">
        <f>+N166+N167+N168+N169+N170+N171+N172</f>
        <v>135</v>
      </c>
      <c r="O173" s="24">
        <f>+O166+O167+O168+O169+O170+O171+O172</f>
        <v>145</v>
      </c>
    </row>
    <row r="174" spans="2:15" ht="14" customHeight="1" thickTop="1" thickBot="1" x14ac:dyDescent="0.2">
      <c r="B174" s="124" t="s">
        <v>2</v>
      </c>
      <c r="C174" s="298"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20</v>
      </c>
      <c r="E175" s="12">
        <v>20</v>
      </c>
      <c r="F175" s="12">
        <v>20</v>
      </c>
      <c r="G175" s="12">
        <v>20</v>
      </c>
      <c r="H175" s="12">
        <v>20</v>
      </c>
      <c r="I175" s="12">
        <v>20</v>
      </c>
      <c r="J175" s="12">
        <v>20</v>
      </c>
      <c r="K175" s="12">
        <v>20</v>
      </c>
      <c r="L175" s="12">
        <v>20</v>
      </c>
      <c r="M175" s="12">
        <v>20</v>
      </c>
      <c r="N175" s="12">
        <v>20</v>
      </c>
      <c r="O175" s="12">
        <v>20</v>
      </c>
    </row>
    <row r="176" spans="2:15" ht="14" customHeight="1" thickTop="1" thickBot="1" x14ac:dyDescent="0.2">
      <c r="B176" s="121">
        <v>2</v>
      </c>
      <c r="C176" s="102" t="str">
        <f t="shared" si="48"/>
        <v>9 h 30 à 11 h 30</v>
      </c>
      <c r="D176" s="311">
        <v>25</v>
      </c>
      <c r="E176" s="14">
        <v>9</v>
      </c>
      <c r="F176" s="22">
        <v>10</v>
      </c>
      <c r="G176" s="14">
        <v>14</v>
      </c>
      <c r="H176" s="14">
        <v>45</v>
      </c>
      <c r="I176" s="14">
        <v>15</v>
      </c>
      <c r="J176" s="14">
        <v>10</v>
      </c>
      <c r="K176" s="14">
        <v>28</v>
      </c>
      <c r="L176" s="14">
        <v>25</v>
      </c>
      <c r="M176" s="14">
        <v>24</v>
      </c>
      <c r="N176" s="14">
        <v>21</v>
      </c>
      <c r="O176" s="14">
        <v>25</v>
      </c>
    </row>
    <row r="177" spans="2:15" ht="14" customHeight="1" thickTop="1" thickBot="1" x14ac:dyDescent="0.2">
      <c r="B177" s="121">
        <v>3</v>
      </c>
      <c r="C177" s="102" t="str">
        <f t="shared" si="48"/>
        <v>11 h 30 à 14 h 30</v>
      </c>
      <c r="D177" s="22">
        <v>25</v>
      </c>
      <c r="E177" s="14">
        <v>50</v>
      </c>
      <c r="F177" s="22">
        <v>35</v>
      </c>
      <c r="G177" s="14">
        <v>41</v>
      </c>
      <c r="H177" s="14">
        <v>46</v>
      </c>
      <c r="I177" s="14">
        <v>45</v>
      </c>
      <c r="J177" s="14">
        <v>40</v>
      </c>
      <c r="K177" s="14">
        <v>28</v>
      </c>
      <c r="L177" s="14">
        <v>25</v>
      </c>
      <c r="M177" s="14">
        <v>24</v>
      </c>
      <c r="N177" s="14">
        <v>25</v>
      </c>
      <c r="O177" s="14">
        <v>25</v>
      </c>
    </row>
    <row r="178" spans="2:15" ht="14" customHeight="1" thickTop="1" thickBot="1" x14ac:dyDescent="0.2">
      <c r="B178" s="121">
        <v>4</v>
      </c>
      <c r="C178" s="102" t="str">
        <f t="shared" si="48"/>
        <v>14 h 30 à 17 h</v>
      </c>
      <c r="D178" s="22">
        <v>10</v>
      </c>
      <c r="E178" s="14">
        <v>9</v>
      </c>
      <c r="F178" s="22">
        <v>10</v>
      </c>
      <c r="G178" s="14">
        <v>11</v>
      </c>
      <c r="H178" s="14">
        <v>10</v>
      </c>
      <c r="I178" s="14">
        <v>15</v>
      </c>
      <c r="J178" s="14">
        <v>20</v>
      </c>
      <c r="K178" s="14">
        <v>28</v>
      </c>
      <c r="L178" s="14">
        <v>25</v>
      </c>
      <c r="M178" s="14">
        <v>24</v>
      </c>
      <c r="N178" s="14">
        <v>22</v>
      </c>
      <c r="O178" s="14">
        <v>25</v>
      </c>
    </row>
    <row r="179" spans="2:15" ht="14" customHeight="1" thickTop="1" thickBot="1" x14ac:dyDescent="0.2">
      <c r="B179" s="121">
        <v>5</v>
      </c>
      <c r="C179" s="102" t="str">
        <f t="shared" si="48"/>
        <v>17 h à 19 h</v>
      </c>
      <c r="D179" s="22">
        <v>25</v>
      </c>
      <c r="E179" s="14">
        <v>9</v>
      </c>
      <c r="F179" s="22">
        <v>35</v>
      </c>
      <c r="G179" s="14">
        <v>41</v>
      </c>
      <c r="H179" s="14">
        <v>11</v>
      </c>
      <c r="I179" s="14">
        <v>40</v>
      </c>
      <c r="J179" s="14">
        <v>16</v>
      </c>
      <c r="K179" s="14">
        <v>28</v>
      </c>
      <c r="L179" s="14">
        <v>25</v>
      </c>
      <c r="M179" s="14">
        <v>24</v>
      </c>
      <c r="N179" s="14">
        <v>25</v>
      </c>
      <c r="O179" s="14">
        <v>25</v>
      </c>
    </row>
    <row r="180" spans="2:15" ht="14" customHeight="1" thickTop="1" thickBot="1" x14ac:dyDescent="0.2">
      <c r="B180" s="121">
        <v>6</v>
      </c>
      <c r="C180" s="102" t="str">
        <f t="shared" si="48"/>
        <v>19 h à 23 h</v>
      </c>
      <c r="D180" s="22">
        <v>10</v>
      </c>
      <c r="E180" s="14">
        <v>29</v>
      </c>
      <c r="F180" s="22">
        <v>19</v>
      </c>
      <c r="G180" s="14">
        <v>11</v>
      </c>
      <c r="H180" s="14">
        <v>10</v>
      </c>
      <c r="I180" s="14">
        <v>15</v>
      </c>
      <c r="J180" s="14">
        <v>40</v>
      </c>
      <c r="K180" s="14">
        <v>21</v>
      </c>
      <c r="L180" s="14">
        <v>25</v>
      </c>
      <c r="M180" s="14">
        <v>24</v>
      </c>
      <c r="N180" s="14">
        <v>22</v>
      </c>
      <c r="O180" s="14">
        <v>25</v>
      </c>
    </row>
    <row r="181" spans="2:15" ht="14" customHeight="1" thickTop="1" thickBot="1" x14ac:dyDescent="0.2">
      <c r="B181" s="121">
        <v>7</v>
      </c>
      <c r="C181" s="102" t="str">
        <f t="shared" si="48"/>
        <v>23 h à 6 h</v>
      </c>
      <c r="D181" s="14">
        <v>0</v>
      </c>
      <c r="E181" s="14">
        <v>0</v>
      </c>
      <c r="F181" s="22">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115</v>
      </c>
      <c r="E182" s="24">
        <f t="shared" si="50"/>
        <v>126</v>
      </c>
      <c r="F182" s="24">
        <f t="shared" si="50"/>
        <v>129</v>
      </c>
      <c r="G182" s="24">
        <f t="shared" si="50"/>
        <v>138</v>
      </c>
      <c r="H182" s="24">
        <f t="shared" si="50"/>
        <v>142</v>
      </c>
      <c r="I182" s="24">
        <f t="shared" si="50"/>
        <v>150</v>
      </c>
      <c r="J182" s="24">
        <f t="shared" si="50"/>
        <v>146</v>
      </c>
      <c r="K182" s="24">
        <f t="shared" si="50"/>
        <v>153</v>
      </c>
      <c r="L182" s="24">
        <f t="shared" si="50"/>
        <v>145</v>
      </c>
      <c r="M182" s="24">
        <f>+M175+M176+M177+M178+M179+M180+M181</f>
        <v>140</v>
      </c>
      <c r="N182" s="24">
        <f>+N175+N176+N177+N178+N179+N180+N181</f>
        <v>135</v>
      </c>
      <c r="O182" s="24">
        <f>+O175+O176+O177+O178+O179+O180+O181</f>
        <v>145</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20</v>
      </c>
      <c r="E184" s="12">
        <v>20</v>
      </c>
      <c r="F184" s="12">
        <v>20</v>
      </c>
      <c r="G184" s="12">
        <v>20</v>
      </c>
      <c r="H184" s="12">
        <v>20</v>
      </c>
      <c r="I184" s="12">
        <v>20</v>
      </c>
      <c r="J184" s="12">
        <v>20</v>
      </c>
      <c r="K184" s="12">
        <v>20</v>
      </c>
      <c r="L184" s="12">
        <v>20</v>
      </c>
      <c r="M184" s="12">
        <v>20</v>
      </c>
      <c r="N184" s="12">
        <v>20</v>
      </c>
      <c r="O184" s="12">
        <v>20</v>
      </c>
    </row>
    <row r="185" spans="2:15" ht="14" customHeight="1" thickTop="1" thickBot="1" x14ac:dyDescent="0.2">
      <c r="B185" s="18">
        <v>2</v>
      </c>
      <c r="C185" s="102" t="str">
        <f t="shared" si="51"/>
        <v>9 h 30 à 11 h 30</v>
      </c>
      <c r="D185" s="311">
        <v>25</v>
      </c>
      <c r="E185" s="14">
        <v>9</v>
      </c>
      <c r="F185" s="22">
        <v>10</v>
      </c>
      <c r="G185" s="14">
        <v>14</v>
      </c>
      <c r="H185" s="14">
        <v>45</v>
      </c>
      <c r="I185" s="14">
        <v>15</v>
      </c>
      <c r="J185" s="14">
        <v>10</v>
      </c>
      <c r="K185" s="14">
        <v>28</v>
      </c>
      <c r="L185" s="14">
        <v>25</v>
      </c>
      <c r="M185" s="14">
        <v>24</v>
      </c>
      <c r="N185" s="14">
        <v>21</v>
      </c>
      <c r="O185" s="14">
        <v>25</v>
      </c>
    </row>
    <row r="186" spans="2:15" ht="14" customHeight="1" thickTop="1" thickBot="1" x14ac:dyDescent="0.2">
      <c r="B186" s="18">
        <v>3</v>
      </c>
      <c r="C186" s="102" t="str">
        <f t="shared" si="51"/>
        <v>11 h 30 à 14 h 30</v>
      </c>
      <c r="D186" s="22">
        <v>25</v>
      </c>
      <c r="E186" s="14">
        <v>50</v>
      </c>
      <c r="F186" s="22">
        <v>35</v>
      </c>
      <c r="G186" s="14">
        <v>41</v>
      </c>
      <c r="H186" s="14">
        <v>46</v>
      </c>
      <c r="I186" s="14">
        <v>45</v>
      </c>
      <c r="J186" s="14">
        <v>50</v>
      </c>
      <c r="K186" s="14">
        <v>28</v>
      </c>
      <c r="L186" s="14">
        <v>25</v>
      </c>
      <c r="M186" s="14">
        <v>24</v>
      </c>
      <c r="N186" s="14">
        <v>25</v>
      </c>
      <c r="O186" s="14">
        <v>25</v>
      </c>
    </row>
    <row r="187" spans="2:15" ht="14" customHeight="1" thickTop="1" thickBot="1" x14ac:dyDescent="0.2">
      <c r="B187" s="18">
        <v>4</v>
      </c>
      <c r="C187" s="102" t="str">
        <f t="shared" si="51"/>
        <v>14 h 30 à 17 h</v>
      </c>
      <c r="D187" s="22">
        <v>20</v>
      </c>
      <c r="E187" s="14">
        <v>29</v>
      </c>
      <c r="F187" s="22">
        <v>20</v>
      </c>
      <c r="G187" s="14">
        <v>21</v>
      </c>
      <c r="H187" s="14">
        <v>20</v>
      </c>
      <c r="I187" s="14">
        <v>25</v>
      </c>
      <c r="J187" s="14">
        <v>30</v>
      </c>
      <c r="K187" s="14">
        <v>38</v>
      </c>
      <c r="L187" s="14">
        <v>35</v>
      </c>
      <c r="M187" s="14">
        <v>34</v>
      </c>
      <c r="N187" s="14">
        <v>32</v>
      </c>
      <c r="O187" s="14">
        <v>35</v>
      </c>
    </row>
    <row r="188" spans="2:15" ht="14" customHeight="1" thickTop="1" thickBot="1" x14ac:dyDescent="0.2">
      <c r="B188" s="18">
        <v>5</v>
      </c>
      <c r="C188" s="102" t="str">
        <f t="shared" si="51"/>
        <v>17 h à 19 h</v>
      </c>
      <c r="D188" s="22">
        <v>25</v>
      </c>
      <c r="E188" s="14">
        <v>9</v>
      </c>
      <c r="F188" s="22">
        <v>35</v>
      </c>
      <c r="G188" s="14">
        <v>41</v>
      </c>
      <c r="H188" s="14">
        <v>11</v>
      </c>
      <c r="I188" s="14">
        <v>40</v>
      </c>
      <c r="J188" s="14">
        <v>16</v>
      </c>
      <c r="K188" s="14">
        <v>28</v>
      </c>
      <c r="L188" s="14">
        <v>25</v>
      </c>
      <c r="M188" s="14">
        <v>24</v>
      </c>
      <c r="N188" s="14">
        <v>25</v>
      </c>
      <c r="O188" s="14">
        <v>25</v>
      </c>
    </row>
    <row r="189" spans="2:15" ht="14" customHeight="1" thickTop="1" thickBot="1" x14ac:dyDescent="0.2">
      <c r="B189" s="18">
        <v>6</v>
      </c>
      <c r="C189" s="102" t="str">
        <f t="shared" si="51"/>
        <v>19 h à 23 h</v>
      </c>
      <c r="D189" s="22">
        <v>10</v>
      </c>
      <c r="E189" s="14">
        <v>29</v>
      </c>
      <c r="F189" s="22">
        <v>19</v>
      </c>
      <c r="G189" s="14">
        <v>11</v>
      </c>
      <c r="H189" s="14">
        <v>10</v>
      </c>
      <c r="I189" s="14">
        <v>15</v>
      </c>
      <c r="J189" s="14">
        <v>40</v>
      </c>
      <c r="K189" s="14">
        <v>21</v>
      </c>
      <c r="L189" s="14">
        <v>25</v>
      </c>
      <c r="M189" s="14">
        <v>24</v>
      </c>
      <c r="N189" s="14">
        <v>22</v>
      </c>
      <c r="O189" s="14">
        <v>25</v>
      </c>
    </row>
    <row r="190" spans="2:15" ht="14" customHeight="1" thickTop="1" thickBot="1" x14ac:dyDescent="0.2">
      <c r="B190" s="18">
        <v>7</v>
      </c>
      <c r="C190" s="102" t="str">
        <f t="shared" si="51"/>
        <v>23 h à 6 h</v>
      </c>
      <c r="D190" s="14">
        <v>0</v>
      </c>
      <c r="E190" s="14">
        <v>0</v>
      </c>
      <c r="F190" s="22">
        <v>0</v>
      </c>
      <c r="G190" s="14">
        <v>0</v>
      </c>
      <c r="H190" s="14">
        <v>0</v>
      </c>
      <c r="I190" s="14">
        <v>0</v>
      </c>
      <c r="J190" s="14">
        <v>0</v>
      </c>
      <c r="K190" s="14">
        <v>0</v>
      </c>
      <c r="L190" s="14">
        <v>0</v>
      </c>
      <c r="M190" s="14">
        <v>0</v>
      </c>
      <c r="N190" s="14">
        <v>0</v>
      </c>
      <c r="O190" s="14">
        <v>0</v>
      </c>
    </row>
    <row r="191" spans="2:15" ht="14" customHeight="1" thickTop="1" thickBot="1" x14ac:dyDescent="0.2">
      <c r="B191" s="19"/>
      <c r="C191" s="297" t="str">
        <f t="shared" ref="C191" si="52">+C182</f>
        <v>Total</v>
      </c>
      <c r="D191" s="24">
        <f t="shared" ref="D191:L191" si="53">+D184+D185+D186+D187+D188+D189+D190</f>
        <v>125</v>
      </c>
      <c r="E191" s="24">
        <f t="shared" si="53"/>
        <v>146</v>
      </c>
      <c r="F191" s="24">
        <f t="shared" si="53"/>
        <v>139</v>
      </c>
      <c r="G191" s="24">
        <f t="shared" si="53"/>
        <v>148</v>
      </c>
      <c r="H191" s="24">
        <f t="shared" si="53"/>
        <v>152</v>
      </c>
      <c r="I191" s="24">
        <f t="shared" si="53"/>
        <v>160</v>
      </c>
      <c r="J191" s="24">
        <f t="shared" si="53"/>
        <v>166</v>
      </c>
      <c r="K191" s="24">
        <f t="shared" si="53"/>
        <v>163</v>
      </c>
      <c r="L191" s="24">
        <f t="shared" si="53"/>
        <v>155</v>
      </c>
      <c r="M191" s="24">
        <f>+M184+M185+M186+M187+M188+M189+M190</f>
        <v>150</v>
      </c>
      <c r="N191" s="24">
        <f>+N184+N185+N186+N187+N188+N189+N190</f>
        <v>145</v>
      </c>
      <c r="O191" s="24">
        <f>+O184+O185+O186+O187+O188+O189+O190</f>
        <v>155</v>
      </c>
    </row>
    <row r="192" spans="2:15" ht="14" customHeight="1" thickTop="1" thickBot="1" x14ac:dyDescent="0.2">
      <c r="B192" s="124" t="s">
        <v>2</v>
      </c>
      <c r="C192" s="298"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20</v>
      </c>
      <c r="E193" s="12">
        <v>20</v>
      </c>
      <c r="F193" s="12">
        <v>20</v>
      </c>
      <c r="G193" s="12">
        <v>20</v>
      </c>
      <c r="H193" s="12">
        <v>20</v>
      </c>
      <c r="I193" s="12">
        <v>20</v>
      </c>
      <c r="J193" s="12">
        <v>20</v>
      </c>
      <c r="K193" s="12">
        <v>20</v>
      </c>
      <c r="L193" s="12">
        <v>20</v>
      </c>
      <c r="M193" s="12">
        <v>20</v>
      </c>
      <c r="N193" s="12">
        <v>20</v>
      </c>
      <c r="O193" s="12">
        <v>20</v>
      </c>
    </row>
    <row r="194" spans="2:15" ht="14" customHeight="1" thickTop="1" thickBot="1" x14ac:dyDescent="0.2">
      <c r="B194" s="18">
        <v>2</v>
      </c>
      <c r="C194" s="102" t="str">
        <f t="shared" si="54"/>
        <v>9 h 30 à 11 h 30</v>
      </c>
      <c r="D194" s="311">
        <v>25</v>
      </c>
      <c r="E194" s="14">
        <v>9</v>
      </c>
      <c r="F194" s="22">
        <v>10</v>
      </c>
      <c r="G194" s="14">
        <v>14</v>
      </c>
      <c r="H194" s="14">
        <v>45</v>
      </c>
      <c r="I194" s="14">
        <v>15</v>
      </c>
      <c r="J194" s="14">
        <v>10</v>
      </c>
      <c r="K194" s="14">
        <v>28</v>
      </c>
      <c r="L194" s="14">
        <v>25</v>
      </c>
      <c r="M194" s="14">
        <v>24</v>
      </c>
      <c r="N194" s="14">
        <v>21</v>
      </c>
      <c r="O194" s="14">
        <v>25</v>
      </c>
    </row>
    <row r="195" spans="2:15" ht="14" customHeight="1" thickTop="1" thickBot="1" x14ac:dyDescent="0.2">
      <c r="B195" s="18">
        <v>3</v>
      </c>
      <c r="C195" s="102" t="str">
        <f t="shared" si="54"/>
        <v>11 h 30 à 14 h 30</v>
      </c>
      <c r="D195" s="22">
        <v>25</v>
      </c>
      <c r="E195" s="14">
        <v>50</v>
      </c>
      <c r="F195" s="22">
        <v>35</v>
      </c>
      <c r="G195" s="14">
        <v>41</v>
      </c>
      <c r="H195" s="14">
        <v>46</v>
      </c>
      <c r="I195" s="14">
        <v>45</v>
      </c>
      <c r="J195" s="14">
        <v>40</v>
      </c>
      <c r="K195" s="14">
        <v>28</v>
      </c>
      <c r="L195" s="14">
        <v>25</v>
      </c>
      <c r="M195" s="14">
        <v>24</v>
      </c>
      <c r="N195" s="14">
        <v>25</v>
      </c>
      <c r="O195" s="14">
        <v>25</v>
      </c>
    </row>
    <row r="196" spans="2:15" ht="14" customHeight="1" thickTop="1" thickBot="1" x14ac:dyDescent="0.2">
      <c r="B196" s="18">
        <v>4</v>
      </c>
      <c r="C196" s="102" t="str">
        <f t="shared" si="54"/>
        <v>14 h 30 à 17 h</v>
      </c>
      <c r="D196" s="22">
        <v>10</v>
      </c>
      <c r="E196" s="14">
        <v>9</v>
      </c>
      <c r="F196" s="22">
        <v>10</v>
      </c>
      <c r="G196" s="14">
        <v>11</v>
      </c>
      <c r="H196" s="14">
        <v>10</v>
      </c>
      <c r="I196" s="14">
        <v>15</v>
      </c>
      <c r="J196" s="14">
        <v>20</v>
      </c>
      <c r="K196" s="14">
        <v>28</v>
      </c>
      <c r="L196" s="14">
        <v>25</v>
      </c>
      <c r="M196" s="14">
        <v>24</v>
      </c>
      <c r="N196" s="14">
        <v>22</v>
      </c>
      <c r="O196" s="14">
        <v>25</v>
      </c>
    </row>
    <row r="197" spans="2:15" ht="14" customHeight="1" thickTop="1" thickBot="1" x14ac:dyDescent="0.2">
      <c r="B197" s="18">
        <v>5</v>
      </c>
      <c r="C197" s="102" t="str">
        <f t="shared" si="54"/>
        <v>17 h à 19 h</v>
      </c>
      <c r="D197" s="22">
        <v>25</v>
      </c>
      <c r="E197" s="14">
        <v>9</v>
      </c>
      <c r="F197" s="22">
        <v>35</v>
      </c>
      <c r="G197" s="14">
        <v>41</v>
      </c>
      <c r="H197" s="14">
        <v>11</v>
      </c>
      <c r="I197" s="14">
        <v>40</v>
      </c>
      <c r="J197" s="14">
        <v>16</v>
      </c>
      <c r="K197" s="14">
        <v>28</v>
      </c>
      <c r="L197" s="14">
        <v>25</v>
      </c>
      <c r="M197" s="14">
        <v>24</v>
      </c>
      <c r="N197" s="14">
        <v>25</v>
      </c>
      <c r="O197" s="14">
        <v>25</v>
      </c>
    </row>
    <row r="198" spans="2:15" ht="14" customHeight="1" thickTop="1" thickBot="1" x14ac:dyDescent="0.2">
      <c r="B198" s="18">
        <v>6</v>
      </c>
      <c r="C198" s="102" t="str">
        <f t="shared" si="54"/>
        <v>19 h à 23 h</v>
      </c>
      <c r="D198" s="22">
        <v>10</v>
      </c>
      <c r="E198" s="14">
        <v>29</v>
      </c>
      <c r="F198" s="22">
        <v>19</v>
      </c>
      <c r="G198" s="14">
        <v>11</v>
      </c>
      <c r="H198" s="14">
        <v>10</v>
      </c>
      <c r="I198" s="14">
        <v>15</v>
      </c>
      <c r="J198" s="14">
        <v>40</v>
      </c>
      <c r="K198" s="14">
        <v>21</v>
      </c>
      <c r="L198" s="14">
        <v>25</v>
      </c>
      <c r="M198" s="14">
        <v>24</v>
      </c>
      <c r="N198" s="14">
        <v>22</v>
      </c>
      <c r="O198" s="14">
        <v>25</v>
      </c>
    </row>
    <row r="199" spans="2:15" ht="14" customHeight="1" thickTop="1" thickBot="1" x14ac:dyDescent="0.2">
      <c r="B199" s="18">
        <v>7</v>
      </c>
      <c r="C199" s="102" t="str">
        <f t="shared" si="54"/>
        <v>23 h à 6 h</v>
      </c>
      <c r="D199" s="14">
        <v>0</v>
      </c>
      <c r="E199" s="14">
        <v>0</v>
      </c>
      <c r="F199" s="22">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115</v>
      </c>
      <c r="E200" s="24">
        <f t="shared" si="56"/>
        <v>126</v>
      </c>
      <c r="F200" s="24">
        <f t="shared" si="56"/>
        <v>129</v>
      </c>
      <c r="G200" s="24">
        <f t="shared" si="56"/>
        <v>138</v>
      </c>
      <c r="H200" s="24">
        <f t="shared" si="56"/>
        <v>142</v>
      </c>
      <c r="I200" s="24">
        <f t="shared" si="56"/>
        <v>150</v>
      </c>
      <c r="J200" s="24">
        <f t="shared" si="56"/>
        <v>146</v>
      </c>
      <c r="K200" s="24">
        <f t="shared" si="56"/>
        <v>153</v>
      </c>
      <c r="L200" s="24">
        <f t="shared" si="56"/>
        <v>145</v>
      </c>
      <c r="M200" s="24">
        <f>+M193+M194+M195+M196+M197+M198+M199</f>
        <v>140</v>
      </c>
      <c r="N200" s="24">
        <f>+N193+N194+N195+N196+N197+N198+N199</f>
        <v>135</v>
      </c>
      <c r="O200" s="24">
        <f>+O193+O194+O195+O196+O197+O198+O199</f>
        <v>145</v>
      </c>
    </row>
    <row r="201" spans="2:15" ht="14" customHeight="1" thickTop="1" thickBot="1" x14ac:dyDescent="0.2">
      <c r="B201" s="1129" t="s">
        <v>19</v>
      </c>
      <c r="C201" s="1130"/>
      <c r="D201" s="1130"/>
      <c r="E201" s="1130"/>
      <c r="F201" s="1130"/>
      <c r="G201" s="1130"/>
      <c r="H201" s="1130"/>
      <c r="I201" s="1130"/>
      <c r="J201" s="1130"/>
      <c r="K201" s="1130"/>
      <c r="L201" s="1130"/>
      <c r="M201" s="1130"/>
      <c r="N201" s="1130"/>
      <c r="O201" s="1131"/>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20</v>
      </c>
      <c r="E203" s="12">
        <v>20</v>
      </c>
      <c r="F203" s="12">
        <v>20</v>
      </c>
      <c r="G203" s="12">
        <v>20</v>
      </c>
      <c r="H203" s="12">
        <v>20</v>
      </c>
      <c r="I203" s="12">
        <v>20</v>
      </c>
      <c r="J203" s="12">
        <v>20</v>
      </c>
      <c r="K203" s="12">
        <v>20</v>
      </c>
      <c r="L203" s="12">
        <v>20</v>
      </c>
      <c r="M203" s="12">
        <v>20</v>
      </c>
      <c r="N203" s="12">
        <v>20</v>
      </c>
      <c r="O203" s="12">
        <v>20</v>
      </c>
    </row>
    <row r="204" spans="2:15" ht="14" customHeight="1" x14ac:dyDescent="0.15">
      <c r="B204" s="13">
        <v>2</v>
      </c>
      <c r="C204" s="102" t="str">
        <f t="shared" si="57"/>
        <v>9 h 30 à 11 h 30</v>
      </c>
      <c r="D204" s="311">
        <v>25</v>
      </c>
      <c r="E204" s="14">
        <v>9</v>
      </c>
      <c r="F204" s="22">
        <v>10</v>
      </c>
      <c r="G204" s="14">
        <v>14</v>
      </c>
      <c r="H204" s="14">
        <v>45</v>
      </c>
      <c r="I204" s="14">
        <v>15</v>
      </c>
      <c r="J204" s="14">
        <v>10</v>
      </c>
      <c r="K204" s="14">
        <v>28</v>
      </c>
      <c r="L204" s="14">
        <v>25</v>
      </c>
      <c r="M204" s="14">
        <v>24</v>
      </c>
      <c r="N204" s="14">
        <v>21</v>
      </c>
      <c r="O204" s="14">
        <v>25</v>
      </c>
    </row>
    <row r="205" spans="2:15" ht="14" customHeight="1" x14ac:dyDescent="0.15">
      <c r="B205" s="13">
        <v>3</v>
      </c>
      <c r="C205" s="102" t="str">
        <f t="shared" si="57"/>
        <v>11 h 30 à 14 h 30</v>
      </c>
      <c r="D205" s="22">
        <v>25</v>
      </c>
      <c r="E205" s="14">
        <v>50</v>
      </c>
      <c r="F205" s="22">
        <v>35</v>
      </c>
      <c r="G205" s="14">
        <v>41</v>
      </c>
      <c r="H205" s="14">
        <v>46</v>
      </c>
      <c r="I205" s="14">
        <v>45</v>
      </c>
      <c r="J205" s="14">
        <v>40</v>
      </c>
      <c r="K205" s="14">
        <v>28</v>
      </c>
      <c r="L205" s="14">
        <v>25</v>
      </c>
      <c r="M205" s="14">
        <v>24</v>
      </c>
      <c r="N205" s="14">
        <v>25</v>
      </c>
      <c r="O205" s="14">
        <v>25</v>
      </c>
    </row>
    <row r="206" spans="2:15" ht="14" customHeight="1" x14ac:dyDescent="0.15">
      <c r="B206" s="13">
        <v>4</v>
      </c>
      <c r="C206" s="102" t="str">
        <f t="shared" si="57"/>
        <v>14 h 30 à 17 h</v>
      </c>
      <c r="D206" s="22">
        <v>10</v>
      </c>
      <c r="E206" s="14">
        <v>9</v>
      </c>
      <c r="F206" s="22">
        <v>10</v>
      </c>
      <c r="G206" s="14">
        <v>11</v>
      </c>
      <c r="H206" s="14">
        <v>10</v>
      </c>
      <c r="I206" s="14">
        <v>15</v>
      </c>
      <c r="J206" s="14">
        <v>20</v>
      </c>
      <c r="K206" s="14">
        <v>28</v>
      </c>
      <c r="L206" s="14">
        <v>25</v>
      </c>
      <c r="M206" s="14">
        <v>24</v>
      </c>
      <c r="N206" s="14">
        <v>22</v>
      </c>
      <c r="O206" s="14">
        <v>25</v>
      </c>
    </row>
    <row r="207" spans="2:15" ht="14" customHeight="1" x14ac:dyDescent="0.15">
      <c r="B207" s="13">
        <v>5</v>
      </c>
      <c r="C207" s="102" t="str">
        <f t="shared" si="57"/>
        <v>17 h à 19 h</v>
      </c>
      <c r="D207" s="22">
        <v>25</v>
      </c>
      <c r="E207" s="14">
        <v>9</v>
      </c>
      <c r="F207" s="22">
        <v>35</v>
      </c>
      <c r="G207" s="14">
        <v>41</v>
      </c>
      <c r="H207" s="14">
        <v>11</v>
      </c>
      <c r="I207" s="14">
        <v>40</v>
      </c>
      <c r="J207" s="14">
        <v>16</v>
      </c>
      <c r="K207" s="14">
        <v>28</v>
      </c>
      <c r="L207" s="14">
        <v>25</v>
      </c>
      <c r="M207" s="14">
        <v>24</v>
      </c>
      <c r="N207" s="14">
        <v>25</v>
      </c>
      <c r="O207" s="14">
        <v>25</v>
      </c>
    </row>
    <row r="208" spans="2:15" ht="14" customHeight="1" x14ac:dyDescent="0.15">
      <c r="B208" s="13">
        <v>6</v>
      </c>
      <c r="C208" s="102" t="str">
        <f t="shared" si="57"/>
        <v>19 h à 23 h</v>
      </c>
      <c r="D208" s="22">
        <v>10</v>
      </c>
      <c r="E208" s="14">
        <v>29</v>
      </c>
      <c r="F208" s="22">
        <v>19</v>
      </c>
      <c r="G208" s="14">
        <v>11</v>
      </c>
      <c r="H208" s="14">
        <v>10</v>
      </c>
      <c r="I208" s="14">
        <v>15</v>
      </c>
      <c r="J208" s="14">
        <v>40</v>
      </c>
      <c r="K208" s="14">
        <v>21</v>
      </c>
      <c r="L208" s="14">
        <v>25</v>
      </c>
      <c r="M208" s="14">
        <v>24</v>
      </c>
      <c r="N208" s="14">
        <v>22</v>
      </c>
      <c r="O208" s="14">
        <v>25</v>
      </c>
    </row>
    <row r="209" spans="2:15" ht="14" customHeight="1" x14ac:dyDescent="0.15">
      <c r="B209" s="13">
        <v>7</v>
      </c>
      <c r="C209" s="102" t="str">
        <f t="shared" si="57"/>
        <v>23 h à 6 h</v>
      </c>
      <c r="D209" s="14">
        <v>0</v>
      </c>
      <c r="E209" s="14">
        <v>0</v>
      </c>
      <c r="F209" s="22">
        <v>0</v>
      </c>
      <c r="G209" s="14">
        <v>0</v>
      </c>
      <c r="H209" s="14">
        <v>0</v>
      </c>
      <c r="I209" s="14">
        <v>0</v>
      </c>
      <c r="J209" s="14">
        <v>0</v>
      </c>
      <c r="K209" s="14">
        <v>0</v>
      </c>
      <c r="L209" s="14">
        <v>0</v>
      </c>
      <c r="M209" s="14">
        <v>0</v>
      </c>
      <c r="N209" s="14">
        <v>0</v>
      </c>
      <c r="O209" s="14">
        <v>0</v>
      </c>
    </row>
    <row r="210" spans="2:15" ht="14" customHeight="1" thickBot="1" x14ac:dyDescent="0.2">
      <c r="B210" s="15"/>
      <c r="C210" s="300" t="str">
        <f>+C200</f>
        <v>Total</v>
      </c>
      <c r="D210" s="24">
        <f t="shared" ref="D210:L210" si="58">+D203+D204+D205+D206+D207+D208+D209</f>
        <v>115</v>
      </c>
      <c r="E210" s="24">
        <f t="shared" si="58"/>
        <v>126</v>
      </c>
      <c r="F210" s="24">
        <f t="shared" si="58"/>
        <v>129</v>
      </c>
      <c r="G210" s="24">
        <f t="shared" si="58"/>
        <v>138</v>
      </c>
      <c r="H210" s="24">
        <f t="shared" si="58"/>
        <v>142</v>
      </c>
      <c r="I210" s="24">
        <f t="shared" si="58"/>
        <v>150</v>
      </c>
      <c r="J210" s="24">
        <f t="shared" si="58"/>
        <v>146</v>
      </c>
      <c r="K210" s="24">
        <f t="shared" si="58"/>
        <v>153</v>
      </c>
      <c r="L210" s="24">
        <f t="shared" si="58"/>
        <v>145</v>
      </c>
      <c r="M210" s="24">
        <f>+M203+M204+M205+M206+M207+M208+M209</f>
        <v>140</v>
      </c>
      <c r="N210" s="24">
        <f>+N203+N204+N205+N206+N207+N208+N209</f>
        <v>135</v>
      </c>
      <c r="O210" s="24">
        <f>+O203+O204+O205+O206+O207+O208+O209</f>
        <v>145</v>
      </c>
    </row>
    <row r="211" spans="2:15" ht="14" customHeight="1" thickTop="1" thickBot="1" x14ac:dyDescent="0.2">
      <c r="B211" s="124" t="s">
        <v>2</v>
      </c>
      <c r="C211" s="298"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20</v>
      </c>
      <c r="E212" s="12">
        <v>20</v>
      </c>
      <c r="F212" s="12">
        <v>20</v>
      </c>
      <c r="G212" s="12">
        <v>20</v>
      </c>
      <c r="H212" s="12">
        <v>20</v>
      </c>
      <c r="I212" s="12">
        <v>20</v>
      </c>
      <c r="J212" s="12">
        <v>20</v>
      </c>
      <c r="K212" s="12">
        <v>20</v>
      </c>
      <c r="L212" s="12">
        <v>20</v>
      </c>
      <c r="M212" s="12">
        <v>20</v>
      </c>
      <c r="N212" s="12">
        <v>20</v>
      </c>
      <c r="O212" s="12">
        <v>20</v>
      </c>
    </row>
    <row r="213" spans="2:15" ht="14" customHeight="1" thickTop="1" thickBot="1" x14ac:dyDescent="0.2">
      <c r="B213" s="121">
        <v>2</v>
      </c>
      <c r="C213" s="102" t="str">
        <f t="shared" si="59"/>
        <v>9 h 30 à 11 h 30</v>
      </c>
      <c r="D213" s="311">
        <v>25</v>
      </c>
      <c r="E213" s="14">
        <v>9</v>
      </c>
      <c r="F213" s="22">
        <v>10</v>
      </c>
      <c r="G213" s="14">
        <v>14</v>
      </c>
      <c r="H213" s="14">
        <v>45</v>
      </c>
      <c r="I213" s="14">
        <v>15</v>
      </c>
      <c r="J213" s="14">
        <v>10</v>
      </c>
      <c r="K213" s="14">
        <v>28</v>
      </c>
      <c r="L213" s="14">
        <v>25</v>
      </c>
      <c r="M213" s="14">
        <v>24</v>
      </c>
      <c r="N213" s="14">
        <v>21</v>
      </c>
      <c r="O213" s="14">
        <v>25</v>
      </c>
    </row>
    <row r="214" spans="2:15" ht="14" customHeight="1" thickTop="1" thickBot="1" x14ac:dyDescent="0.2">
      <c r="B214" s="121">
        <v>3</v>
      </c>
      <c r="C214" s="102" t="str">
        <f t="shared" si="59"/>
        <v>11 h 30 à 14 h 30</v>
      </c>
      <c r="D214" s="22">
        <v>25</v>
      </c>
      <c r="E214" s="14">
        <v>50</v>
      </c>
      <c r="F214" s="22">
        <v>35</v>
      </c>
      <c r="G214" s="14">
        <v>41</v>
      </c>
      <c r="H214" s="14">
        <v>46</v>
      </c>
      <c r="I214" s="14">
        <v>45</v>
      </c>
      <c r="J214" s="14">
        <v>40</v>
      </c>
      <c r="K214" s="14">
        <v>28</v>
      </c>
      <c r="L214" s="14">
        <v>25</v>
      </c>
      <c r="M214" s="14">
        <v>24</v>
      </c>
      <c r="N214" s="14">
        <v>25</v>
      </c>
      <c r="O214" s="14">
        <v>25</v>
      </c>
    </row>
    <row r="215" spans="2:15" ht="14" customHeight="1" thickTop="1" thickBot="1" x14ac:dyDescent="0.2">
      <c r="B215" s="121">
        <v>4</v>
      </c>
      <c r="C215" s="102" t="str">
        <f t="shared" si="59"/>
        <v>14 h 30 à 17 h</v>
      </c>
      <c r="D215" s="22">
        <v>20</v>
      </c>
      <c r="E215" s="14">
        <v>29</v>
      </c>
      <c r="F215" s="22">
        <v>30</v>
      </c>
      <c r="G215" s="14">
        <v>21</v>
      </c>
      <c r="H215" s="14">
        <v>20</v>
      </c>
      <c r="I215" s="14">
        <v>25</v>
      </c>
      <c r="J215" s="14">
        <v>30</v>
      </c>
      <c r="K215" s="14">
        <v>38</v>
      </c>
      <c r="L215" s="14">
        <v>35</v>
      </c>
      <c r="M215" s="14">
        <v>34</v>
      </c>
      <c r="N215" s="14">
        <v>32</v>
      </c>
      <c r="O215" s="14">
        <v>35</v>
      </c>
    </row>
    <row r="216" spans="2:15" ht="14" customHeight="1" thickTop="1" thickBot="1" x14ac:dyDescent="0.2">
      <c r="B216" s="121">
        <v>5</v>
      </c>
      <c r="C216" s="102" t="str">
        <f t="shared" si="59"/>
        <v>17 h à 19 h</v>
      </c>
      <c r="D216" s="22">
        <v>25</v>
      </c>
      <c r="E216" s="14">
        <v>9</v>
      </c>
      <c r="F216" s="22">
        <v>35</v>
      </c>
      <c r="G216" s="14">
        <v>41</v>
      </c>
      <c r="H216" s="14">
        <v>11</v>
      </c>
      <c r="I216" s="14">
        <v>40</v>
      </c>
      <c r="J216" s="14">
        <v>16</v>
      </c>
      <c r="K216" s="14">
        <v>28</v>
      </c>
      <c r="L216" s="14">
        <v>25</v>
      </c>
      <c r="M216" s="14">
        <v>24</v>
      </c>
      <c r="N216" s="14">
        <v>25</v>
      </c>
      <c r="O216" s="14">
        <v>25</v>
      </c>
    </row>
    <row r="217" spans="2:15" ht="14" customHeight="1" thickTop="1" thickBot="1" x14ac:dyDescent="0.2">
      <c r="B217" s="121">
        <v>6</v>
      </c>
      <c r="C217" s="102" t="str">
        <f t="shared" si="59"/>
        <v>19 h à 23 h</v>
      </c>
      <c r="D217" s="22">
        <v>10</v>
      </c>
      <c r="E217" s="14">
        <v>29</v>
      </c>
      <c r="F217" s="22">
        <v>19</v>
      </c>
      <c r="G217" s="14">
        <v>11</v>
      </c>
      <c r="H217" s="14">
        <v>10</v>
      </c>
      <c r="I217" s="14">
        <v>15</v>
      </c>
      <c r="J217" s="14">
        <v>40</v>
      </c>
      <c r="K217" s="14">
        <v>21</v>
      </c>
      <c r="L217" s="14">
        <v>25</v>
      </c>
      <c r="M217" s="14">
        <v>24</v>
      </c>
      <c r="N217" s="14">
        <v>22</v>
      </c>
      <c r="O217" s="14">
        <v>25</v>
      </c>
    </row>
    <row r="218" spans="2:15" ht="14" customHeight="1" thickTop="1" thickBot="1" x14ac:dyDescent="0.2">
      <c r="B218" s="121">
        <v>7</v>
      </c>
      <c r="C218" s="102" t="str">
        <f t="shared" si="59"/>
        <v>23 h à 6 h</v>
      </c>
      <c r="D218" s="14">
        <v>0</v>
      </c>
      <c r="E218" s="14">
        <v>0</v>
      </c>
      <c r="F218" s="22">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125</v>
      </c>
      <c r="E219" s="24">
        <f t="shared" si="61"/>
        <v>146</v>
      </c>
      <c r="F219" s="24">
        <f t="shared" si="61"/>
        <v>149</v>
      </c>
      <c r="G219" s="24">
        <f t="shared" si="61"/>
        <v>148</v>
      </c>
      <c r="H219" s="24">
        <f t="shared" si="61"/>
        <v>152</v>
      </c>
      <c r="I219" s="24">
        <f t="shared" si="61"/>
        <v>160</v>
      </c>
      <c r="J219" s="24">
        <f t="shared" si="61"/>
        <v>156</v>
      </c>
      <c r="K219" s="24">
        <f t="shared" si="61"/>
        <v>163</v>
      </c>
      <c r="L219" s="24">
        <f t="shared" si="61"/>
        <v>155</v>
      </c>
      <c r="M219" s="24">
        <f>+M212+M213+M214+M215+M216+M217+M218</f>
        <v>150</v>
      </c>
      <c r="N219" s="24">
        <f>+N212+N213+N214+N215+N216+N217+N218</f>
        <v>145</v>
      </c>
      <c r="O219" s="24">
        <f>+O212+O213+O214+O215+O216+O217+O218</f>
        <v>155</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20</v>
      </c>
      <c r="E221" s="12">
        <v>20</v>
      </c>
      <c r="F221" s="12">
        <v>20</v>
      </c>
      <c r="G221" s="12">
        <v>20</v>
      </c>
      <c r="H221" s="12">
        <v>20</v>
      </c>
      <c r="I221" s="12">
        <v>20</v>
      </c>
      <c r="J221" s="12">
        <v>20</v>
      </c>
      <c r="K221" s="12">
        <v>20</v>
      </c>
      <c r="L221" s="12">
        <v>20</v>
      </c>
      <c r="M221" s="12">
        <v>20</v>
      </c>
      <c r="N221" s="12">
        <v>20</v>
      </c>
      <c r="O221" s="12">
        <v>20</v>
      </c>
    </row>
    <row r="222" spans="2:15" ht="14" customHeight="1" thickTop="1" thickBot="1" x14ac:dyDescent="0.2">
      <c r="B222" s="121">
        <v>2</v>
      </c>
      <c r="C222" s="102" t="str">
        <f t="shared" si="62"/>
        <v>9 h 30 à 11 h 30</v>
      </c>
      <c r="D222" s="311">
        <v>25</v>
      </c>
      <c r="E222" s="14">
        <v>9</v>
      </c>
      <c r="F222" s="22">
        <v>10</v>
      </c>
      <c r="G222" s="14">
        <v>14</v>
      </c>
      <c r="H222" s="14">
        <v>45</v>
      </c>
      <c r="I222" s="14">
        <v>15</v>
      </c>
      <c r="J222" s="14">
        <v>10</v>
      </c>
      <c r="K222" s="14">
        <v>28</v>
      </c>
      <c r="L222" s="14">
        <v>25</v>
      </c>
      <c r="M222" s="14">
        <v>24</v>
      </c>
      <c r="N222" s="14">
        <v>21</v>
      </c>
      <c r="O222" s="14">
        <v>25</v>
      </c>
    </row>
    <row r="223" spans="2:15" ht="14" customHeight="1" thickTop="1" thickBot="1" x14ac:dyDescent="0.2">
      <c r="B223" s="121">
        <v>3</v>
      </c>
      <c r="C223" s="102" t="str">
        <f t="shared" si="62"/>
        <v>11 h 30 à 14 h 30</v>
      </c>
      <c r="D223" s="22">
        <v>25</v>
      </c>
      <c r="E223" s="14">
        <v>50</v>
      </c>
      <c r="F223" s="22">
        <v>35</v>
      </c>
      <c r="G223" s="14">
        <v>41</v>
      </c>
      <c r="H223" s="14">
        <v>46</v>
      </c>
      <c r="I223" s="14">
        <v>45</v>
      </c>
      <c r="J223" s="14">
        <v>40</v>
      </c>
      <c r="K223" s="14">
        <v>28</v>
      </c>
      <c r="L223" s="14">
        <v>25</v>
      </c>
      <c r="M223" s="14">
        <v>24</v>
      </c>
      <c r="N223" s="14">
        <v>25</v>
      </c>
      <c r="O223" s="14">
        <v>25</v>
      </c>
    </row>
    <row r="224" spans="2:15" ht="14" customHeight="1" thickTop="1" thickBot="1" x14ac:dyDescent="0.2">
      <c r="B224" s="121">
        <v>4</v>
      </c>
      <c r="C224" s="102" t="str">
        <f t="shared" si="62"/>
        <v>14 h 30 à 17 h</v>
      </c>
      <c r="D224" s="22">
        <v>10</v>
      </c>
      <c r="E224" s="14">
        <v>9</v>
      </c>
      <c r="F224" s="22">
        <v>10</v>
      </c>
      <c r="G224" s="14">
        <v>11</v>
      </c>
      <c r="H224" s="14">
        <v>10</v>
      </c>
      <c r="I224" s="14">
        <v>15</v>
      </c>
      <c r="J224" s="14">
        <v>20</v>
      </c>
      <c r="K224" s="14">
        <v>28</v>
      </c>
      <c r="L224" s="14">
        <v>25</v>
      </c>
      <c r="M224" s="14">
        <v>24</v>
      </c>
      <c r="N224" s="14">
        <v>22</v>
      </c>
      <c r="O224" s="14">
        <v>25</v>
      </c>
    </row>
    <row r="225" spans="2:15" ht="14" customHeight="1" thickTop="1" thickBot="1" x14ac:dyDescent="0.2">
      <c r="B225" s="121">
        <v>5</v>
      </c>
      <c r="C225" s="102" t="str">
        <f t="shared" si="62"/>
        <v>17 h à 19 h</v>
      </c>
      <c r="D225" s="22">
        <v>25</v>
      </c>
      <c r="E225" s="14">
        <v>9</v>
      </c>
      <c r="F225" s="22">
        <v>35</v>
      </c>
      <c r="G225" s="14">
        <v>41</v>
      </c>
      <c r="H225" s="14">
        <v>11</v>
      </c>
      <c r="I225" s="14">
        <v>40</v>
      </c>
      <c r="J225" s="14">
        <v>16</v>
      </c>
      <c r="K225" s="14">
        <v>28</v>
      </c>
      <c r="L225" s="14">
        <v>25</v>
      </c>
      <c r="M225" s="14">
        <v>24</v>
      </c>
      <c r="N225" s="14">
        <v>25</v>
      </c>
      <c r="O225" s="14">
        <v>25</v>
      </c>
    </row>
    <row r="226" spans="2:15" ht="14" customHeight="1" thickTop="1" thickBot="1" x14ac:dyDescent="0.2">
      <c r="B226" s="121">
        <v>6</v>
      </c>
      <c r="C226" s="102" t="str">
        <f t="shared" si="62"/>
        <v>19 h à 23 h</v>
      </c>
      <c r="D226" s="22">
        <v>10</v>
      </c>
      <c r="E226" s="14">
        <v>29</v>
      </c>
      <c r="F226" s="22">
        <v>19</v>
      </c>
      <c r="G226" s="14">
        <v>11</v>
      </c>
      <c r="H226" s="14">
        <v>10</v>
      </c>
      <c r="I226" s="14">
        <v>15</v>
      </c>
      <c r="J226" s="14">
        <v>40</v>
      </c>
      <c r="K226" s="14">
        <v>21</v>
      </c>
      <c r="L226" s="14">
        <v>25</v>
      </c>
      <c r="M226" s="14">
        <v>24</v>
      </c>
      <c r="N226" s="14">
        <v>22</v>
      </c>
      <c r="O226" s="14">
        <v>25</v>
      </c>
    </row>
    <row r="227" spans="2:15" ht="14" customHeight="1" thickTop="1" thickBot="1" x14ac:dyDescent="0.2">
      <c r="B227" s="121">
        <v>7</v>
      </c>
      <c r="C227" s="102" t="str">
        <f t="shared" si="62"/>
        <v>23 h à 6 h</v>
      </c>
      <c r="D227" s="14">
        <v>0</v>
      </c>
      <c r="E227" s="14">
        <v>0</v>
      </c>
      <c r="F227" s="22">
        <v>0</v>
      </c>
      <c r="G227" s="14">
        <v>0</v>
      </c>
      <c r="H227" s="14">
        <v>0</v>
      </c>
      <c r="I227" s="14">
        <v>0</v>
      </c>
      <c r="J227" s="14">
        <v>0</v>
      </c>
      <c r="K227" s="14">
        <v>0</v>
      </c>
      <c r="L227" s="14">
        <v>0</v>
      </c>
      <c r="M227" s="14">
        <v>0</v>
      </c>
      <c r="N227" s="14">
        <v>0</v>
      </c>
      <c r="O227" s="14">
        <v>0</v>
      </c>
    </row>
    <row r="228" spans="2:15" ht="14" customHeight="1" thickTop="1" thickBot="1" x14ac:dyDescent="0.2">
      <c r="B228" s="19"/>
      <c r="C228" s="297" t="str">
        <f t="shared" ref="C228" si="63">+C210</f>
        <v>Total</v>
      </c>
      <c r="D228" s="24">
        <f t="shared" ref="D228:L228" si="64">+D221+D222+D223+D224+D225+D226+D227</f>
        <v>115</v>
      </c>
      <c r="E228" s="24">
        <f t="shared" si="64"/>
        <v>126</v>
      </c>
      <c r="F228" s="24">
        <f t="shared" si="64"/>
        <v>129</v>
      </c>
      <c r="G228" s="24">
        <f t="shared" si="64"/>
        <v>138</v>
      </c>
      <c r="H228" s="24">
        <f t="shared" si="64"/>
        <v>142</v>
      </c>
      <c r="I228" s="24">
        <f t="shared" si="64"/>
        <v>150</v>
      </c>
      <c r="J228" s="24">
        <f t="shared" si="64"/>
        <v>146</v>
      </c>
      <c r="K228" s="24">
        <f t="shared" si="64"/>
        <v>153</v>
      </c>
      <c r="L228" s="24">
        <f t="shared" si="64"/>
        <v>145</v>
      </c>
      <c r="M228" s="24">
        <f>+M221+M222+M223+M224+M225+M226+M227</f>
        <v>140</v>
      </c>
      <c r="N228" s="24">
        <f>+N221+N222+N223+N224+N225+N226+N227</f>
        <v>135</v>
      </c>
      <c r="O228" s="24">
        <f>+O221+O222+O223+O224+O225+O226+O227</f>
        <v>145</v>
      </c>
    </row>
    <row r="229" spans="2:15" ht="14" customHeight="1" thickTop="1" thickBot="1" x14ac:dyDescent="0.2">
      <c r="B229" s="124" t="s">
        <v>2</v>
      </c>
      <c r="C229" s="298"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20</v>
      </c>
      <c r="E230" s="12">
        <v>20</v>
      </c>
      <c r="F230" s="12">
        <v>20</v>
      </c>
      <c r="G230" s="12">
        <v>20</v>
      </c>
      <c r="H230" s="12">
        <v>20</v>
      </c>
      <c r="I230" s="12">
        <v>20</v>
      </c>
      <c r="J230" s="12">
        <v>20</v>
      </c>
      <c r="K230" s="12">
        <v>20</v>
      </c>
      <c r="L230" s="12">
        <v>20</v>
      </c>
      <c r="M230" s="12">
        <v>20</v>
      </c>
      <c r="N230" s="12">
        <v>20</v>
      </c>
      <c r="O230" s="12">
        <v>20</v>
      </c>
    </row>
    <row r="231" spans="2:15" ht="14" customHeight="1" thickTop="1" thickBot="1" x14ac:dyDescent="0.2">
      <c r="B231" s="121">
        <v>2</v>
      </c>
      <c r="C231" s="102" t="str">
        <f t="shared" si="65"/>
        <v>9 h 30 à 11 h 30</v>
      </c>
      <c r="D231" s="311">
        <v>25</v>
      </c>
      <c r="E231" s="14">
        <v>9</v>
      </c>
      <c r="F231" s="22">
        <v>10</v>
      </c>
      <c r="G231" s="14">
        <v>14</v>
      </c>
      <c r="H231" s="14">
        <v>45</v>
      </c>
      <c r="I231" s="14">
        <v>15</v>
      </c>
      <c r="J231" s="14">
        <v>10</v>
      </c>
      <c r="K231" s="14">
        <v>28</v>
      </c>
      <c r="L231" s="14">
        <v>25</v>
      </c>
      <c r="M231" s="14">
        <v>24</v>
      </c>
      <c r="N231" s="14">
        <v>21</v>
      </c>
      <c r="O231" s="14">
        <v>25</v>
      </c>
    </row>
    <row r="232" spans="2:15" ht="14" customHeight="1" thickTop="1" thickBot="1" x14ac:dyDescent="0.2">
      <c r="B232" s="121">
        <v>3</v>
      </c>
      <c r="C232" s="102" t="str">
        <f t="shared" si="65"/>
        <v>11 h 30 à 14 h 30</v>
      </c>
      <c r="D232" s="22">
        <v>25</v>
      </c>
      <c r="E232" s="14">
        <v>50</v>
      </c>
      <c r="F232" s="22">
        <v>35</v>
      </c>
      <c r="G232" s="14">
        <v>41</v>
      </c>
      <c r="H232" s="14">
        <v>46</v>
      </c>
      <c r="I232" s="14">
        <v>45</v>
      </c>
      <c r="J232" s="14">
        <v>50</v>
      </c>
      <c r="K232" s="14">
        <v>28</v>
      </c>
      <c r="L232" s="14">
        <v>25</v>
      </c>
      <c r="M232" s="14">
        <v>24</v>
      </c>
      <c r="N232" s="14">
        <v>25</v>
      </c>
      <c r="O232" s="14">
        <v>25</v>
      </c>
    </row>
    <row r="233" spans="2:15" ht="14" customHeight="1" thickTop="1" thickBot="1" x14ac:dyDescent="0.2">
      <c r="B233" s="121">
        <v>4</v>
      </c>
      <c r="C233" s="102" t="str">
        <f t="shared" si="65"/>
        <v>14 h 30 à 17 h</v>
      </c>
      <c r="D233" s="22">
        <v>20</v>
      </c>
      <c r="E233" s="14">
        <v>29</v>
      </c>
      <c r="F233" s="22">
        <v>20</v>
      </c>
      <c r="G233" s="14">
        <v>21</v>
      </c>
      <c r="H233" s="14">
        <v>30</v>
      </c>
      <c r="I233" s="14">
        <v>25</v>
      </c>
      <c r="J233" s="14">
        <v>30</v>
      </c>
      <c r="K233" s="14">
        <v>38</v>
      </c>
      <c r="L233" s="14">
        <v>35</v>
      </c>
      <c r="M233" s="14">
        <v>44</v>
      </c>
      <c r="N233" s="14">
        <v>32</v>
      </c>
      <c r="O233" s="14">
        <v>35</v>
      </c>
    </row>
    <row r="234" spans="2:15" ht="14" customHeight="1" thickTop="1" thickBot="1" x14ac:dyDescent="0.2">
      <c r="B234" s="121">
        <v>5</v>
      </c>
      <c r="C234" s="102" t="str">
        <f t="shared" si="65"/>
        <v>17 h à 19 h</v>
      </c>
      <c r="D234" s="22">
        <v>25</v>
      </c>
      <c r="E234" s="14">
        <v>9</v>
      </c>
      <c r="F234" s="22">
        <v>35</v>
      </c>
      <c r="G234" s="14">
        <v>41</v>
      </c>
      <c r="H234" s="14">
        <v>11</v>
      </c>
      <c r="I234" s="14">
        <v>40</v>
      </c>
      <c r="J234" s="14">
        <v>16</v>
      </c>
      <c r="K234" s="14">
        <v>28</v>
      </c>
      <c r="L234" s="14">
        <v>25</v>
      </c>
      <c r="M234" s="14">
        <v>24</v>
      </c>
      <c r="N234" s="14">
        <v>25</v>
      </c>
      <c r="O234" s="14">
        <v>25</v>
      </c>
    </row>
    <row r="235" spans="2:15" ht="14" customHeight="1" thickTop="1" thickBot="1" x14ac:dyDescent="0.2">
      <c r="B235" s="121">
        <v>6</v>
      </c>
      <c r="C235" s="102" t="str">
        <f t="shared" si="65"/>
        <v>19 h à 23 h</v>
      </c>
      <c r="D235" s="22">
        <v>10</v>
      </c>
      <c r="E235" s="14">
        <v>29</v>
      </c>
      <c r="F235" s="22">
        <v>19</v>
      </c>
      <c r="G235" s="14">
        <v>11</v>
      </c>
      <c r="H235" s="14">
        <v>10</v>
      </c>
      <c r="I235" s="14">
        <v>15</v>
      </c>
      <c r="J235" s="14">
        <v>40</v>
      </c>
      <c r="K235" s="14">
        <v>21</v>
      </c>
      <c r="L235" s="14">
        <v>25</v>
      </c>
      <c r="M235" s="14">
        <v>24</v>
      </c>
      <c r="N235" s="14">
        <v>22</v>
      </c>
      <c r="O235" s="14">
        <v>25</v>
      </c>
    </row>
    <row r="236" spans="2:15" ht="14" customHeight="1" thickTop="1" thickBot="1" x14ac:dyDescent="0.2">
      <c r="B236" s="121">
        <v>7</v>
      </c>
      <c r="C236" s="102" t="str">
        <f t="shared" si="65"/>
        <v>23 h à 6 h</v>
      </c>
      <c r="D236" s="14">
        <v>0</v>
      </c>
      <c r="E236" s="14">
        <v>0</v>
      </c>
      <c r="F236" s="22">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125</v>
      </c>
      <c r="E237" s="24">
        <f t="shared" si="66"/>
        <v>146</v>
      </c>
      <c r="F237" s="24">
        <f t="shared" si="66"/>
        <v>139</v>
      </c>
      <c r="G237" s="24">
        <f t="shared" si="66"/>
        <v>148</v>
      </c>
      <c r="H237" s="24">
        <f t="shared" si="66"/>
        <v>162</v>
      </c>
      <c r="I237" s="24">
        <f t="shared" si="66"/>
        <v>160</v>
      </c>
      <c r="J237" s="24">
        <f t="shared" si="66"/>
        <v>166</v>
      </c>
      <c r="K237" s="24">
        <f t="shared" si="66"/>
        <v>163</v>
      </c>
      <c r="L237" s="24">
        <f t="shared" si="66"/>
        <v>155</v>
      </c>
      <c r="M237" s="24">
        <f>+M230+M231+M232+M233+M234+M235+M236</f>
        <v>160</v>
      </c>
      <c r="N237" s="24">
        <f>+N230+N231+N232+N233+N234+N235+N236</f>
        <v>145</v>
      </c>
      <c r="O237" s="24">
        <f>+O230+O231+O232+O233+O234+O235+O236</f>
        <v>155</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20</v>
      </c>
      <c r="E239" s="12">
        <v>20</v>
      </c>
      <c r="F239" s="12">
        <v>20</v>
      </c>
      <c r="G239" s="12">
        <v>20</v>
      </c>
      <c r="H239" s="12">
        <v>20</v>
      </c>
      <c r="I239" s="12">
        <v>20</v>
      </c>
      <c r="J239" s="12">
        <v>20</v>
      </c>
      <c r="K239" s="12">
        <v>20</v>
      </c>
      <c r="L239" s="12">
        <v>20</v>
      </c>
      <c r="M239" s="12">
        <v>20</v>
      </c>
      <c r="N239" s="12">
        <v>20</v>
      </c>
      <c r="O239" s="12">
        <v>20</v>
      </c>
    </row>
    <row r="240" spans="2:15" ht="14" customHeight="1" thickTop="1" thickBot="1" x14ac:dyDescent="0.2">
      <c r="B240" s="121">
        <v>2</v>
      </c>
      <c r="C240" s="102" t="str">
        <f t="shared" si="67"/>
        <v>9 h 30 à 11 h 30</v>
      </c>
      <c r="D240" s="311">
        <v>25</v>
      </c>
      <c r="E240" s="14">
        <v>9</v>
      </c>
      <c r="F240" s="22">
        <v>10</v>
      </c>
      <c r="G240" s="14">
        <v>14</v>
      </c>
      <c r="H240" s="14">
        <v>45</v>
      </c>
      <c r="I240" s="14">
        <v>15</v>
      </c>
      <c r="J240" s="14">
        <v>10</v>
      </c>
      <c r="K240" s="14">
        <v>28</v>
      </c>
      <c r="L240" s="14">
        <v>25</v>
      </c>
      <c r="M240" s="14">
        <v>24</v>
      </c>
      <c r="N240" s="14">
        <v>21</v>
      </c>
      <c r="O240" s="14">
        <v>25</v>
      </c>
    </row>
    <row r="241" spans="2:16" ht="14" customHeight="1" thickTop="1" thickBot="1" x14ac:dyDescent="0.2">
      <c r="B241" s="121">
        <v>3</v>
      </c>
      <c r="C241" s="102" t="str">
        <f t="shared" si="67"/>
        <v>11 h 30 à 14 h 30</v>
      </c>
      <c r="D241" s="22">
        <v>25</v>
      </c>
      <c r="E241" s="14">
        <v>50</v>
      </c>
      <c r="F241" s="22">
        <v>35</v>
      </c>
      <c r="G241" s="14">
        <v>41</v>
      </c>
      <c r="H241" s="14">
        <v>46</v>
      </c>
      <c r="I241" s="14">
        <v>45</v>
      </c>
      <c r="J241" s="14">
        <v>40</v>
      </c>
      <c r="K241" s="14">
        <v>28</v>
      </c>
      <c r="L241" s="14">
        <v>25</v>
      </c>
      <c r="M241" s="14">
        <v>24</v>
      </c>
      <c r="N241" s="14">
        <v>25</v>
      </c>
      <c r="O241" s="14">
        <v>25</v>
      </c>
      <c r="P241" s="25" t="s">
        <v>2</v>
      </c>
    </row>
    <row r="242" spans="2:16" ht="14" customHeight="1" thickTop="1" thickBot="1" x14ac:dyDescent="0.2">
      <c r="B242" s="121">
        <v>4</v>
      </c>
      <c r="C242" s="102" t="str">
        <f t="shared" si="67"/>
        <v>14 h 30 à 17 h</v>
      </c>
      <c r="D242" s="22">
        <v>20</v>
      </c>
      <c r="E242" s="14">
        <v>29</v>
      </c>
      <c r="F242" s="22">
        <v>20</v>
      </c>
      <c r="G242" s="14">
        <v>21</v>
      </c>
      <c r="H242" s="14">
        <v>20</v>
      </c>
      <c r="I242" s="14">
        <v>25</v>
      </c>
      <c r="J242" s="14">
        <v>30</v>
      </c>
      <c r="K242" s="14">
        <v>38</v>
      </c>
      <c r="L242" s="14">
        <v>35</v>
      </c>
      <c r="M242" s="14">
        <v>34</v>
      </c>
      <c r="N242" s="14">
        <v>32</v>
      </c>
      <c r="O242" s="14">
        <v>35</v>
      </c>
    </row>
    <row r="243" spans="2:16" ht="14" customHeight="1" thickTop="1" thickBot="1" x14ac:dyDescent="0.2">
      <c r="B243" s="121">
        <v>5</v>
      </c>
      <c r="C243" s="102" t="str">
        <f t="shared" si="67"/>
        <v>17 h à 19 h</v>
      </c>
      <c r="D243" s="22">
        <v>25</v>
      </c>
      <c r="E243" s="14">
        <v>9</v>
      </c>
      <c r="F243" s="22">
        <v>35</v>
      </c>
      <c r="G243" s="14">
        <v>41</v>
      </c>
      <c r="H243" s="14">
        <v>11</v>
      </c>
      <c r="I243" s="14">
        <v>40</v>
      </c>
      <c r="J243" s="14">
        <v>16</v>
      </c>
      <c r="K243" s="14">
        <v>28</v>
      </c>
      <c r="L243" s="14">
        <v>25</v>
      </c>
      <c r="M243" s="14">
        <v>24</v>
      </c>
      <c r="N243" s="14">
        <v>25</v>
      </c>
      <c r="O243" s="14">
        <v>25</v>
      </c>
    </row>
    <row r="244" spans="2:16" ht="14" customHeight="1" thickTop="1" thickBot="1" x14ac:dyDescent="0.2">
      <c r="B244" s="121">
        <v>6</v>
      </c>
      <c r="C244" s="102" t="str">
        <f t="shared" si="67"/>
        <v>19 h à 23 h</v>
      </c>
      <c r="D244" s="22">
        <v>10</v>
      </c>
      <c r="E244" s="14">
        <v>29</v>
      </c>
      <c r="F244" s="22">
        <v>19</v>
      </c>
      <c r="G244" s="14">
        <v>11</v>
      </c>
      <c r="H244" s="14">
        <v>10</v>
      </c>
      <c r="I244" s="14">
        <v>15</v>
      </c>
      <c r="J244" s="14">
        <v>40</v>
      </c>
      <c r="K244" s="14">
        <v>21</v>
      </c>
      <c r="L244" s="14">
        <v>25</v>
      </c>
      <c r="M244" s="14">
        <v>24</v>
      </c>
      <c r="N244" s="14">
        <v>22</v>
      </c>
      <c r="O244" s="14">
        <v>25</v>
      </c>
    </row>
    <row r="245" spans="2:16" ht="14" customHeight="1" thickTop="1" thickBot="1" x14ac:dyDescent="0.2">
      <c r="B245" s="121">
        <v>7</v>
      </c>
      <c r="C245" s="102" t="str">
        <f t="shared" si="67"/>
        <v>23 h à 6 h</v>
      </c>
      <c r="D245" s="14">
        <v>0</v>
      </c>
      <c r="E245" s="14">
        <v>0</v>
      </c>
      <c r="F245" s="22">
        <v>0</v>
      </c>
      <c r="G245" s="14">
        <v>0</v>
      </c>
      <c r="H245" s="14">
        <v>0</v>
      </c>
      <c r="I245" s="14">
        <v>0</v>
      </c>
      <c r="J245" s="14">
        <v>0</v>
      </c>
      <c r="K245" s="14">
        <v>0</v>
      </c>
      <c r="L245" s="14">
        <v>0</v>
      </c>
      <c r="M245" s="14">
        <v>0</v>
      </c>
      <c r="N245" s="14">
        <v>0</v>
      </c>
      <c r="O245" s="14">
        <v>0</v>
      </c>
    </row>
    <row r="246" spans="2:16" ht="14" customHeight="1" thickTop="1" thickBot="1" x14ac:dyDescent="0.2">
      <c r="B246" s="19"/>
      <c r="C246" s="297" t="str">
        <f t="shared" ref="C246" si="68">+C237</f>
        <v>Total</v>
      </c>
      <c r="D246" s="24">
        <f t="shared" ref="D246:L246" si="69">+D239+D240+D241+D242+D243+D244+D245</f>
        <v>125</v>
      </c>
      <c r="E246" s="24">
        <f t="shared" si="69"/>
        <v>146</v>
      </c>
      <c r="F246" s="24">
        <f t="shared" si="69"/>
        <v>139</v>
      </c>
      <c r="G246" s="24">
        <f t="shared" si="69"/>
        <v>148</v>
      </c>
      <c r="H246" s="24">
        <f t="shared" si="69"/>
        <v>152</v>
      </c>
      <c r="I246" s="24">
        <f t="shared" si="69"/>
        <v>160</v>
      </c>
      <c r="J246" s="24">
        <f t="shared" si="69"/>
        <v>156</v>
      </c>
      <c r="K246" s="24">
        <f t="shared" si="69"/>
        <v>163</v>
      </c>
      <c r="L246" s="24">
        <f t="shared" si="69"/>
        <v>155</v>
      </c>
      <c r="M246" s="24">
        <f>+M239+M240+M241+M242+M243+M244+M245</f>
        <v>150</v>
      </c>
      <c r="N246" s="24">
        <f>+N239+N240+N241+N242+N243+N244+N245</f>
        <v>145</v>
      </c>
      <c r="O246" s="24">
        <f>+O239+O240+O241+O242+O243+O244+O245</f>
        <v>155</v>
      </c>
    </row>
    <row r="247" spans="2:16" ht="14" customHeight="1" thickTop="1" thickBot="1" x14ac:dyDescent="0.2">
      <c r="B247" s="124" t="s">
        <v>2</v>
      </c>
      <c r="C247" s="298"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20</v>
      </c>
      <c r="E248" s="12">
        <v>20</v>
      </c>
      <c r="F248" s="12">
        <v>20</v>
      </c>
      <c r="G248" s="12">
        <v>20</v>
      </c>
      <c r="H248" s="12">
        <v>20</v>
      </c>
      <c r="I248" s="12">
        <v>20</v>
      </c>
      <c r="J248" s="12">
        <v>20</v>
      </c>
      <c r="K248" s="12">
        <v>20</v>
      </c>
      <c r="L248" s="12">
        <v>20</v>
      </c>
      <c r="M248" s="12">
        <v>20</v>
      </c>
      <c r="N248" s="12">
        <v>20</v>
      </c>
      <c r="O248" s="12">
        <v>20</v>
      </c>
    </row>
    <row r="249" spans="2:16" ht="14" customHeight="1" thickTop="1" thickBot="1" x14ac:dyDescent="0.2">
      <c r="B249" s="18">
        <v>2</v>
      </c>
      <c r="C249" s="102" t="str">
        <f t="shared" si="70"/>
        <v>9 h 30 à 11 h 30</v>
      </c>
      <c r="D249" s="311">
        <v>25</v>
      </c>
      <c r="E249" s="14">
        <v>9</v>
      </c>
      <c r="F249" s="22">
        <v>10</v>
      </c>
      <c r="G249" s="14">
        <v>14</v>
      </c>
      <c r="H249" s="14">
        <v>45</v>
      </c>
      <c r="I249" s="14">
        <v>15</v>
      </c>
      <c r="J249" s="14">
        <v>10</v>
      </c>
      <c r="K249" s="14">
        <v>28</v>
      </c>
      <c r="L249" s="14">
        <v>25</v>
      </c>
      <c r="M249" s="14">
        <v>24</v>
      </c>
      <c r="N249" s="14">
        <v>21</v>
      </c>
      <c r="O249" s="14">
        <v>25</v>
      </c>
    </row>
    <row r="250" spans="2:16" ht="14" customHeight="1" thickTop="1" thickBot="1" x14ac:dyDescent="0.2">
      <c r="B250" s="18">
        <v>3</v>
      </c>
      <c r="C250" s="102" t="str">
        <f t="shared" si="70"/>
        <v>11 h 30 à 14 h 30</v>
      </c>
      <c r="D250" s="22">
        <v>25</v>
      </c>
      <c r="E250" s="14">
        <v>50</v>
      </c>
      <c r="F250" s="22">
        <v>35</v>
      </c>
      <c r="G250" s="14">
        <v>41</v>
      </c>
      <c r="H250" s="14">
        <v>46</v>
      </c>
      <c r="I250" s="14">
        <v>45</v>
      </c>
      <c r="J250" s="14">
        <v>40</v>
      </c>
      <c r="K250" s="14">
        <v>28</v>
      </c>
      <c r="L250" s="14">
        <v>25</v>
      </c>
      <c r="M250" s="14">
        <v>24</v>
      </c>
      <c r="N250" s="14">
        <v>25</v>
      </c>
      <c r="O250" s="14">
        <v>25</v>
      </c>
    </row>
    <row r="251" spans="2:16" ht="14" customHeight="1" thickTop="1" thickBot="1" x14ac:dyDescent="0.2">
      <c r="B251" s="18">
        <v>4</v>
      </c>
      <c r="C251" s="102" t="str">
        <f t="shared" si="70"/>
        <v>14 h 30 à 17 h</v>
      </c>
      <c r="D251" s="22">
        <v>10</v>
      </c>
      <c r="E251" s="14">
        <v>9</v>
      </c>
      <c r="F251" s="22">
        <v>10</v>
      </c>
      <c r="G251" s="14">
        <v>11</v>
      </c>
      <c r="H251" s="14">
        <v>10</v>
      </c>
      <c r="I251" s="14">
        <v>15</v>
      </c>
      <c r="J251" s="14">
        <v>20</v>
      </c>
      <c r="K251" s="14">
        <v>28</v>
      </c>
      <c r="L251" s="14">
        <v>25</v>
      </c>
      <c r="M251" s="14">
        <v>24</v>
      </c>
      <c r="N251" s="14">
        <v>22</v>
      </c>
      <c r="O251" s="14">
        <v>25</v>
      </c>
    </row>
    <row r="252" spans="2:16" ht="14" customHeight="1" thickTop="1" thickBot="1" x14ac:dyDescent="0.2">
      <c r="B252" s="18">
        <v>5</v>
      </c>
      <c r="C252" s="102" t="str">
        <f t="shared" si="70"/>
        <v>17 h à 19 h</v>
      </c>
      <c r="D252" s="22">
        <v>25</v>
      </c>
      <c r="E252" s="14">
        <v>9</v>
      </c>
      <c r="F252" s="22">
        <v>35</v>
      </c>
      <c r="G252" s="14">
        <v>41</v>
      </c>
      <c r="H252" s="14">
        <v>11</v>
      </c>
      <c r="I252" s="14">
        <v>40</v>
      </c>
      <c r="J252" s="14">
        <v>16</v>
      </c>
      <c r="K252" s="14">
        <v>28</v>
      </c>
      <c r="L252" s="14">
        <v>25</v>
      </c>
      <c r="M252" s="14">
        <v>24</v>
      </c>
      <c r="N252" s="14">
        <v>25</v>
      </c>
      <c r="O252" s="14">
        <v>25</v>
      </c>
    </row>
    <row r="253" spans="2:16" ht="14" customHeight="1" thickTop="1" thickBot="1" x14ac:dyDescent="0.2">
      <c r="B253" s="18">
        <v>6</v>
      </c>
      <c r="C253" s="102" t="str">
        <f t="shared" si="70"/>
        <v>19 h à 23 h</v>
      </c>
      <c r="D253" s="22">
        <v>10</v>
      </c>
      <c r="E253" s="14">
        <v>29</v>
      </c>
      <c r="F253" s="22">
        <v>19</v>
      </c>
      <c r="G253" s="14">
        <v>11</v>
      </c>
      <c r="H253" s="14">
        <v>10</v>
      </c>
      <c r="I253" s="14">
        <v>15</v>
      </c>
      <c r="J253" s="14">
        <v>40</v>
      </c>
      <c r="K253" s="14">
        <v>21</v>
      </c>
      <c r="L253" s="14">
        <v>25</v>
      </c>
      <c r="M253" s="14">
        <v>24</v>
      </c>
      <c r="N253" s="14">
        <v>22</v>
      </c>
      <c r="O253" s="14">
        <v>25</v>
      </c>
    </row>
    <row r="254" spans="2:16" ht="14" customHeight="1" thickTop="1" thickBot="1" x14ac:dyDescent="0.2">
      <c r="B254" s="18">
        <v>7</v>
      </c>
      <c r="C254" s="102" t="str">
        <f t="shared" si="70"/>
        <v>23 h à 6 h</v>
      </c>
      <c r="D254" s="14">
        <v>0</v>
      </c>
      <c r="E254" s="14">
        <v>0</v>
      </c>
      <c r="F254" s="22">
        <v>0</v>
      </c>
      <c r="G254" s="14">
        <v>0</v>
      </c>
      <c r="H254" s="14">
        <v>0</v>
      </c>
      <c r="I254" s="14">
        <v>0</v>
      </c>
      <c r="J254" s="14">
        <v>0</v>
      </c>
      <c r="K254" s="14">
        <v>0</v>
      </c>
      <c r="L254" s="14">
        <v>0</v>
      </c>
      <c r="M254" s="14">
        <v>0</v>
      </c>
      <c r="N254" s="14">
        <v>0</v>
      </c>
      <c r="O254" s="14">
        <v>0</v>
      </c>
    </row>
    <row r="255" spans="2:16" ht="14" customHeight="1" thickTop="1" thickBot="1" x14ac:dyDescent="0.2">
      <c r="B255" s="19"/>
      <c r="C255" s="297" t="str">
        <f t="shared" ref="C255" si="71">+C246</f>
        <v>Total</v>
      </c>
      <c r="D255" s="24">
        <f t="shared" ref="D255:L255" si="72">+D248+D249+D250+D251+D252+D253+D254</f>
        <v>115</v>
      </c>
      <c r="E255" s="24">
        <f t="shared" si="72"/>
        <v>126</v>
      </c>
      <c r="F255" s="24">
        <f t="shared" si="72"/>
        <v>129</v>
      </c>
      <c r="G255" s="24">
        <f t="shared" si="72"/>
        <v>138</v>
      </c>
      <c r="H255" s="24">
        <f t="shared" si="72"/>
        <v>142</v>
      </c>
      <c r="I255" s="24">
        <f t="shared" si="72"/>
        <v>150</v>
      </c>
      <c r="J255" s="24">
        <f t="shared" si="72"/>
        <v>146</v>
      </c>
      <c r="K255" s="24">
        <f t="shared" si="72"/>
        <v>153</v>
      </c>
      <c r="L255" s="24">
        <f t="shared" si="72"/>
        <v>145</v>
      </c>
      <c r="M255" s="24">
        <f>+M248+M249+M250+M251+M252+M253+M254</f>
        <v>140</v>
      </c>
      <c r="N255" s="24">
        <f>+N248+N249+N250+N251+N252+N253+N254</f>
        <v>135</v>
      </c>
      <c r="O255" s="24">
        <f>+O248+O249+O250+O251+O252+O253+O254</f>
        <v>145</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20</v>
      </c>
      <c r="E257" s="12">
        <v>20</v>
      </c>
      <c r="F257" s="12">
        <v>20</v>
      </c>
      <c r="G257" s="12">
        <v>20</v>
      </c>
      <c r="H257" s="12">
        <v>20</v>
      </c>
      <c r="I257" s="12">
        <v>20</v>
      </c>
      <c r="J257" s="12">
        <v>20</v>
      </c>
      <c r="K257" s="12">
        <v>20</v>
      </c>
      <c r="L257" s="12">
        <v>20</v>
      </c>
      <c r="M257" s="12">
        <v>20</v>
      </c>
      <c r="N257" s="12">
        <v>20</v>
      </c>
      <c r="O257" s="12">
        <v>20</v>
      </c>
    </row>
    <row r="258" spans="2:15" ht="14" customHeight="1" thickTop="1" thickBot="1" x14ac:dyDescent="0.2">
      <c r="B258" s="18">
        <v>2</v>
      </c>
      <c r="C258" s="102" t="str">
        <f t="shared" si="73"/>
        <v>9 h 30 à 11 h 30</v>
      </c>
      <c r="D258" s="311">
        <v>25</v>
      </c>
      <c r="E258" s="14">
        <v>9</v>
      </c>
      <c r="F258" s="22">
        <v>10</v>
      </c>
      <c r="G258" s="14">
        <v>14</v>
      </c>
      <c r="H258" s="14">
        <v>45</v>
      </c>
      <c r="I258" s="14">
        <v>15</v>
      </c>
      <c r="J258" s="14">
        <v>10</v>
      </c>
      <c r="K258" s="14">
        <v>28</v>
      </c>
      <c r="L258" s="14">
        <v>25</v>
      </c>
      <c r="M258" s="14">
        <v>24</v>
      </c>
      <c r="N258" s="14">
        <v>21</v>
      </c>
      <c r="O258" s="14">
        <v>25</v>
      </c>
    </row>
    <row r="259" spans="2:15" ht="14" customHeight="1" thickTop="1" thickBot="1" x14ac:dyDescent="0.2">
      <c r="B259" s="18">
        <v>3</v>
      </c>
      <c r="C259" s="102" t="str">
        <f t="shared" si="73"/>
        <v>11 h 30 à 14 h 30</v>
      </c>
      <c r="D259" s="22">
        <v>25</v>
      </c>
      <c r="E259" s="14">
        <v>50</v>
      </c>
      <c r="F259" s="22">
        <v>35</v>
      </c>
      <c r="G259" s="14">
        <v>41</v>
      </c>
      <c r="H259" s="14">
        <v>46</v>
      </c>
      <c r="I259" s="14">
        <v>45</v>
      </c>
      <c r="J259" s="14">
        <v>50</v>
      </c>
      <c r="K259" s="14">
        <v>28</v>
      </c>
      <c r="L259" s="14">
        <v>25</v>
      </c>
      <c r="M259" s="14">
        <v>24</v>
      </c>
      <c r="N259" s="14">
        <v>25</v>
      </c>
      <c r="O259" s="14">
        <v>25</v>
      </c>
    </row>
    <row r="260" spans="2:15" ht="14" customHeight="1" thickTop="1" thickBot="1" x14ac:dyDescent="0.2">
      <c r="B260" s="18">
        <v>4</v>
      </c>
      <c r="C260" s="102" t="str">
        <f t="shared" si="73"/>
        <v>14 h 30 à 17 h</v>
      </c>
      <c r="D260" s="22">
        <v>20</v>
      </c>
      <c r="E260" s="14">
        <v>29</v>
      </c>
      <c r="F260" s="22">
        <v>20</v>
      </c>
      <c r="G260" s="14">
        <v>21</v>
      </c>
      <c r="H260" s="14">
        <v>20</v>
      </c>
      <c r="I260" s="14">
        <v>25</v>
      </c>
      <c r="J260" s="14">
        <v>30</v>
      </c>
      <c r="K260" s="14">
        <v>38</v>
      </c>
      <c r="L260" s="14">
        <v>35</v>
      </c>
      <c r="M260" s="14">
        <v>34</v>
      </c>
      <c r="N260" s="14">
        <v>32</v>
      </c>
      <c r="O260" s="14">
        <v>35</v>
      </c>
    </row>
    <row r="261" spans="2:15" ht="14" customHeight="1" thickTop="1" thickBot="1" x14ac:dyDescent="0.2">
      <c r="B261" s="18">
        <v>5</v>
      </c>
      <c r="C261" s="102" t="str">
        <f t="shared" si="73"/>
        <v>17 h à 19 h</v>
      </c>
      <c r="D261" s="22">
        <v>25</v>
      </c>
      <c r="E261" s="14">
        <v>19</v>
      </c>
      <c r="F261" s="22">
        <v>35</v>
      </c>
      <c r="G261" s="14">
        <v>41</v>
      </c>
      <c r="H261" s="14">
        <v>11</v>
      </c>
      <c r="I261" s="14">
        <v>40</v>
      </c>
      <c r="J261" s="14">
        <v>16</v>
      </c>
      <c r="K261" s="14">
        <v>28</v>
      </c>
      <c r="L261" s="14">
        <v>25</v>
      </c>
      <c r="M261" s="14">
        <v>24</v>
      </c>
      <c r="N261" s="14">
        <v>25</v>
      </c>
      <c r="O261" s="14">
        <v>25</v>
      </c>
    </row>
    <row r="262" spans="2:15" ht="14" customHeight="1" thickTop="1" thickBot="1" x14ac:dyDescent="0.2">
      <c r="B262" s="18">
        <v>6</v>
      </c>
      <c r="C262" s="102" t="str">
        <f t="shared" si="73"/>
        <v>19 h à 23 h</v>
      </c>
      <c r="D262" s="22">
        <v>10</v>
      </c>
      <c r="E262" s="14">
        <v>29</v>
      </c>
      <c r="F262" s="22">
        <v>19</v>
      </c>
      <c r="G262" s="14">
        <v>11</v>
      </c>
      <c r="H262" s="14">
        <v>10</v>
      </c>
      <c r="I262" s="14">
        <v>15</v>
      </c>
      <c r="J262" s="14">
        <v>40</v>
      </c>
      <c r="K262" s="14">
        <v>21</v>
      </c>
      <c r="L262" s="14">
        <v>25</v>
      </c>
      <c r="M262" s="14">
        <v>24</v>
      </c>
      <c r="N262" s="14">
        <v>22</v>
      </c>
      <c r="O262" s="14">
        <v>25</v>
      </c>
    </row>
    <row r="263" spans="2:15" ht="14" customHeight="1" thickTop="1" thickBot="1" x14ac:dyDescent="0.2">
      <c r="B263" s="18">
        <v>7</v>
      </c>
      <c r="C263" s="102" t="str">
        <f t="shared" si="73"/>
        <v>23 h à 6 h</v>
      </c>
      <c r="D263" s="14">
        <v>0</v>
      </c>
      <c r="E263" s="14">
        <v>0</v>
      </c>
      <c r="F263" s="22">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125</v>
      </c>
      <c r="E264" s="24">
        <f t="shared" si="75"/>
        <v>156</v>
      </c>
      <c r="F264" s="24">
        <f t="shared" si="75"/>
        <v>139</v>
      </c>
      <c r="G264" s="24">
        <f t="shared" si="75"/>
        <v>148</v>
      </c>
      <c r="H264" s="24">
        <f t="shared" si="75"/>
        <v>152</v>
      </c>
      <c r="I264" s="24">
        <f t="shared" si="75"/>
        <v>160</v>
      </c>
      <c r="J264" s="24">
        <f t="shared" si="75"/>
        <v>166</v>
      </c>
      <c r="K264" s="24">
        <f t="shared" si="75"/>
        <v>163</v>
      </c>
      <c r="L264" s="24">
        <f t="shared" si="75"/>
        <v>155</v>
      </c>
      <c r="M264" s="24">
        <f>+M257+M258+M259+M260+M261+M262+M263</f>
        <v>150</v>
      </c>
      <c r="N264" s="24">
        <f>+N257+N258+N259+N260+N261+N262+N263</f>
        <v>145</v>
      </c>
      <c r="O264" s="24">
        <f>+O257+O258+O259+O260+O261+O262+O263</f>
        <v>155</v>
      </c>
    </row>
    <row r="265" spans="2:15" ht="14" customHeight="1" thickTop="1" thickBot="1" x14ac:dyDescent="0.2">
      <c r="B265" s="1129" t="s">
        <v>20</v>
      </c>
      <c r="C265" s="1130"/>
      <c r="D265" s="1130"/>
      <c r="E265" s="1130"/>
      <c r="F265" s="1130"/>
      <c r="G265" s="1130"/>
      <c r="H265" s="1130"/>
      <c r="I265" s="1130"/>
      <c r="J265" s="1130"/>
      <c r="K265" s="1130"/>
      <c r="L265" s="1130"/>
      <c r="M265" s="1130"/>
      <c r="N265" s="1130"/>
      <c r="O265" s="1131"/>
    </row>
    <row r="266" spans="2:15" ht="14" customHeight="1" thickTop="1" thickBot="1" x14ac:dyDescent="0.2">
      <c r="B266" s="128">
        <f>+'Calendrier 2021'!B37</f>
        <v>5</v>
      </c>
      <c r="C266" s="129" t="str">
        <f>+'Calendrier 2021'!C37</f>
        <v>Lundi</v>
      </c>
      <c r="D266" s="130">
        <f>+'Calendrier 2021'!D37</f>
        <v>44221</v>
      </c>
      <c r="E266" s="130" t="s">
        <v>2</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20</v>
      </c>
      <c r="E267" s="12">
        <v>0</v>
      </c>
      <c r="F267" s="12">
        <v>20</v>
      </c>
      <c r="G267" s="12">
        <v>20</v>
      </c>
      <c r="H267" s="12">
        <v>20</v>
      </c>
      <c r="I267" s="12">
        <v>20</v>
      </c>
      <c r="J267" s="12">
        <v>20</v>
      </c>
      <c r="K267" s="12">
        <v>20</v>
      </c>
      <c r="L267" s="12">
        <v>20</v>
      </c>
      <c r="M267" s="12">
        <v>20</v>
      </c>
      <c r="N267" s="12">
        <v>20</v>
      </c>
      <c r="O267" s="12">
        <v>20</v>
      </c>
    </row>
    <row r="268" spans="2:15" ht="14" customHeight="1" x14ac:dyDescent="0.15">
      <c r="B268" s="13">
        <v>2</v>
      </c>
      <c r="C268" s="102" t="str">
        <f t="shared" si="76"/>
        <v>9 h 30 à 11 h 30</v>
      </c>
      <c r="D268" s="311">
        <v>25</v>
      </c>
      <c r="E268" s="14">
        <v>0</v>
      </c>
      <c r="F268" s="22">
        <v>10</v>
      </c>
      <c r="G268" s="14">
        <v>14</v>
      </c>
      <c r="H268" s="14">
        <v>45</v>
      </c>
      <c r="I268" s="14">
        <v>15</v>
      </c>
      <c r="J268" s="14">
        <v>10</v>
      </c>
      <c r="K268" s="14">
        <v>28</v>
      </c>
      <c r="L268" s="14">
        <v>25</v>
      </c>
      <c r="M268" s="14">
        <v>24</v>
      </c>
      <c r="N268" s="14">
        <v>19</v>
      </c>
      <c r="O268" s="14">
        <v>25</v>
      </c>
    </row>
    <row r="269" spans="2:15" ht="14" customHeight="1" x14ac:dyDescent="0.15">
      <c r="B269" s="13">
        <v>3</v>
      </c>
      <c r="C269" s="102" t="str">
        <f t="shared" si="76"/>
        <v>11 h 30 à 14 h 30</v>
      </c>
      <c r="D269" s="22">
        <v>25</v>
      </c>
      <c r="E269" s="14">
        <v>0</v>
      </c>
      <c r="F269" s="22">
        <v>35</v>
      </c>
      <c r="G269" s="14">
        <v>41</v>
      </c>
      <c r="H269" s="14">
        <v>46</v>
      </c>
      <c r="I269" s="14">
        <v>45</v>
      </c>
      <c r="J269" s="14">
        <v>40</v>
      </c>
      <c r="K269" s="14">
        <v>28</v>
      </c>
      <c r="L269" s="14">
        <v>25</v>
      </c>
      <c r="M269" s="14">
        <v>24</v>
      </c>
      <c r="N269" s="14">
        <v>20</v>
      </c>
      <c r="O269" s="14">
        <v>25</v>
      </c>
    </row>
    <row r="270" spans="2:15" ht="14" customHeight="1" x14ac:dyDescent="0.15">
      <c r="B270" s="13">
        <v>4</v>
      </c>
      <c r="C270" s="102" t="str">
        <f t="shared" si="76"/>
        <v>14 h 30 à 17 h</v>
      </c>
      <c r="D270" s="22">
        <v>10</v>
      </c>
      <c r="E270" s="14">
        <v>0</v>
      </c>
      <c r="F270" s="22">
        <v>10</v>
      </c>
      <c r="G270" s="14">
        <v>11</v>
      </c>
      <c r="H270" s="14">
        <v>10</v>
      </c>
      <c r="I270" s="14">
        <v>15</v>
      </c>
      <c r="J270" s="14">
        <v>20</v>
      </c>
      <c r="K270" s="14">
        <v>28</v>
      </c>
      <c r="L270" s="14">
        <v>25</v>
      </c>
      <c r="M270" s="14">
        <v>24</v>
      </c>
      <c r="N270" s="14">
        <v>19</v>
      </c>
      <c r="O270" s="14">
        <v>25</v>
      </c>
    </row>
    <row r="271" spans="2:15" ht="14" customHeight="1" x14ac:dyDescent="0.15">
      <c r="B271" s="13">
        <v>5</v>
      </c>
      <c r="C271" s="102" t="str">
        <f t="shared" si="76"/>
        <v>17 h à 19 h</v>
      </c>
      <c r="D271" s="22">
        <v>25</v>
      </c>
      <c r="E271" s="14">
        <v>0</v>
      </c>
      <c r="F271" s="22">
        <v>35</v>
      </c>
      <c r="G271" s="14">
        <v>31</v>
      </c>
      <c r="H271" s="14">
        <v>11</v>
      </c>
      <c r="I271" s="14">
        <v>40</v>
      </c>
      <c r="J271" s="14">
        <v>16</v>
      </c>
      <c r="K271" s="14">
        <v>28</v>
      </c>
      <c r="L271" s="14">
        <v>25</v>
      </c>
      <c r="M271" s="14">
        <v>24</v>
      </c>
      <c r="N271" s="14">
        <v>20</v>
      </c>
      <c r="O271" s="14">
        <v>25</v>
      </c>
    </row>
    <row r="272" spans="2:15" ht="14" customHeight="1" x14ac:dyDescent="0.15">
      <c r="B272" s="13">
        <v>6</v>
      </c>
      <c r="C272" s="102" t="str">
        <f t="shared" si="76"/>
        <v>19 h à 23 h</v>
      </c>
      <c r="D272" s="22">
        <v>10</v>
      </c>
      <c r="E272" s="14">
        <v>0</v>
      </c>
      <c r="F272" s="22">
        <v>19</v>
      </c>
      <c r="G272" s="14">
        <v>11</v>
      </c>
      <c r="H272" s="14">
        <v>10</v>
      </c>
      <c r="I272" s="14">
        <v>15</v>
      </c>
      <c r="J272" s="14">
        <v>40</v>
      </c>
      <c r="K272" s="14">
        <v>21</v>
      </c>
      <c r="L272" s="14">
        <v>25</v>
      </c>
      <c r="M272" s="14">
        <v>24</v>
      </c>
      <c r="N272" s="14">
        <v>19</v>
      </c>
      <c r="O272" s="14">
        <v>25</v>
      </c>
    </row>
    <row r="273" spans="2:17" ht="14" customHeight="1" x14ac:dyDescent="0.15">
      <c r="B273" s="13">
        <v>7</v>
      </c>
      <c r="C273" s="102" t="str">
        <f t="shared" si="76"/>
        <v>23 h à 6 h</v>
      </c>
      <c r="D273" s="14">
        <v>0</v>
      </c>
      <c r="E273" s="14">
        <v>0</v>
      </c>
      <c r="F273" s="22">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115</v>
      </c>
      <c r="E274" s="24">
        <f t="shared" si="77"/>
        <v>0</v>
      </c>
      <c r="F274" s="24">
        <f t="shared" si="77"/>
        <v>129</v>
      </c>
      <c r="G274" s="24">
        <f t="shared" si="77"/>
        <v>128</v>
      </c>
      <c r="H274" s="24">
        <f t="shared" si="77"/>
        <v>142</v>
      </c>
      <c r="I274" s="24">
        <f t="shared" si="77"/>
        <v>150</v>
      </c>
      <c r="J274" s="24">
        <f t="shared" si="77"/>
        <v>146</v>
      </c>
      <c r="K274" s="24">
        <f t="shared" si="77"/>
        <v>153</v>
      </c>
      <c r="L274" s="24">
        <f t="shared" si="77"/>
        <v>145</v>
      </c>
      <c r="M274" s="24">
        <f>+M267+M268+M269+M270+M271+M272+M273</f>
        <v>140</v>
      </c>
      <c r="N274" s="24">
        <f>+N267+N268+N269+N270+N271+N272+N273</f>
        <v>117</v>
      </c>
      <c r="O274" s="24">
        <f>+O267+O268+O269+O270+O271+O272+O273</f>
        <v>145</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20</v>
      </c>
      <c r="E276" s="60">
        <v>0</v>
      </c>
      <c r="F276" s="12">
        <v>20</v>
      </c>
      <c r="G276" s="12">
        <v>20</v>
      </c>
      <c r="H276" s="12">
        <v>20</v>
      </c>
      <c r="I276" s="12">
        <v>20</v>
      </c>
      <c r="J276" s="12">
        <v>20</v>
      </c>
      <c r="K276" s="12">
        <v>20</v>
      </c>
      <c r="L276" s="12">
        <v>20</v>
      </c>
      <c r="M276" s="12">
        <v>20</v>
      </c>
      <c r="N276" s="12">
        <v>20</v>
      </c>
      <c r="O276" s="12">
        <v>20</v>
      </c>
    </row>
    <row r="277" spans="2:17" ht="14" customHeight="1" thickTop="1" thickBot="1" x14ac:dyDescent="0.2">
      <c r="B277" s="121">
        <v>2</v>
      </c>
      <c r="C277" s="102" t="str">
        <f t="shared" si="78"/>
        <v>9 h 30 à 11 h 30</v>
      </c>
      <c r="D277" s="311">
        <v>25</v>
      </c>
      <c r="E277" s="61">
        <v>0</v>
      </c>
      <c r="F277" s="22">
        <v>10</v>
      </c>
      <c r="G277" s="14">
        <v>14</v>
      </c>
      <c r="H277" s="14">
        <v>45</v>
      </c>
      <c r="I277" s="14">
        <v>15</v>
      </c>
      <c r="J277" s="14">
        <v>10</v>
      </c>
      <c r="K277" s="14">
        <v>28</v>
      </c>
      <c r="L277" s="14">
        <v>25</v>
      </c>
      <c r="M277" s="14">
        <v>24</v>
      </c>
      <c r="N277" s="14">
        <v>21</v>
      </c>
      <c r="O277" s="14">
        <v>25</v>
      </c>
    </row>
    <row r="278" spans="2:17" ht="14" customHeight="1" thickTop="1" thickBot="1" x14ac:dyDescent="0.2">
      <c r="B278" s="121">
        <v>3</v>
      </c>
      <c r="C278" s="102" t="str">
        <f t="shared" si="78"/>
        <v>11 h 30 à 14 h 30</v>
      </c>
      <c r="D278" s="22">
        <v>25</v>
      </c>
      <c r="E278" s="61">
        <v>0</v>
      </c>
      <c r="F278" s="22">
        <v>35</v>
      </c>
      <c r="G278" s="14">
        <v>41</v>
      </c>
      <c r="H278" s="14">
        <v>46</v>
      </c>
      <c r="I278" s="14">
        <v>45</v>
      </c>
      <c r="J278" s="14">
        <v>40</v>
      </c>
      <c r="K278" s="14">
        <v>28</v>
      </c>
      <c r="L278" s="14">
        <v>25</v>
      </c>
      <c r="M278" s="14">
        <v>24</v>
      </c>
      <c r="N278" s="14">
        <v>25</v>
      </c>
      <c r="O278" s="14">
        <v>25</v>
      </c>
    </row>
    <row r="279" spans="2:17" ht="14" customHeight="1" thickTop="1" thickBot="1" x14ac:dyDescent="0.2">
      <c r="B279" s="121">
        <v>4</v>
      </c>
      <c r="C279" s="102" t="str">
        <f t="shared" si="78"/>
        <v>14 h 30 à 17 h</v>
      </c>
      <c r="D279" s="22">
        <v>10</v>
      </c>
      <c r="E279" s="61">
        <v>0</v>
      </c>
      <c r="F279" s="22">
        <v>10</v>
      </c>
      <c r="G279" s="14">
        <v>11</v>
      </c>
      <c r="H279" s="14">
        <v>10</v>
      </c>
      <c r="I279" s="14">
        <v>15</v>
      </c>
      <c r="J279" s="14">
        <v>20</v>
      </c>
      <c r="K279" s="14">
        <v>28</v>
      </c>
      <c r="L279" s="14">
        <v>25</v>
      </c>
      <c r="M279" s="14">
        <v>24</v>
      </c>
      <c r="N279" s="14">
        <v>22</v>
      </c>
      <c r="O279" s="14">
        <v>25</v>
      </c>
    </row>
    <row r="280" spans="2:17" ht="14" customHeight="1" thickTop="1" thickBot="1" x14ac:dyDescent="0.2">
      <c r="B280" s="121">
        <v>5</v>
      </c>
      <c r="C280" s="102" t="str">
        <f t="shared" si="78"/>
        <v>17 h à 19 h</v>
      </c>
      <c r="D280" s="22">
        <v>25</v>
      </c>
      <c r="E280" s="61">
        <v>0</v>
      </c>
      <c r="F280" s="22">
        <v>35</v>
      </c>
      <c r="G280" s="14">
        <v>31</v>
      </c>
      <c r="H280" s="14">
        <v>11</v>
      </c>
      <c r="I280" s="14">
        <v>40</v>
      </c>
      <c r="J280" s="14">
        <v>16</v>
      </c>
      <c r="K280" s="14">
        <v>28</v>
      </c>
      <c r="L280" s="14">
        <v>25</v>
      </c>
      <c r="M280" s="14">
        <v>24</v>
      </c>
      <c r="N280" s="14">
        <v>27</v>
      </c>
      <c r="O280" s="14">
        <v>25</v>
      </c>
    </row>
    <row r="281" spans="2:17" ht="14" customHeight="1" thickTop="1" thickBot="1" x14ac:dyDescent="0.2">
      <c r="B281" s="121">
        <v>6</v>
      </c>
      <c r="C281" s="102" t="str">
        <f t="shared" si="78"/>
        <v>19 h à 23 h</v>
      </c>
      <c r="D281" s="22">
        <v>10</v>
      </c>
      <c r="E281" s="61">
        <v>0</v>
      </c>
      <c r="F281" s="22">
        <v>19</v>
      </c>
      <c r="G281" s="14">
        <v>11</v>
      </c>
      <c r="H281" s="14">
        <v>10</v>
      </c>
      <c r="I281" s="14">
        <v>15</v>
      </c>
      <c r="J281" s="14">
        <v>40</v>
      </c>
      <c r="K281" s="14">
        <v>21</v>
      </c>
      <c r="L281" s="14">
        <v>25</v>
      </c>
      <c r="M281" s="14">
        <v>24</v>
      </c>
      <c r="N281" s="14">
        <v>22</v>
      </c>
      <c r="O281" s="14">
        <v>25</v>
      </c>
    </row>
    <row r="282" spans="2:17" ht="14" customHeight="1" thickTop="1" thickBot="1" x14ac:dyDescent="0.2">
      <c r="B282" s="121">
        <v>7</v>
      </c>
      <c r="C282" s="102" t="str">
        <f t="shared" si="78"/>
        <v>23 h à 6 h</v>
      </c>
      <c r="D282" s="14">
        <v>0</v>
      </c>
      <c r="E282" s="61">
        <v>0</v>
      </c>
      <c r="F282" s="22">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115</v>
      </c>
      <c r="E283" s="59">
        <f t="shared" si="80"/>
        <v>0</v>
      </c>
      <c r="F283" s="24">
        <f t="shared" si="80"/>
        <v>129</v>
      </c>
      <c r="G283" s="24">
        <f t="shared" si="80"/>
        <v>128</v>
      </c>
      <c r="H283" s="24">
        <f t="shared" si="80"/>
        <v>142</v>
      </c>
      <c r="I283" s="24">
        <f t="shared" si="80"/>
        <v>150</v>
      </c>
      <c r="J283" s="24">
        <f t="shared" si="80"/>
        <v>146</v>
      </c>
      <c r="K283" s="24">
        <f t="shared" si="80"/>
        <v>153</v>
      </c>
      <c r="L283" s="24">
        <f t="shared" si="80"/>
        <v>145</v>
      </c>
      <c r="M283" s="24">
        <f>+M276+M277+M278+M279+M280+M281+M282</f>
        <v>140</v>
      </c>
      <c r="N283" s="24">
        <f>+N276+N277+N278+N279+N280+N281+N282</f>
        <v>137</v>
      </c>
      <c r="O283" s="24">
        <f>+O276+O277+O278+O279+O280+O281+O282</f>
        <v>145</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20</v>
      </c>
      <c r="E285" s="12">
        <v>0</v>
      </c>
      <c r="F285" s="12">
        <v>20</v>
      </c>
      <c r="G285" s="12">
        <v>20</v>
      </c>
      <c r="H285" s="12">
        <v>20</v>
      </c>
      <c r="I285" s="12">
        <v>20</v>
      </c>
      <c r="J285" s="12">
        <v>20</v>
      </c>
      <c r="K285" s="12">
        <v>20</v>
      </c>
      <c r="L285" s="12">
        <v>20</v>
      </c>
      <c r="M285" s="12">
        <v>20</v>
      </c>
      <c r="N285" s="12">
        <v>0</v>
      </c>
      <c r="O285" s="12">
        <v>20</v>
      </c>
    </row>
    <row r="286" spans="2:17" ht="14" customHeight="1" thickTop="1" thickBot="1" x14ac:dyDescent="0.2">
      <c r="B286" s="121">
        <v>2</v>
      </c>
      <c r="C286" s="102" t="str">
        <f t="shared" si="81"/>
        <v>9 h 30 à 11 h 30</v>
      </c>
      <c r="D286" s="311">
        <v>25</v>
      </c>
      <c r="E286" s="14">
        <v>0</v>
      </c>
      <c r="F286" s="22">
        <v>10</v>
      </c>
      <c r="G286" s="14">
        <v>14</v>
      </c>
      <c r="H286" s="14">
        <v>45</v>
      </c>
      <c r="I286" s="14">
        <v>15</v>
      </c>
      <c r="J286" s="14">
        <v>10</v>
      </c>
      <c r="K286" s="14">
        <v>28</v>
      </c>
      <c r="L286" s="14">
        <v>25</v>
      </c>
      <c r="M286" s="14">
        <v>24</v>
      </c>
      <c r="N286" s="14">
        <v>0</v>
      </c>
      <c r="O286" s="14">
        <v>25</v>
      </c>
    </row>
    <row r="287" spans="2:17" ht="14" customHeight="1" thickTop="1" thickBot="1" x14ac:dyDescent="0.2">
      <c r="B287" s="121">
        <v>3</v>
      </c>
      <c r="C287" s="102" t="str">
        <f t="shared" si="81"/>
        <v>11 h 30 à 14 h 30</v>
      </c>
      <c r="D287" s="22">
        <v>25</v>
      </c>
      <c r="E287" s="14">
        <v>0</v>
      </c>
      <c r="F287" s="22">
        <v>35</v>
      </c>
      <c r="G287" s="14">
        <v>41</v>
      </c>
      <c r="H287" s="14">
        <v>46</v>
      </c>
      <c r="I287" s="14">
        <v>45</v>
      </c>
      <c r="J287" s="14">
        <v>40</v>
      </c>
      <c r="K287" s="14">
        <v>28</v>
      </c>
      <c r="L287" s="14">
        <v>37</v>
      </c>
      <c r="M287" s="14">
        <v>24</v>
      </c>
      <c r="N287" s="14">
        <v>0</v>
      </c>
      <c r="O287" s="14">
        <v>25</v>
      </c>
    </row>
    <row r="288" spans="2:17" ht="14" customHeight="1" thickTop="1" thickBot="1" x14ac:dyDescent="0.2">
      <c r="B288" s="121">
        <v>4</v>
      </c>
      <c r="C288" s="102" t="str">
        <f t="shared" si="81"/>
        <v>14 h 30 à 17 h</v>
      </c>
      <c r="D288" s="22">
        <v>10</v>
      </c>
      <c r="E288" s="14">
        <v>0</v>
      </c>
      <c r="F288" s="22">
        <v>24</v>
      </c>
      <c r="G288" s="14">
        <v>11</v>
      </c>
      <c r="H288" s="14">
        <v>10</v>
      </c>
      <c r="I288" s="14">
        <v>27</v>
      </c>
      <c r="J288" s="14">
        <v>20</v>
      </c>
      <c r="K288" s="14">
        <v>28</v>
      </c>
      <c r="L288" s="14">
        <v>25</v>
      </c>
      <c r="M288" s="14">
        <v>24</v>
      </c>
      <c r="N288" s="14">
        <v>0</v>
      </c>
      <c r="O288" s="14">
        <v>25</v>
      </c>
    </row>
    <row r="289" spans="2:17" ht="14" customHeight="1" thickTop="1" thickBot="1" x14ac:dyDescent="0.2">
      <c r="B289" s="121">
        <v>5</v>
      </c>
      <c r="C289" s="102" t="str">
        <f t="shared" si="81"/>
        <v>17 h à 19 h</v>
      </c>
      <c r="D289" s="22">
        <v>25</v>
      </c>
      <c r="E289" s="14">
        <v>0</v>
      </c>
      <c r="F289" s="22">
        <v>35</v>
      </c>
      <c r="G289" s="14">
        <v>31</v>
      </c>
      <c r="H289" s="14">
        <v>11</v>
      </c>
      <c r="I289" s="14">
        <v>40</v>
      </c>
      <c r="J289" s="14">
        <v>16</v>
      </c>
      <c r="K289" s="14">
        <v>28</v>
      </c>
      <c r="L289" s="14">
        <v>25</v>
      </c>
      <c r="M289" s="14">
        <v>24</v>
      </c>
      <c r="N289" s="14">
        <v>0</v>
      </c>
      <c r="O289" s="14">
        <v>25</v>
      </c>
    </row>
    <row r="290" spans="2:17" ht="14" customHeight="1" thickTop="1" thickBot="1" x14ac:dyDescent="0.2">
      <c r="B290" s="121">
        <v>6</v>
      </c>
      <c r="C290" s="102" t="str">
        <f t="shared" si="81"/>
        <v>19 h à 23 h</v>
      </c>
      <c r="D290" s="22">
        <v>10</v>
      </c>
      <c r="E290" s="14">
        <v>0</v>
      </c>
      <c r="F290" s="22">
        <v>19</v>
      </c>
      <c r="G290" s="14">
        <v>11</v>
      </c>
      <c r="H290" s="14">
        <v>10</v>
      </c>
      <c r="I290" s="14">
        <v>27</v>
      </c>
      <c r="J290" s="14">
        <v>40</v>
      </c>
      <c r="K290" s="14">
        <v>21</v>
      </c>
      <c r="L290" s="14">
        <v>25</v>
      </c>
      <c r="M290" s="14">
        <v>24</v>
      </c>
      <c r="N290" s="14">
        <v>0</v>
      </c>
      <c r="O290" s="14">
        <v>25</v>
      </c>
    </row>
    <row r="291" spans="2:17" ht="14" customHeight="1" thickTop="1" thickBot="1" x14ac:dyDescent="0.2">
      <c r="B291" s="121">
        <v>7</v>
      </c>
      <c r="C291" s="102" t="str">
        <f t="shared" si="81"/>
        <v>23 h à 6 h</v>
      </c>
      <c r="D291" s="14">
        <v>0</v>
      </c>
      <c r="E291" s="14">
        <v>0</v>
      </c>
      <c r="F291" s="22">
        <v>0</v>
      </c>
      <c r="G291" s="14">
        <v>0</v>
      </c>
      <c r="H291" s="14">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115</v>
      </c>
      <c r="E292" s="24">
        <f t="shared" si="83"/>
        <v>0</v>
      </c>
      <c r="F292" s="24">
        <f t="shared" si="83"/>
        <v>143</v>
      </c>
      <c r="G292" s="24">
        <f t="shared" si="83"/>
        <v>128</v>
      </c>
      <c r="H292" s="24">
        <f t="shared" si="83"/>
        <v>142</v>
      </c>
      <c r="I292" s="24">
        <f t="shared" si="83"/>
        <v>174</v>
      </c>
      <c r="J292" s="24">
        <f t="shared" si="83"/>
        <v>146</v>
      </c>
      <c r="K292" s="24">
        <f t="shared" si="83"/>
        <v>153</v>
      </c>
      <c r="L292" s="24">
        <f t="shared" si="83"/>
        <v>157</v>
      </c>
      <c r="M292" s="24">
        <f>+M285+M286+M287+M288+M289+M290+M291</f>
        <v>140</v>
      </c>
      <c r="N292" s="24">
        <f>+N285+N286+N287+N288+N289+N290+N291</f>
        <v>0</v>
      </c>
      <c r="O292" s="24">
        <f>+O285+O286+O287+O288+O289+O290+O291</f>
        <v>145</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20</v>
      </c>
      <c r="E294" s="12">
        <v>0</v>
      </c>
      <c r="F294" s="12">
        <v>0</v>
      </c>
      <c r="G294" s="12">
        <v>0</v>
      </c>
      <c r="H294" s="12">
        <v>20</v>
      </c>
      <c r="I294" s="12">
        <v>0</v>
      </c>
      <c r="J294" s="12">
        <v>20</v>
      </c>
      <c r="K294" s="12">
        <v>20</v>
      </c>
      <c r="L294" s="12">
        <v>20</v>
      </c>
      <c r="M294" s="12">
        <v>20</v>
      </c>
      <c r="N294" s="12">
        <v>0</v>
      </c>
      <c r="O294" s="12">
        <v>20</v>
      </c>
    </row>
    <row r="295" spans="2:17" ht="14" customHeight="1" thickTop="1" thickBot="1" x14ac:dyDescent="0.2">
      <c r="B295" s="121">
        <v>2</v>
      </c>
      <c r="C295" s="102" t="str">
        <f t="shared" si="84"/>
        <v>9 h 30 à 11 h 30</v>
      </c>
      <c r="D295" s="311">
        <v>25</v>
      </c>
      <c r="E295" s="14">
        <v>0</v>
      </c>
      <c r="F295" s="14">
        <v>0</v>
      </c>
      <c r="G295" s="14">
        <v>14</v>
      </c>
      <c r="H295" s="22">
        <v>45</v>
      </c>
      <c r="I295" s="14">
        <v>0</v>
      </c>
      <c r="J295" s="14">
        <v>10</v>
      </c>
      <c r="K295" s="14">
        <v>28</v>
      </c>
      <c r="L295" s="14">
        <v>25</v>
      </c>
      <c r="M295" s="14">
        <v>24</v>
      </c>
      <c r="N295" s="14">
        <v>0</v>
      </c>
      <c r="O295" s="14">
        <v>25</v>
      </c>
    </row>
    <row r="296" spans="2:17" ht="14" customHeight="1" thickTop="1" thickBot="1" x14ac:dyDescent="0.2">
      <c r="B296" s="121">
        <v>3</v>
      </c>
      <c r="C296" s="102" t="str">
        <f t="shared" si="84"/>
        <v>11 h 30 à 14 h 30</v>
      </c>
      <c r="D296" s="22">
        <v>25</v>
      </c>
      <c r="E296" s="14">
        <v>0</v>
      </c>
      <c r="F296" s="14">
        <v>0</v>
      </c>
      <c r="G296" s="14">
        <v>41</v>
      </c>
      <c r="H296" s="22">
        <v>46</v>
      </c>
      <c r="I296" s="14">
        <v>0</v>
      </c>
      <c r="J296" s="14">
        <v>40</v>
      </c>
      <c r="K296" s="14">
        <v>28</v>
      </c>
      <c r="L296" s="14">
        <v>25</v>
      </c>
      <c r="M296" s="14">
        <v>24</v>
      </c>
      <c r="N296" s="14">
        <v>0</v>
      </c>
      <c r="O296" s="14">
        <v>25</v>
      </c>
    </row>
    <row r="297" spans="2:17" ht="14" customHeight="1" thickTop="1" thickBot="1" x14ac:dyDescent="0.2">
      <c r="B297" s="121">
        <v>4</v>
      </c>
      <c r="C297" s="102" t="str">
        <f t="shared" si="84"/>
        <v>14 h 30 à 17 h</v>
      </c>
      <c r="D297" s="22">
        <v>10</v>
      </c>
      <c r="E297" s="14">
        <v>0</v>
      </c>
      <c r="F297" s="14">
        <v>0</v>
      </c>
      <c r="G297" s="14">
        <v>11</v>
      </c>
      <c r="H297" s="22">
        <v>10</v>
      </c>
      <c r="I297" s="14">
        <v>0</v>
      </c>
      <c r="J297" s="14">
        <v>20</v>
      </c>
      <c r="K297" s="14">
        <v>28</v>
      </c>
      <c r="L297" s="14">
        <v>25</v>
      </c>
      <c r="M297" s="14">
        <v>24</v>
      </c>
      <c r="N297" s="14">
        <v>0</v>
      </c>
      <c r="O297" s="14">
        <v>25</v>
      </c>
    </row>
    <row r="298" spans="2:17" ht="14" customHeight="1" thickTop="1" thickBot="1" x14ac:dyDescent="0.2">
      <c r="B298" s="121">
        <v>5</v>
      </c>
      <c r="C298" s="102" t="str">
        <f t="shared" si="84"/>
        <v>17 h à 19 h</v>
      </c>
      <c r="D298" s="22">
        <v>25</v>
      </c>
      <c r="E298" s="14">
        <v>0</v>
      </c>
      <c r="F298" s="14">
        <v>0</v>
      </c>
      <c r="G298" s="14">
        <v>31</v>
      </c>
      <c r="H298" s="22">
        <v>11</v>
      </c>
      <c r="I298" s="14">
        <v>0</v>
      </c>
      <c r="J298" s="14">
        <v>16</v>
      </c>
      <c r="K298" s="14">
        <v>28</v>
      </c>
      <c r="L298" s="14">
        <v>25</v>
      </c>
      <c r="M298" s="14">
        <v>24</v>
      </c>
      <c r="N298" s="14">
        <v>0</v>
      </c>
      <c r="O298" s="14">
        <v>25</v>
      </c>
    </row>
    <row r="299" spans="2:17" ht="14" customHeight="1" thickTop="1" thickBot="1" x14ac:dyDescent="0.2">
      <c r="B299" s="121">
        <v>6</v>
      </c>
      <c r="C299" s="102" t="str">
        <f t="shared" si="84"/>
        <v>19 h à 23 h</v>
      </c>
      <c r="D299" s="22">
        <v>10</v>
      </c>
      <c r="E299" s="14">
        <v>0</v>
      </c>
      <c r="F299" s="14">
        <v>0</v>
      </c>
      <c r="G299" s="14">
        <v>11</v>
      </c>
      <c r="H299" s="22">
        <v>10</v>
      </c>
      <c r="I299" s="14">
        <v>0</v>
      </c>
      <c r="J299" s="14">
        <v>40</v>
      </c>
      <c r="K299" s="14">
        <v>21</v>
      </c>
      <c r="L299" s="14">
        <v>25</v>
      </c>
      <c r="M299" s="14">
        <v>24</v>
      </c>
      <c r="N299" s="14">
        <v>0</v>
      </c>
      <c r="O299" s="14">
        <v>25</v>
      </c>
    </row>
    <row r="300" spans="2:17" ht="14" customHeight="1" thickTop="1" thickBot="1" x14ac:dyDescent="0.2">
      <c r="B300" s="121">
        <v>7</v>
      </c>
      <c r="C300" s="102" t="str">
        <f t="shared" si="84"/>
        <v>23 h à 6 h</v>
      </c>
      <c r="D300" s="14">
        <v>0</v>
      </c>
      <c r="E300" s="14">
        <v>0</v>
      </c>
      <c r="F300" s="14">
        <v>0</v>
      </c>
      <c r="G300" s="14">
        <v>0</v>
      </c>
      <c r="H300" s="22">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115</v>
      </c>
      <c r="E301" s="24">
        <f t="shared" si="85"/>
        <v>0</v>
      </c>
      <c r="F301" s="24">
        <f t="shared" si="85"/>
        <v>0</v>
      </c>
      <c r="G301" s="24">
        <f t="shared" si="85"/>
        <v>108</v>
      </c>
      <c r="H301" s="24">
        <f t="shared" si="85"/>
        <v>142</v>
      </c>
      <c r="I301" s="24">
        <f t="shared" si="85"/>
        <v>0</v>
      </c>
      <c r="J301" s="24">
        <f t="shared" si="85"/>
        <v>146</v>
      </c>
      <c r="K301" s="24">
        <f t="shared" si="85"/>
        <v>153</v>
      </c>
      <c r="L301" s="24">
        <f t="shared" si="85"/>
        <v>145</v>
      </c>
      <c r="M301" s="24">
        <f t="shared" si="85"/>
        <v>140</v>
      </c>
      <c r="N301" s="24">
        <f t="shared" si="85"/>
        <v>0</v>
      </c>
      <c r="O301" s="24">
        <f t="shared" si="85"/>
        <v>145</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20</v>
      </c>
      <c r="E303" s="12">
        <v>0</v>
      </c>
      <c r="F303" s="12">
        <v>0</v>
      </c>
      <c r="G303" s="12">
        <v>0</v>
      </c>
      <c r="H303" s="12">
        <v>20</v>
      </c>
      <c r="I303" s="12">
        <v>0</v>
      </c>
      <c r="J303" s="12">
        <v>20</v>
      </c>
      <c r="K303" s="12">
        <v>20</v>
      </c>
      <c r="L303" s="12">
        <v>0</v>
      </c>
      <c r="M303" s="12">
        <v>20</v>
      </c>
      <c r="N303" s="12">
        <v>0</v>
      </c>
      <c r="O303" s="12">
        <v>20</v>
      </c>
      <c r="P303" s="29" t="s">
        <v>2</v>
      </c>
      <c r="Q303" s="28"/>
    </row>
    <row r="304" spans="2:17" ht="14" customHeight="1" thickTop="1" thickBot="1" x14ac:dyDescent="0.2">
      <c r="B304" s="121">
        <v>2</v>
      </c>
      <c r="C304" s="102" t="str">
        <f t="shared" si="86"/>
        <v>9 h 30 à 11 h 30</v>
      </c>
      <c r="D304" s="311">
        <v>25</v>
      </c>
      <c r="E304" s="14">
        <v>0</v>
      </c>
      <c r="F304" s="14">
        <v>0</v>
      </c>
      <c r="G304" s="14">
        <v>14</v>
      </c>
      <c r="H304" s="22">
        <v>45</v>
      </c>
      <c r="I304" s="14">
        <v>0</v>
      </c>
      <c r="J304" s="14">
        <v>10</v>
      </c>
      <c r="K304" s="14">
        <v>28</v>
      </c>
      <c r="L304" s="14">
        <v>0</v>
      </c>
      <c r="M304" s="14">
        <v>24</v>
      </c>
      <c r="N304" s="14">
        <v>0</v>
      </c>
      <c r="O304" s="14">
        <v>25</v>
      </c>
    </row>
    <row r="305" spans="2:15" ht="14" customHeight="1" thickTop="1" thickBot="1" x14ac:dyDescent="0.2">
      <c r="B305" s="121">
        <v>3</v>
      </c>
      <c r="C305" s="102" t="str">
        <f t="shared" si="86"/>
        <v>11 h 30 à 14 h 30</v>
      </c>
      <c r="D305" s="22">
        <v>25</v>
      </c>
      <c r="E305" s="14">
        <v>0</v>
      </c>
      <c r="F305" s="14">
        <v>0</v>
      </c>
      <c r="G305" s="14">
        <v>31</v>
      </c>
      <c r="H305" s="22">
        <v>46</v>
      </c>
      <c r="I305" s="14">
        <v>0</v>
      </c>
      <c r="J305" s="14">
        <v>40</v>
      </c>
      <c r="K305" s="14">
        <v>28</v>
      </c>
      <c r="L305" s="14">
        <v>0</v>
      </c>
      <c r="M305" s="14">
        <v>24</v>
      </c>
      <c r="N305" s="14">
        <v>0</v>
      </c>
      <c r="O305" s="14">
        <v>25</v>
      </c>
    </row>
    <row r="306" spans="2:15" ht="14" customHeight="1" thickTop="1" thickBot="1" x14ac:dyDescent="0.2">
      <c r="B306" s="121">
        <v>4</v>
      </c>
      <c r="C306" s="102" t="str">
        <f t="shared" si="86"/>
        <v>14 h 30 à 17 h</v>
      </c>
      <c r="D306" s="22">
        <v>10</v>
      </c>
      <c r="E306" s="14">
        <v>0</v>
      </c>
      <c r="F306" s="14">
        <v>0</v>
      </c>
      <c r="G306" s="14">
        <v>32</v>
      </c>
      <c r="H306" s="22">
        <v>10</v>
      </c>
      <c r="I306" s="14">
        <v>0</v>
      </c>
      <c r="J306" s="14">
        <v>20</v>
      </c>
      <c r="K306" s="14">
        <v>28</v>
      </c>
      <c r="L306" s="14">
        <v>0</v>
      </c>
      <c r="M306" s="14">
        <v>24</v>
      </c>
      <c r="N306" s="14">
        <v>0</v>
      </c>
      <c r="O306" s="14">
        <v>25</v>
      </c>
    </row>
    <row r="307" spans="2:15" ht="14" customHeight="1" thickTop="1" thickBot="1" x14ac:dyDescent="0.2">
      <c r="B307" s="121">
        <v>5</v>
      </c>
      <c r="C307" s="102" t="str">
        <f t="shared" si="86"/>
        <v>17 h à 19 h</v>
      </c>
      <c r="D307" s="22">
        <v>25</v>
      </c>
      <c r="E307" s="14">
        <v>0</v>
      </c>
      <c r="F307" s="14">
        <v>0</v>
      </c>
      <c r="G307" s="14">
        <v>41</v>
      </c>
      <c r="H307" s="22">
        <v>11</v>
      </c>
      <c r="I307" s="14">
        <v>0</v>
      </c>
      <c r="J307" s="14">
        <v>16</v>
      </c>
      <c r="K307" s="14">
        <v>28</v>
      </c>
      <c r="L307" s="14">
        <v>0</v>
      </c>
      <c r="M307" s="14">
        <v>24</v>
      </c>
      <c r="N307" s="14">
        <v>0</v>
      </c>
      <c r="O307" s="14">
        <v>25</v>
      </c>
    </row>
    <row r="308" spans="2:15" ht="14" customHeight="1" thickTop="1" thickBot="1" x14ac:dyDescent="0.2">
      <c r="B308" s="121">
        <v>6</v>
      </c>
      <c r="C308" s="102" t="str">
        <f t="shared" si="86"/>
        <v>19 h à 23 h</v>
      </c>
      <c r="D308" s="22">
        <v>10</v>
      </c>
      <c r="E308" s="14">
        <v>0</v>
      </c>
      <c r="F308" s="14">
        <v>0</v>
      </c>
      <c r="G308" s="14">
        <v>11</v>
      </c>
      <c r="H308" s="22">
        <v>10</v>
      </c>
      <c r="I308" s="14">
        <v>0</v>
      </c>
      <c r="J308" s="14">
        <v>40</v>
      </c>
      <c r="K308" s="14">
        <v>21</v>
      </c>
      <c r="L308" s="14">
        <v>0</v>
      </c>
      <c r="M308" s="14">
        <v>24</v>
      </c>
      <c r="N308" s="14">
        <v>0</v>
      </c>
      <c r="O308" s="14">
        <v>22</v>
      </c>
    </row>
    <row r="309" spans="2:15" ht="14" customHeight="1" thickTop="1" thickBot="1" x14ac:dyDescent="0.2">
      <c r="B309" s="121">
        <v>7</v>
      </c>
      <c r="C309" s="102" t="str">
        <f t="shared" si="86"/>
        <v>23 h à 6 h</v>
      </c>
      <c r="D309" s="14">
        <v>0</v>
      </c>
      <c r="E309" s="14">
        <v>0</v>
      </c>
      <c r="F309" s="14">
        <v>0</v>
      </c>
      <c r="G309" s="14">
        <v>0</v>
      </c>
      <c r="H309" s="22">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115</v>
      </c>
      <c r="E310" s="24">
        <f t="shared" si="88"/>
        <v>0</v>
      </c>
      <c r="F310" s="24">
        <f t="shared" si="88"/>
        <v>0</v>
      </c>
      <c r="G310" s="24">
        <f t="shared" si="88"/>
        <v>129</v>
      </c>
      <c r="H310" s="24">
        <f t="shared" si="88"/>
        <v>142</v>
      </c>
      <c r="I310" s="24">
        <f t="shared" si="88"/>
        <v>0</v>
      </c>
      <c r="J310" s="24">
        <f t="shared" si="88"/>
        <v>146</v>
      </c>
      <c r="K310" s="24">
        <f t="shared" si="88"/>
        <v>153</v>
      </c>
      <c r="L310" s="24">
        <f t="shared" si="88"/>
        <v>0</v>
      </c>
      <c r="M310" s="24">
        <f>+M303+M304+M305+M306+M307+M308+M309</f>
        <v>140</v>
      </c>
      <c r="N310" s="24">
        <f>+N303+N304+N305+N306+N307+N308+N309</f>
        <v>0</v>
      </c>
      <c r="O310" s="24">
        <f>+O303+O304+O305+O306+O307+O308+O309</f>
        <v>142</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20</v>
      </c>
      <c r="E312" s="12">
        <v>0</v>
      </c>
      <c r="F312" s="12">
        <v>0</v>
      </c>
      <c r="G312" s="12">
        <v>0</v>
      </c>
      <c r="H312" s="12">
        <v>20</v>
      </c>
      <c r="I312" s="12">
        <v>0</v>
      </c>
      <c r="J312" s="12">
        <v>20</v>
      </c>
      <c r="K312" s="12">
        <v>20</v>
      </c>
      <c r="L312" s="12">
        <v>0</v>
      </c>
      <c r="M312" s="12">
        <v>20</v>
      </c>
      <c r="N312" s="12">
        <v>0</v>
      </c>
      <c r="O312" s="12">
        <v>0</v>
      </c>
    </row>
    <row r="313" spans="2:15" ht="14" customHeight="1" thickTop="1" thickBot="1" x14ac:dyDescent="0.2">
      <c r="B313" s="18">
        <v>2</v>
      </c>
      <c r="C313" s="102" t="str">
        <f t="shared" si="89"/>
        <v>9 h 30 à 11 h 30</v>
      </c>
      <c r="D313" s="311">
        <v>25</v>
      </c>
      <c r="E313" s="14">
        <v>0</v>
      </c>
      <c r="F313" s="14">
        <v>0</v>
      </c>
      <c r="G313" s="14">
        <v>0</v>
      </c>
      <c r="H313" s="22">
        <v>45</v>
      </c>
      <c r="I313" s="14">
        <v>0</v>
      </c>
      <c r="J313" s="14">
        <v>10</v>
      </c>
      <c r="K313" s="14">
        <v>28</v>
      </c>
      <c r="L313" s="14">
        <v>0</v>
      </c>
      <c r="M313" s="14">
        <v>24</v>
      </c>
      <c r="N313" s="14">
        <v>0</v>
      </c>
      <c r="O313" s="14">
        <v>0</v>
      </c>
    </row>
    <row r="314" spans="2:15" ht="14" customHeight="1" thickTop="1" thickBot="1" x14ac:dyDescent="0.2">
      <c r="B314" s="18">
        <v>3</v>
      </c>
      <c r="C314" s="102" t="str">
        <f t="shared" si="89"/>
        <v>11 h 30 à 14 h 30</v>
      </c>
      <c r="D314" s="22">
        <v>25</v>
      </c>
      <c r="E314" s="14">
        <v>0</v>
      </c>
      <c r="F314" s="14">
        <v>0</v>
      </c>
      <c r="G314" s="14">
        <v>0</v>
      </c>
      <c r="H314" s="22">
        <v>46</v>
      </c>
      <c r="I314" s="14">
        <v>0</v>
      </c>
      <c r="J314" s="14">
        <v>37</v>
      </c>
      <c r="K314" s="14">
        <v>28</v>
      </c>
      <c r="L314" s="14">
        <v>0</v>
      </c>
      <c r="M314" s="14">
        <v>24</v>
      </c>
      <c r="N314" s="14">
        <v>0</v>
      </c>
      <c r="O314" s="14">
        <v>0</v>
      </c>
    </row>
    <row r="315" spans="2:15" ht="14" customHeight="1" thickTop="1" thickBot="1" x14ac:dyDescent="0.2">
      <c r="B315" s="18">
        <v>4</v>
      </c>
      <c r="C315" s="102" t="str">
        <f t="shared" si="89"/>
        <v>14 h 30 à 17 h</v>
      </c>
      <c r="D315" s="22">
        <v>10</v>
      </c>
      <c r="E315" s="14">
        <v>0</v>
      </c>
      <c r="F315" s="14">
        <v>0</v>
      </c>
      <c r="G315" s="14">
        <v>0</v>
      </c>
      <c r="H315" s="22">
        <v>10</v>
      </c>
      <c r="I315" s="14">
        <v>0</v>
      </c>
      <c r="J315" s="14">
        <v>20</v>
      </c>
      <c r="K315" s="14">
        <v>28</v>
      </c>
      <c r="L315" s="14">
        <v>0</v>
      </c>
      <c r="M315" s="14">
        <v>24</v>
      </c>
      <c r="N315" s="14">
        <v>0</v>
      </c>
      <c r="O315" s="14">
        <v>0</v>
      </c>
    </row>
    <row r="316" spans="2:15" ht="14" customHeight="1" thickTop="1" thickBot="1" x14ac:dyDescent="0.2">
      <c r="B316" s="18">
        <v>5</v>
      </c>
      <c r="C316" s="102" t="str">
        <f t="shared" si="89"/>
        <v>17 h à 19 h</v>
      </c>
      <c r="D316" s="22">
        <v>25</v>
      </c>
      <c r="E316" s="14">
        <v>0</v>
      </c>
      <c r="F316" s="14">
        <v>0</v>
      </c>
      <c r="G316" s="14">
        <v>0</v>
      </c>
      <c r="H316" s="22">
        <v>11</v>
      </c>
      <c r="I316" s="14">
        <v>0</v>
      </c>
      <c r="J316" s="14">
        <v>16</v>
      </c>
      <c r="K316" s="14">
        <v>28</v>
      </c>
      <c r="L316" s="14">
        <v>0</v>
      </c>
      <c r="M316" s="14">
        <v>24</v>
      </c>
      <c r="N316" s="14">
        <v>0</v>
      </c>
      <c r="O316" s="14">
        <v>0</v>
      </c>
    </row>
    <row r="317" spans="2:15" ht="14" customHeight="1" thickTop="1" thickBot="1" x14ac:dyDescent="0.2">
      <c r="B317" s="18">
        <v>6</v>
      </c>
      <c r="C317" s="102" t="str">
        <f t="shared" si="89"/>
        <v>19 h à 23 h</v>
      </c>
      <c r="D317" s="22">
        <v>10</v>
      </c>
      <c r="E317" s="14">
        <v>0</v>
      </c>
      <c r="F317" s="14">
        <v>0</v>
      </c>
      <c r="G317" s="14">
        <v>0</v>
      </c>
      <c r="H317" s="22">
        <v>10</v>
      </c>
      <c r="I317" s="14">
        <v>0</v>
      </c>
      <c r="J317" s="14">
        <v>30</v>
      </c>
      <c r="K317" s="14">
        <v>21</v>
      </c>
      <c r="L317" s="14">
        <v>0</v>
      </c>
      <c r="M317" s="14">
        <v>24</v>
      </c>
      <c r="N317" s="14">
        <v>0</v>
      </c>
      <c r="O317" s="14">
        <v>0</v>
      </c>
    </row>
    <row r="318" spans="2:15" ht="14" customHeight="1" thickTop="1" thickBot="1" x14ac:dyDescent="0.2">
      <c r="B318" s="18">
        <v>7</v>
      </c>
      <c r="C318" s="102" t="str">
        <f t="shared" si="89"/>
        <v>23 h à 6 h</v>
      </c>
      <c r="D318" s="14">
        <v>0</v>
      </c>
      <c r="E318" s="14">
        <v>0</v>
      </c>
      <c r="F318" s="14">
        <v>0</v>
      </c>
      <c r="G318" s="14">
        <v>0</v>
      </c>
      <c r="H318" s="22">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115</v>
      </c>
      <c r="E319" s="24">
        <f t="shared" si="91"/>
        <v>0</v>
      </c>
      <c r="F319" s="24">
        <f t="shared" si="91"/>
        <v>0</v>
      </c>
      <c r="G319" s="24">
        <f t="shared" si="91"/>
        <v>0</v>
      </c>
      <c r="H319" s="24">
        <f t="shared" si="91"/>
        <v>142</v>
      </c>
      <c r="I319" s="24">
        <f t="shared" si="91"/>
        <v>0</v>
      </c>
      <c r="J319" s="24">
        <f t="shared" si="91"/>
        <v>133</v>
      </c>
      <c r="K319" s="24">
        <f t="shared" si="91"/>
        <v>153</v>
      </c>
      <c r="L319" s="24">
        <f t="shared" si="91"/>
        <v>0</v>
      </c>
      <c r="M319" s="24">
        <f t="shared" si="91"/>
        <v>140</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20</v>
      </c>
      <c r="E321" s="12">
        <v>0</v>
      </c>
      <c r="F321" s="12">
        <v>0</v>
      </c>
      <c r="G321" s="12">
        <v>0</v>
      </c>
      <c r="H321" s="12">
        <v>20</v>
      </c>
      <c r="I321" s="12">
        <v>0</v>
      </c>
      <c r="J321" s="12">
        <v>0</v>
      </c>
      <c r="K321" s="12">
        <v>20</v>
      </c>
      <c r="L321" s="12">
        <v>0</v>
      </c>
      <c r="M321" s="12">
        <v>20</v>
      </c>
      <c r="N321" s="12">
        <v>0</v>
      </c>
      <c r="O321" s="12">
        <v>0</v>
      </c>
    </row>
    <row r="322" spans="2:15" ht="14" customHeight="1" thickTop="1" thickBot="1" x14ac:dyDescent="0.2">
      <c r="B322" s="18">
        <v>2</v>
      </c>
      <c r="C322" s="102" t="str">
        <f t="shared" si="92"/>
        <v>9 h 30 à 11 h 30</v>
      </c>
      <c r="D322" s="311">
        <v>48</v>
      </c>
      <c r="E322" s="14">
        <v>0</v>
      </c>
      <c r="F322" s="14">
        <v>0</v>
      </c>
      <c r="G322" s="14">
        <v>0</v>
      </c>
      <c r="H322" s="22">
        <v>35</v>
      </c>
      <c r="I322" s="14">
        <v>0</v>
      </c>
      <c r="J322" s="14">
        <v>0</v>
      </c>
      <c r="K322" s="14">
        <v>28</v>
      </c>
      <c r="L322" s="14">
        <v>0</v>
      </c>
      <c r="M322" s="14">
        <v>20</v>
      </c>
      <c r="N322" s="14">
        <v>0</v>
      </c>
      <c r="O322" s="14">
        <v>0</v>
      </c>
    </row>
    <row r="323" spans="2:15" ht="14" customHeight="1" thickTop="1" thickBot="1" x14ac:dyDescent="0.2">
      <c r="B323" s="18">
        <v>3</v>
      </c>
      <c r="C323" s="102" t="str">
        <f t="shared" si="92"/>
        <v>11 h 30 à 14 h 30</v>
      </c>
      <c r="D323" s="22">
        <v>50</v>
      </c>
      <c r="E323" s="14">
        <v>0</v>
      </c>
      <c r="F323" s="14">
        <v>0</v>
      </c>
      <c r="G323" s="14">
        <v>0</v>
      </c>
      <c r="H323" s="22">
        <v>36</v>
      </c>
      <c r="I323" s="14">
        <v>0</v>
      </c>
      <c r="J323" s="14">
        <v>0</v>
      </c>
      <c r="K323" s="14">
        <v>28</v>
      </c>
      <c r="L323" s="14">
        <v>0</v>
      </c>
      <c r="M323" s="14">
        <v>24</v>
      </c>
      <c r="N323" s="14">
        <v>0</v>
      </c>
      <c r="O323" s="14">
        <v>0</v>
      </c>
    </row>
    <row r="324" spans="2:15" ht="14" customHeight="1" thickTop="1" thickBot="1" x14ac:dyDescent="0.2">
      <c r="B324" s="18">
        <v>4</v>
      </c>
      <c r="C324" s="102" t="str">
        <f t="shared" si="92"/>
        <v>14 h 30 à 17 h</v>
      </c>
      <c r="D324" s="22">
        <v>10</v>
      </c>
      <c r="E324" s="14">
        <v>0</v>
      </c>
      <c r="F324" s="14">
        <v>0</v>
      </c>
      <c r="G324" s="14">
        <v>0</v>
      </c>
      <c r="H324" s="22">
        <v>10</v>
      </c>
      <c r="I324" s="14">
        <v>0</v>
      </c>
      <c r="J324" s="14">
        <v>0</v>
      </c>
      <c r="K324" s="14">
        <v>28</v>
      </c>
      <c r="L324" s="14">
        <v>0</v>
      </c>
      <c r="M324" s="14">
        <v>24</v>
      </c>
      <c r="N324" s="14">
        <v>0</v>
      </c>
      <c r="O324" s="14">
        <v>0</v>
      </c>
    </row>
    <row r="325" spans="2:15" ht="14" customHeight="1" thickTop="1" thickBot="1" x14ac:dyDescent="0.2">
      <c r="B325" s="18">
        <v>5</v>
      </c>
      <c r="C325" s="102" t="str">
        <f t="shared" si="92"/>
        <v>17 h à 19 h</v>
      </c>
      <c r="D325" s="22">
        <v>50</v>
      </c>
      <c r="E325" s="14">
        <v>0</v>
      </c>
      <c r="F325" s="14">
        <v>0</v>
      </c>
      <c r="G325" s="14">
        <v>0</v>
      </c>
      <c r="H325" s="22">
        <v>11</v>
      </c>
      <c r="I325" s="14">
        <v>0</v>
      </c>
      <c r="J325" s="14">
        <v>0</v>
      </c>
      <c r="K325" s="14">
        <v>28</v>
      </c>
      <c r="L325" s="14">
        <v>0</v>
      </c>
      <c r="M325" s="14">
        <v>24</v>
      </c>
      <c r="N325" s="14">
        <v>0</v>
      </c>
      <c r="O325" s="14">
        <v>0</v>
      </c>
    </row>
    <row r="326" spans="2:15" ht="14" customHeight="1" thickTop="1" thickBot="1" x14ac:dyDescent="0.2">
      <c r="B326" s="18">
        <v>6</v>
      </c>
      <c r="C326" s="102" t="str">
        <f t="shared" si="92"/>
        <v>19 h à 23 h</v>
      </c>
      <c r="D326" s="22">
        <v>10</v>
      </c>
      <c r="E326" s="14">
        <v>0</v>
      </c>
      <c r="F326" s="14">
        <v>0</v>
      </c>
      <c r="G326" s="14">
        <v>0</v>
      </c>
      <c r="H326" s="22">
        <v>10</v>
      </c>
      <c r="I326" s="14">
        <v>0</v>
      </c>
      <c r="J326" s="14">
        <v>0</v>
      </c>
      <c r="K326" s="14">
        <v>21</v>
      </c>
      <c r="L326" s="14">
        <v>0</v>
      </c>
      <c r="M326" s="14">
        <v>24</v>
      </c>
      <c r="N326" s="14">
        <v>0</v>
      </c>
      <c r="O326" s="14">
        <v>0</v>
      </c>
    </row>
    <row r="327" spans="2:15" ht="14" customHeight="1" thickTop="1" thickBot="1" x14ac:dyDescent="0.2">
      <c r="B327" s="18">
        <v>7</v>
      </c>
      <c r="C327" s="102" t="str">
        <f t="shared" si="92"/>
        <v>23 h à 6 h</v>
      </c>
      <c r="D327" s="14">
        <v>0</v>
      </c>
      <c r="E327" s="14">
        <v>0</v>
      </c>
      <c r="F327" s="14">
        <v>0</v>
      </c>
      <c r="G327" s="14">
        <v>0</v>
      </c>
      <c r="H327" s="22">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188</v>
      </c>
      <c r="E328" s="24">
        <f t="shared" si="94"/>
        <v>0</v>
      </c>
      <c r="F328" s="24">
        <f t="shared" si="94"/>
        <v>0</v>
      </c>
      <c r="G328" s="24">
        <f t="shared" si="94"/>
        <v>0</v>
      </c>
      <c r="H328" s="24">
        <f t="shared" si="94"/>
        <v>122</v>
      </c>
      <c r="I328" s="24">
        <f t="shared" si="94"/>
        <v>0</v>
      </c>
      <c r="J328" s="24">
        <f t="shared" si="94"/>
        <v>0</v>
      </c>
      <c r="K328" s="24">
        <f t="shared" si="94"/>
        <v>153</v>
      </c>
      <c r="L328" s="24">
        <f t="shared" si="94"/>
        <v>0</v>
      </c>
      <c r="M328" s="24">
        <f>+M321+M322+M323+M324+M325+M326+M327</f>
        <v>136</v>
      </c>
      <c r="N328" s="24">
        <f>+N321+N322+N323+N324+N325+N326+N327</f>
        <v>0</v>
      </c>
      <c r="O328" s="24">
        <f>+O321+O322+O323+O324+O325+O326+O327</f>
        <v>0</v>
      </c>
    </row>
    <row r="329" spans="2:15" ht="14" customHeight="1" thickTop="1" thickBot="1" x14ac:dyDescent="0.2">
      <c r="B329" s="1129" t="s">
        <v>21</v>
      </c>
      <c r="C329" s="1132"/>
      <c r="D329" s="1132"/>
      <c r="E329" s="1132"/>
      <c r="F329" s="1132"/>
      <c r="G329" s="1132"/>
      <c r="H329" s="1132"/>
      <c r="I329" s="1132"/>
      <c r="J329" s="1132"/>
      <c r="K329" s="1132"/>
      <c r="L329" s="1132"/>
      <c r="M329" s="1132"/>
      <c r="N329" s="1132"/>
      <c r="O329" s="1133"/>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20</v>
      </c>
      <c r="I331" s="12">
        <v>0</v>
      </c>
      <c r="J331" s="12">
        <v>0</v>
      </c>
      <c r="K331" s="12">
        <v>20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22">
        <v>45</v>
      </c>
      <c r="I332" s="14">
        <v>0</v>
      </c>
      <c r="J332" s="14">
        <v>0</v>
      </c>
      <c r="K332" s="14">
        <v>28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22">
        <v>46</v>
      </c>
      <c r="I333" s="14">
        <v>0</v>
      </c>
      <c r="J333" s="14">
        <v>0</v>
      </c>
      <c r="K333" s="14">
        <v>38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22">
        <v>10</v>
      </c>
      <c r="I334" s="14">
        <v>0</v>
      </c>
      <c r="J334" s="14">
        <v>0</v>
      </c>
      <c r="K334" s="14">
        <v>28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22">
        <v>19</v>
      </c>
      <c r="I335" s="14">
        <v>0</v>
      </c>
      <c r="J335" s="14">
        <v>0</v>
      </c>
      <c r="K335" s="14">
        <v>31</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22">
        <v>10</v>
      </c>
      <c r="I336" s="14">
        <v>0</v>
      </c>
      <c r="J336" s="14">
        <v>0</v>
      </c>
      <c r="K336" s="14">
        <v>21</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22">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150</v>
      </c>
      <c r="I338" s="24">
        <f t="shared" si="96"/>
        <v>0</v>
      </c>
      <c r="J338" s="17">
        <f t="shared" si="96"/>
        <v>0</v>
      </c>
      <c r="K338" s="24">
        <f t="shared" si="96"/>
        <v>166</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20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28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28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28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28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21</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153</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3808</v>
      </c>
      <c r="E395" s="82">
        <f t="shared" si="114"/>
        <v>3691</v>
      </c>
      <c r="F395" s="82">
        <f t="shared" si="114"/>
        <v>4113</v>
      </c>
      <c r="G395" s="82">
        <f t="shared" si="114"/>
        <v>4161</v>
      </c>
      <c r="H395" s="82">
        <f t="shared" si="114"/>
        <v>4480</v>
      </c>
      <c r="I395" s="82">
        <f t="shared" si="114"/>
        <v>4604</v>
      </c>
      <c r="J395" s="82">
        <f t="shared" si="114"/>
        <v>4773</v>
      </c>
      <c r="K395" s="82">
        <f t="shared" si="114"/>
        <v>4836</v>
      </c>
      <c r="L395" s="82">
        <f t="shared" si="114"/>
        <v>4422</v>
      </c>
      <c r="M395" s="82">
        <f t="shared" si="114"/>
        <v>4426</v>
      </c>
      <c r="N395" s="82">
        <f t="shared" si="114"/>
        <v>4114</v>
      </c>
      <c r="O395" s="82">
        <f t="shared" si="114"/>
        <v>4572</v>
      </c>
      <c r="P395" s="82">
        <f>+SUM(D395:O395)</f>
        <v>52000</v>
      </c>
      <c r="Q395" s="1134" t="s">
        <v>23</v>
      </c>
      <c r="R395" s="1135"/>
    </row>
    <row r="396" spans="2:19" ht="14" customHeight="1" thickBot="1" x14ac:dyDescent="0.2">
      <c r="B396" s="88"/>
      <c r="C396" s="86"/>
      <c r="D396" s="83">
        <f t="shared" ref="D396:O396" si="115">+D395/D8</f>
        <v>122.83870967741936</v>
      </c>
      <c r="E396" s="83">
        <f t="shared" si="115"/>
        <v>131.82142857142858</v>
      </c>
      <c r="F396" s="83">
        <f t="shared" si="115"/>
        <v>132.67741935483872</v>
      </c>
      <c r="G396" s="83">
        <f t="shared" si="115"/>
        <v>138.69999999999999</v>
      </c>
      <c r="H396" s="83">
        <f t="shared" si="115"/>
        <v>144.51612903225808</v>
      </c>
      <c r="I396" s="83">
        <f t="shared" si="115"/>
        <v>153.46666666666667</v>
      </c>
      <c r="J396" s="83">
        <f t="shared" si="115"/>
        <v>153.96774193548387</v>
      </c>
      <c r="K396" s="83">
        <f t="shared" si="115"/>
        <v>156</v>
      </c>
      <c r="L396" s="83">
        <f t="shared" si="115"/>
        <v>147.4</v>
      </c>
      <c r="M396" s="83">
        <f t="shared" si="115"/>
        <v>142.7741935483871</v>
      </c>
      <c r="N396" s="83">
        <f t="shared" si="115"/>
        <v>137.13333333333333</v>
      </c>
      <c r="O396" s="83">
        <f t="shared" si="115"/>
        <v>147.48387096774192</v>
      </c>
      <c r="P396" s="1127" t="s">
        <v>24</v>
      </c>
      <c r="Q396" s="1128"/>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1110" t="s">
        <v>2</v>
      </c>
      <c r="Q398" s="63"/>
    </row>
    <row r="399" spans="2:19" ht="14" customHeight="1" x14ac:dyDescent="0.15">
      <c r="D399" s="38" t="s">
        <v>2</v>
      </c>
    </row>
    <row r="400" spans="2:19" ht="14" customHeight="1" x14ac:dyDescent="0.15">
      <c r="D400" s="38" t="s">
        <v>2</v>
      </c>
      <c r="P400" s="1109"/>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BuHzIgW0kO6mU6PRj/n9F293/VD1qn0d20gQQdHXczuyGYSQ1f+GCIWD4x19Z4DH1uQMtmdt82ANVBG4uk8Cyg==" saltValue="8epUxOwtLmq5HPPUn2Ifvw==" spinCount="100000" sheet="1" objects="1" scenarios="1"/>
  <mergeCells count="13">
    <mergeCell ref="B9:O9"/>
    <mergeCell ref="B2:O2"/>
    <mergeCell ref="B3:O3"/>
    <mergeCell ref="B4:O4"/>
    <mergeCell ref="B7:C7"/>
    <mergeCell ref="B8:C8"/>
    <mergeCell ref="P396:Q396"/>
    <mergeCell ref="B73:O73"/>
    <mergeCell ref="B137:O137"/>
    <mergeCell ref="B201:O201"/>
    <mergeCell ref="B265:O265"/>
    <mergeCell ref="B329:O329"/>
    <mergeCell ref="Q395:R395"/>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B5F41-64A5-084A-A4A8-15C0A3B6552B}">
  <sheetPr>
    <tabColor rgb="FFFFFF00"/>
  </sheetPr>
  <dimension ref="B1:L120"/>
  <sheetViews>
    <sheetView zoomScale="180" zoomScaleNormal="180" zoomScalePageLayoutView="150" workbookViewId="0"/>
  </sheetViews>
  <sheetFormatPr baseColWidth="10" defaultRowHeight="13" x14ac:dyDescent="0.15"/>
  <cols>
    <col min="1" max="1" width="6.33203125" style="161" customWidth="1"/>
    <col min="2" max="2" width="6.6640625" style="161" bestFit="1" customWidth="1"/>
    <col min="3" max="3" width="54.6640625" style="161" bestFit="1" customWidth="1"/>
    <col min="4" max="6" width="2.83203125" style="161" customWidth="1"/>
    <col min="7" max="8" width="14.6640625" style="161" bestFit="1" customWidth="1"/>
    <col min="9" max="9" width="13.1640625" style="161" customWidth="1"/>
    <col min="10" max="10" width="14" style="161" bestFit="1" customWidth="1"/>
    <col min="11" max="11" width="11.6640625" style="161" bestFit="1" customWidth="1"/>
    <col min="12" max="12" width="12.5" style="161" bestFit="1" customWidth="1"/>
    <col min="13" max="16384" width="10.83203125" style="161"/>
  </cols>
  <sheetData>
    <row r="1" spans="2:11" x14ac:dyDescent="0.15">
      <c r="B1" s="161" t="s">
        <v>2</v>
      </c>
      <c r="K1" s="187"/>
    </row>
    <row r="2" spans="2:11" ht="14" customHeight="1" x14ac:dyDescent="0.2">
      <c r="B2" s="1326" t="s">
        <v>425</v>
      </c>
      <c r="C2" s="1327"/>
      <c r="D2" s="1327"/>
      <c r="E2" s="1327"/>
      <c r="F2" s="1327"/>
      <c r="G2" s="1327"/>
      <c r="H2" s="1327"/>
      <c r="I2" s="1327"/>
      <c r="J2" s="1327"/>
      <c r="K2" s="1328"/>
    </row>
    <row r="3" spans="2:11" ht="14" customHeight="1" x14ac:dyDescent="0.2">
      <c r="B3" s="1326" t="str">
        <f>'État des Résultats'!C2</f>
        <v>Chez Les Petites Gâteries &amp; Cie.</v>
      </c>
      <c r="C3" s="1327"/>
      <c r="D3" s="1327"/>
      <c r="E3" s="1327"/>
      <c r="F3" s="1327"/>
      <c r="G3" s="1327"/>
      <c r="H3" s="1327"/>
      <c r="I3" s="1327"/>
      <c r="J3" s="1327"/>
      <c r="K3" s="1328"/>
    </row>
    <row r="4" spans="2:11" ht="17" thickBot="1" x14ac:dyDescent="0.25">
      <c r="B4" s="309"/>
      <c r="C4" s="309"/>
      <c r="D4" s="309"/>
      <c r="E4" s="309"/>
      <c r="F4" s="309"/>
      <c r="G4" s="309"/>
      <c r="H4" s="309"/>
      <c r="I4" s="309"/>
      <c r="J4" s="1006"/>
      <c r="K4" s="1004"/>
    </row>
    <row r="5" spans="2:11" ht="14" customHeight="1" thickTop="1" thickBot="1" x14ac:dyDescent="0.2">
      <c r="B5" s="1322" t="str">
        <f>'État des Résultats'!C10</f>
        <v>Revenus</v>
      </c>
      <c r="C5" s="1329"/>
      <c r="D5" s="1329"/>
      <c r="E5" s="1329"/>
      <c r="F5" s="1329"/>
      <c r="G5" s="1329"/>
      <c r="H5" s="1329"/>
      <c r="I5" s="1329"/>
      <c r="J5" s="1329"/>
      <c r="K5" s="1330"/>
    </row>
    <row r="6" spans="2:11" ht="17" thickTop="1" x14ac:dyDescent="0.2">
      <c r="B6" s="309"/>
      <c r="C6" s="867"/>
      <c r="D6" s="867"/>
      <c r="E6" s="867"/>
      <c r="F6" s="309"/>
      <c r="G6" s="309"/>
      <c r="H6" s="309"/>
      <c r="I6" s="309"/>
      <c r="J6" s="1024"/>
      <c r="K6" s="1004"/>
    </row>
    <row r="7" spans="2:11" ht="16" x14ac:dyDescent="0.2">
      <c r="B7" s="309">
        <v>4100</v>
      </c>
      <c r="C7" s="375" t="s">
        <v>442</v>
      </c>
      <c r="D7" s="1002"/>
      <c r="E7" s="1002"/>
      <c r="F7" s="309"/>
      <c r="G7" s="309"/>
      <c r="H7" s="309"/>
      <c r="I7" s="309"/>
      <c r="J7" s="1003">
        <v>1</v>
      </c>
      <c r="K7" s="1004"/>
    </row>
    <row r="8" spans="2:11" ht="16" x14ac:dyDescent="0.2">
      <c r="B8" s="309">
        <v>4200</v>
      </c>
      <c r="C8" s="1331" t="str">
        <f>'État des Résultats'!C11</f>
        <v xml:space="preserve"> Nourriture</v>
      </c>
      <c r="D8" s="1331"/>
      <c r="E8" s="1331"/>
      <c r="F8" s="309"/>
      <c r="G8" s="309"/>
      <c r="H8" s="309"/>
      <c r="I8" s="309"/>
      <c r="J8" s="1003">
        <v>1</v>
      </c>
      <c r="K8" s="1004"/>
    </row>
    <row r="9" spans="2:11" ht="16" x14ac:dyDescent="0.2">
      <c r="B9" s="309">
        <v>4300</v>
      </c>
      <c r="C9" s="1331" t="str">
        <f>'État des Résultats'!C12</f>
        <v xml:space="preserve"> Boisson</v>
      </c>
      <c r="D9" s="1331"/>
      <c r="E9" s="1331"/>
      <c r="F9" s="309"/>
      <c r="G9" s="309"/>
      <c r="H9" s="309"/>
      <c r="I9" s="309"/>
      <c r="J9" s="1003">
        <v>1</v>
      </c>
      <c r="K9" s="1004"/>
    </row>
    <row r="10" spans="2:11" ht="16" x14ac:dyDescent="0.2">
      <c r="B10" s="309">
        <v>4400</v>
      </c>
      <c r="C10" s="309" t="str">
        <f>'État des Résultats'!C13</f>
        <v xml:space="preserve"> Autres revenus</v>
      </c>
      <c r="D10" s="309"/>
      <c r="E10" s="309"/>
      <c r="F10" s="309"/>
      <c r="G10" s="309"/>
      <c r="H10" s="309"/>
      <c r="I10" s="309"/>
      <c r="J10" s="1003">
        <v>1</v>
      </c>
      <c r="K10" s="1004"/>
    </row>
    <row r="11" spans="2:11" ht="19" x14ac:dyDescent="0.35">
      <c r="B11" s="309"/>
      <c r="C11" s="309" t="s">
        <v>2</v>
      </c>
      <c r="D11" s="309"/>
      <c r="E11" s="309"/>
      <c r="F11" s="309"/>
      <c r="G11" s="309"/>
      <c r="H11" s="309"/>
      <c r="I11" s="309"/>
      <c r="J11" s="1005">
        <f>+SUM(J7:J10)</f>
        <v>4</v>
      </c>
      <c r="K11" s="1004"/>
    </row>
    <row r="12" spans="2:11" ht="17" thickBot="1" x14ac:dyDescent="0.25">
      <c r="B12" s="309"/>
      <c r="C12" s="309"/>
      <c r="D12" s="309"/>
      <c r="E12" s="309"/>
      <c r="F12" s="309"/>
      <c r="G12" s="309"/>
      <c r="H12" s="309"/>
      <c r="I12" s="309"/>
      <c r="J12" s="1006"/>
      <c r="K12" s="1004"/>
    </row>
    <row r="13" spans="2:11" ht="14" customHeight="1" thickTop="1" thickBot="1" x14ac:dyDescent="0.2">
      <c r="B13" s="1322" t="str">
        <f>'État des Résultats'!C23</f>
        <v xml:space="preserve">   « Prime Cost »</v>
      </c>
      <c r="C13" s="1329"/>
      <c r="D13" s="1329"/>
      <c r="E13" s="1329"/>
      <c r="F13" s="1329"/>
      <c r="G13" s="1329"/>
      <c r="H13" s="1329"/>
      <c r="I13" s="1329"/>
      <c r="J13" s="1329"/>
      <c r="K13" s="1330"/>
    </row>
    <row r="14" spans="2:11" ht="17" thickTop="1" x14ac:dyDescent="0.2">
      <c r="B14" s="309"/>
      <c r="C14" s="1007"/>
      <c r="D14" s="309"/>
      <c r="E14" s="309"/>
      <c r="F14" s="309"/>
      <c r="G14" s="309"/>
      <c r="H14" s="1007"/>
      <c r="I14" s="1007"/>
      <c r="J14" s="1006"/>
      <c r="K14" s="1004"/>
    </row>
    <row r="15" spans="2:11" ht="16" x14ac:dyDescent="0.2">
      <c r="B15" s="309">
        <v>5000</v>
      </c>
      <c r="C15" s="309" t="str">
        <f>'État des Résultats'!C16</f>
        <v>Coût des produits vendus</v>
      </c>
      <c r="D15" s="309"/>
      <c r="E15" s="309"/>
      <c r="F15" s="309"/>
      <c r="G15" s="309"/>
      <c r="H15" s="309"/>
      <c r="I15" s="309"/>
      <c r="J15" s="1008">
        <v>1</v>
      </c>
      <c r="K15" s="1004"/>
    </row>
    <row r="16" spans="2:11" ht="16" x14ac:dyDescent="0.2">
      <c r="B16" s="309">
        <v>6000</v>
      </c>
      <c r="C16" s="309" t="str">
        <f>'État des Résultats'!C21</f>
        <v xml:space="preserve">   Total des coûts de la main-d’œuvre</v>
      </c>
      <c r="D16" s="309"/>
      <c r="E16" s="309"/>
      <c r="F16" s="309"/>
      <c r="G16" s="309"/>
      <c r="H16" s="309"/>
      <c r="I16" s="309"/>
      <c r="J16" s="1008">
        <v>1</v>
      </c>
      <c r="K16" s="1004"/>
    </row>
    <row r="17" spans="2:11" ht="19" x14ac:dyDescent="0.35">
      <c r="B17" s="309"/>
      <c r="C17" s="309"/>
      <c r="D17" s="309"/>
      <c r="E17" s="309"/>
      <c r="F17" s="309"/>
      <c r="G17" s="309"/>
      <c r="H17" s="309"/>
      <c r="I17" s="309"/>
      <c r="J17" s="1009">
        <f>+J15+J16</f>
        <v>2</v>
      </c>
      <c r="K17" s="1004"/>
    </row>
    <row r="18" spans="2:11" ht="17" thickBot="1" x14ac:dyDescent="0.25">
      <c r="B18" s="309"/>
      <c r="C18" s="309"/>
      <c r="D18" s="309"/>
      <c r="E18" s="309"/>
      <c r="F18" s="309"/>
      <c r="G18" s="309"/>
      <c r="H18" s="309"/>
      <c r="I18" s="309"/>
      <c r="J18" s="1006"/>
      <c r="K18" s="1004"/>
    </row>
    <row r="19" spans="2:11" ht="14" customHeight="1" thickTop="1" thickBot="1" x14ac:dyDescent="0.2">
      <c r="B19" s="1322" t="str">
        <f>'État des Résultats'!C34</f>
        <v xml:space="preserve">   Total des coûts d’exploitation</v>
      </c>
      <c r="C19" s="1332"/>
      <c r="D19" s="1332"/>
      <c r="E19" s="1332"/>
      <c r="F19" s="1332"/>
      <c r="G19" s="1332"/>
      <c r="H19" s="1332"/>
      <c r="I19" s="1332"/>
      <c r="J19" s="1332"/>
      <c r="K19" s="1333"/>
    </row>
    <row r="20" spans="2:11" ht="17" thickTop="1" x14ac:dyDescent="0.2">
      <c r="B20" s="309"/>
      <c r="C20" s="309"/>
      <c r="D20" s="309"/>
      <c r="E20" s="309"/>
      <c r="F20" s="309"/>
      <c r="G20" s="309"/>
      <c r="H20" s="309"/>
      <c r="I20" s="309"/>
      <c r="J20" s="1006"/>
      <c r="K20" s="1004"/>
    </row>
    <row r="21" spans="2:11" ht="16" x14ac:dyDescent="0.2">
      <c r="B21" s="309">
        <v>7300</v>
      </c>
      <c r="C21" s="309" t="str">
        <f>'État des Résultats'!C27</f>
        <v xml:space="preserve"> Coût d’occupation </v>
      </c>
      <c r="D21" s="309"/>
      <c r="E21" s="309"/>
      <c r="F21" s="309"/>
      <c r="G21" s="309"/>
      <c r="H21" s="309"/>
      <c r="I21" s="309"/>
      <c r="J21" s="1008">
        <v>1</v>
      </c>
      <c r="K21" s="1004"/>
    </row>
    <row r="22" spans="2:11" ht="16" x14ac:dyDescent="0.2">
      <c r="B22" s="309">
        <v>7400</v>
      </c>
      <c r="C22" s="309" t="str">
        <f>'État des Résultats'!C28</f>
        <v xml:space="preserve"> Coût direct d’exploitation </v>
      </c>
      <c r="D22" s="309"/>
      <c r="E22" s="309"/>
      <c r="F22" s="309"/>
      <c r="G22" s="309"/>
      <c r="H22" s="309"/>
      <c r="I22" s="309"/>
      <c r="J22" s="1008">
        <v>1</v>
      </c>
      <c r="K22" s="1004"/>
    </row>
    <row r="23" spans="2:11" ht="16" x14ac:dyDescent="0.2">
      <c r="B23" s="309">
        <v>7500</v>
      </c>
      <c r="C23" s="309" t="str">
        <f>'État des Résultats'!C29</f>
        <v xml:space="preserve"> Musique &amp; Divertissement </v>
      </c>
      <c r="D23" s="309"/>
      <c r="E23" s="309"/>
      <c r="F23" s="309"/>
      <c r="G23" s="309"/>
      <c r="H23" s="309"/>
      <c r="I23" s="309"/>
      <c r="J23" s="1008">
        <v>1</v>
      </c>
      <c r="K23" s="1004"/>
    </row>
    <row r="24" spans="2:11" ht="16" x14ac:dyDescent="0.2">
      <c r="B24" s="309">
        <v>7600</v>
      </c>
      <c r="C24" s="309" t="str">
        <f>'État des Résultats'!C30</f>
        <v xml:space="preserve"> Marketing &amp; Communication marketing</v>
      </c>
      <c r="D24" s="309"/>
      <c r="E24" s="309"/>
      <c r="F24" s="309"/>
      <c r="G24" s="309"/>
      <c r="H24" s="309"/>
      <c r="I24" s="309"/>
      <c r="J24" s="1008">
        <v>1</v>
      </c>
      <c r="K24" s="1004"/>
    </row>
    <row r="25" spans="2:11" ht="16" x14ac:dyDescent="0.2">
      <c r="B25" s="309">
        <v>7700</v>
      </c>
      <c r="C25" s="309" t="str">
        <f>'État des Résultats'!C31</f>
        <v xml:space="preserve"> Services publics </v>
      </c>
      <c r="D25" s="309"/>
      <c r="E25" s="309"/>
      <c r="F25" s="309"/>
      <c r="G25" s="309"/>
      <c r="H25" s="309"/>
      <c r="I25" s="309"/>
      <c r="J25" s="1008">
        <v>1</v>
      </c>
      <c r="K25" s="1004"/>
    </row>
    <row r="26" spans="2:11" ht="16" x14ac:dyDescent="0.2">
      <c r="B26" s="309">
        <v>7800</v>
      </c>
      <c r="C26" s="309" t="str">
        <f>'État des Résultats'!C32</f>
        <v xml:space="preserve"> Administration &amp; Frais généraux </v>
      </c>
      <c r="D26" s="309"/>
      <c r="E26" s="309"/>
      <c r="F26" s="309"/>
      <c r="G26" s="309"/>
      <c r="H26" s="309"/>
      <c r="I26" s="309"/>
      <c r="J26" s="1008">
        <v>1</v>
      </c>
      <c r="K26" s="1004"/>
    </row>
    <row r="27" spans="2:11" ht="16" x14ac:dyDescent="0.2">
      <c r="B27" s="309">
        <v>7900</v>
      </c>
      <c r="C27" s="309" t="str">
        <f>'État des Résultats'!C33</f>
        <v xml:space="preserve"> Entretien &amp; Réparations </v>
      </c>
      <c r="D27" s="309"/>
      <c r="E27" s="309"/>
      <c r="F27" s="309"/>
      <c r="G27" s="309"/>
      <c r="H27" s="309"/>
      <c r="I27" s="309"/>
      <c r="J27" s="1008">
        <v>1</v>
      </c>
      <c r="K27" s="1004"/>
    </row>
    <row r="28" spans="2:11" ht="19" x14ac:dyDescent="0.35">
      <c r="B28" s="309"/>
      <c r="C28" s="866" t="str">
        <f>'État des Résultats'!C34</f>
        <v xml:space="preserve">   Total des coûts d’exploitation</v>
      </c>
      <c r="D28" s="309"/>
      <c r="E28" s="309"/>
      <c r="F28" s="309"/>
      <c r="G28" s="309"/>
      <c r="H28" s="309"/>
      <c r="I28" s="309"/>
      <c r="J28" s="1009">
        <f>+SUM(J21:J27)</f>
        <v>7</v>
      </c>
      <c r="K28" s="1004"/>
    </row>
    <row r="29" spans="2:11" ht="17" thickBot="1" x14ac:dyDescent="0.25">
      <c r="B29" s="309"/>
      <c r="C29" s="309"/>
      <c r="D29" s="309"/>
      <c r="E29" s="309"/>
      <c r="F29" s="309"/>
      <c r="G29" s="309"/>
      <c r="H29" s="309"/>
      <c r="I29" s="309"/>
      <c r="J29" s="1006"/>
      <c r="K29" s="1004"/>
    </row>
    <row r="30" spans="2:11" ht="18" thickTop="1" thickBot="1" x14ac:dyDescent="0.25">
      <c r="B30" s="1322" t="s">
        <v>426</v>
      </c>
      <c r="C30" s="1323"/>
      <c r="D30" s="1323"/>
      <c r="E30" s="1323"/>
      <c r="F30" s="1323"/>
      <c r="G30" s="1323"/>
      <c r="H30" s="1323"/>
      <c r="I30" s="1323"/>
      <c r="J30" s="1323"/>
      <c r="K30" s="1324"/>
    </row>
    <row r="31" spans="2:11" ht="17" thickTop="1" x14ac:dyDescent="0.2">
      <c r="B31" s="309"/>
      <c r="C31" s="309"/>
      <c r="D31" s="309"/>
      <c r="E31" s="309"/>
      <c r="F31" s="309"/>
      <c r="G31" s="309"/>
      <c r="H31" s="309"/>
      <c r="I31" s="309"/>
      <c r="J31" s="1006"/>
      <c r="K31" s="1004"/>
    </row>
    <row r="32" spans="2:11" ht="16" x14ac:dyDescent="0.2">
      <c r="B32" s="309">
        <v>8100</v>
      </c>
      <c r="C32" s="309" t="str">
        <f>'État des Résultats'!C38</f>
        <v xml:space="preserve"> Frais financiers</v>
      </c>
      <c r="D32" s="309"/>
      <c r="E32" s="309"/>
      <c r="F32" s="309"/>
      <c r="G32" s="309"/>
      <c r="H32" s="309"/>
      <c r="I32" s="309"/>
      <c r="J32" s="1008">
        <v>1</v>
      </c>
      <c r="K32" s="1004"/>
    </row>
    <row r="33" spans="2:11" ht="16" x14ac:dyDescent="0.2">
      <c r="B33" s="309">
        <v>8500</v>
      </c>
      <c r="C33" s="309" t="str">
        <f>'État des Résultats'!C39</f>
        <v xml:space="preserve"> Amortissement</v>
      </c>
      <c r="D33" s="309"/>
      <c r="E33" s="309"/>
      <c r="F33" s="309"/>
      <c r="G33" s="309"/>
      <c r="H33" s="309"/>
      <c r="I33" s="309"/>
      <c r="J33" s="1008">
        <v>1</v>
      </c>
      <c r="K33" s="1004"/>
    </row>
    <row r="34" spans="2:11" ht="19" x14ac:dyDescent="0.35">
      <c r="B34" s="309"/>
      <c r="C34" s="866" t="str">
        <f>+B30</f>
        <v>Total des frais financiers et amortissement</v>
      </c>
      <c r="D34" s="309"/>
      <c r="E34" s="309"/>
      <c r="F34" s="309"/>
      <c r="G34" s="309"/>
      <c r="H34" s="309"/>
      <c r="I34" s="309"/>
      <c r="J34" s="1009">
        <f>+J32+J33</f>
        <v>2</v>
      </c>
      <c r="K34" s="1004"/>
    </row>
    <row r="35" spans="2:11" ht="20" thickBot="1" x14ac:dyDescent="0.4">
      <c r="B35" s="309"/>
      <c r="C35" s="866"/>
      <c r="D35" s="309"/>
      <c r="E35" s="309"/>
      <c r="F35" s="309"/>
      <c r="G35" s="309"/>
      <c r="H35" s="309"/>
      <c r="I35" s="309"/>
      <c r="J35" s="1010"/>
      <c r="K35" s="1004"/>
    </row>
    <row r="36" spans="2:11" ht="18" thickTop="1" thickBot="1" x14ac:dyDescent="0.2">
      <c r="B36" s="1334" t="str">
        <f>'État des Résultats'!C43</f>
        <v xml:space="preserve"> Impôts </v>
      </c>
      <c r="C36" s="1335"/>
      <c r="D36" s="1335"/>
      <c r="E36" s="1335"/>
      <c r="F36" s="1335"/>
      <c r="G36" s="1335"/>
      <c r="H36" s="1335"/>
      <c r="I36" s="1335"/>
      <c r="J36" s="1335"/>
      <c r="K36" s="1336"/>
    </row>
    <row r="37" spans="2:11" ht="20" thickTop="1" x14ac:dyDescent="0.35">
      <c r="B37" s="309"/>
      <c r="C37" s="866"/>
      <c r="D37" s="309"/>
      <c r="E37" s="309"/>
      <c r="F37" s="309"/>
      <c r="G37" s="309"/>
      <c r="H37" s="309"/>
      <c r="I37" s="309"/>
      <c r="J37" s="1010"/>
      <c r="K37" s="1004"/>
    </row>
    <row r="38" spans="2:11" ht="19" x14ac:dyDescent="0.35">
      <c r="B38" s="309">
        <v>9000</v>
      </c>
      <c r="C38" s="866" t="str">
        <f>'État des Résultats'!C43</f>
        <v xml:space="preserve"> Impôts </v>
      </c>
      <c r="D38" s="309"/>
      <c r="E38" s="309"/>
      <c r="F38" s="309"/>
      <c r="G38" s="309"/>
      <c r="H38" s="309"/>
      <c r="I38" s="309"/>
      <c r="J38" s="1011">
        <v>1</v>
      </c>
      <c r="K38" s="1004"/>
    </row>
    <row r="39" spans="2:11" ht="17" thickBot="1" x14ac:dyDescent="0.25">
      <c r="B39" s="309"/>
      <c r="C39" s="309"/>
      <c r="D39" s="309"/>
      <c r="E39" s="309"/>
      <c r="F39" s="309"/>
      <c r="G39" s="309"/>
      <c r="H39" s="309"/>
      <c r="I39" s="309"/>
      <c r="J39" s="309"/>
      <c r="K39" s="309"/>
    </row>
    <row r="40" spans="2:11" ht="18" thickTop="1" thickBot="1" x14ac:dyDescent="0.25">
      <c r="B40" s="1322" t="s">
        <v>427</v>
      </c>
      <c r="C40" s="1337"/>
      <c r="D40" s="1337"/>
      <c r="E40" s="1337"/>
      <c r="F40" s="1337"/>
      <c r="G40" s="1337"/>
      <c r="H40" s="1337"/>
      <c r="I40" s="1337"/>
      <c r="J40" s="1337"/>
      <c r="K40" s="1338"/>
    </row>
    <row r="41" spans="2:11" ht="17" thickTop="1" x14ac:dyDescent="0.2">
      <c r="B41" s="309"/>
      <c r="C41" s="309" t="s">
        <v>2</v>
      </c>
      <c r="D41" s="309"/>
      <c r="E41" s="309"/>
      <c r="F41" s="309"/>
      <c r="G41" s="309"/>
      <c r="H41" s="309"/>
      <c r="I41" s="309"/>
      <c r="J41" s="1006"/>
      <c r="K41" s="1004"/>
    </row>
    <row r="42" spans="2:11" ht="19" x14ac:dyDescent="0.35">
      <c r="B42" s="309"/>
      <c r="C42" s="1313" t="s">
        <v>428</v>
      </c>
      <c r="D42" s="1313"/>
      <c r="E42" s="1313"/>
      <c r="F42" s="1313"/>
      <c r="G42" s="1313"/>
      <c r="H42" s="1313"/>
      <c r="I42" s="1313"/>
      <c r="J42" s="1009">
        <f>+J11-(J17+J28+J34+J38)</f>
        <v>-8</v>
      </c>
      <c r="K42" s="1012" t="s">
        <v>429</v>
      </c>
    </row>
    <row r="43" spans="2:11" ht="16" x14ac:dyDescent="0.2">
      <c r="B43" s="309"/>
      <c r="C43" s="309"/>
      <c r="D43" s="309"/>
      <c r="E43" s="309"/>
      <c r="F43" s="309"/>
      <c r="G43" s="309"/>
      <c r="H43" s="309"/>
      <c r="I43" s="309"/>
      <c r="J43" s="1013"/>
      <c r="K43" s="1004"/>
    </row>
    <row r="44" spans="2:11" ht="16" x14ac:dyDescent="0.2">
      <c r="B44" s="309"/>
      <c r="C44" s="309" t="str">
        <f>'[1]État des Résultats'!C41</f>
        <v xml:space="preserve"> Amortissements </v>
      </c>
      <c r="D44" s="309"/>
      <c r="E44" s="309"/>
      <c r="F44" s="309"/>
      <c r="G44" s="309"/>
      <c r="H44" s="309"/>
      <c r="I44" s="1014" t="s">
        <v>2</v>
      </c>
      <c r="J44" s="1015">
        <v>1</v>
      </c>
      <c r="K44" s="1012" t="s">
        <v>429</v>
      </c>
    </row>
    <row r="45" spans="2:11" ht="16" x14ac:dyDescent="0.2">
      <c r="B45" s="309"/>
      <c r="C45" s="309" t="s">
        <v>2</v>
      </c>
      <c r="D45" s="309"/>
      <c r="E45" s="309"/>
      <c r="F45" s="309"/>
      <c r="G45" s="309"/>
      <c r="H45" s="309" t="s">
        <v>2</v>
      </c>
      <c r="I45" s="1014" t="s">
        <v>2</v>
      </c>
      <c r="J45" s="1016" t="s">
        <v>2</v>
      </c>
      <c r="K45" s="1004"/>
    </row>
    <row r="46" spans="2:11" ht="19" x14ac:dyDescent="0.35">
      <c r="B46" s="309"/>
      <c r="C46" s="1325" t="s">
        <v>430</v>
      </c>
      <c r="D46" s="1325"/>
      <c r="E46" s="1325"/>
      <c r="F46" s="1325"/>
      <c r="G46" s="1325"/>
      <c r="H46" s="1325"/>
      <c r="I46" s="1325"/>
      <c r="J46" s="1009">
        <f>+J42+J44</f>
        <v>-7</v>
      </c>
      <c r="K46" s="1012" t="s">
        <v>429</v>
      </c>
    </row>
    <row r="47" spans="2:11" ht="16" x14ac:dyDescent="0.2">
      <c r="B47" s="309"/>
      <c r="C47" s="309" t="s">
        <v>2</v>
      </c>
      <c r="D47" s="309"/>
      <c r="E47" s="309"/>
      <c r="F47" s="309"/>
      <c r="G47" s="309"/>
      <c r="H47" s="309"/>
      <c r="I47" s="1014"/>
      <c r="J47" s="1006"/>
      <c r="K47" s="1004"/>
    </row>
    <row r="48" spans="2:11" ht="19" x14ac:dyDescent="0.3">
      <c r="B48" s="1025">
        <v>1000</v>
      </c>
      <c r="C48" s="998" t="str">
        <f>'Bilan début-fin'!C12</f>
        <v>Actif courant</v>
      </c>
      <c r="D48" s="990"/>
      <c r="E48" s="990"/>
      <c r="F48" s="990"/>
      <c r="G48" s="999" t="s">
        <v>431</v>
      </c>
      <c r="H48" s="999" t="s">
        <v>432</v>
      </c>
      <c r="I48" s="999" t="s">
        <v>433</v>
      </c>
      <c r="J48" s="992"/>
      <c r="K48" s="1004"/>
    </row>
    <row r="49" spans="2:11" ht="16" x14ac:dyDescent="0.2">
      <c r="B49" s="309"/>
      <c r="C49" s="990"/>
      <c r="D49" s="990"/>
      <c r="E49" s="990"/>
      <c r="F49" s="990"/>
      <c r="G49" s="990"/>
      <c r="H49" s="990"/>
      <c r="I49" s="990"/>
      <c r="J49" s="992"/>
      <c r="K49" s="1004"/>
    </row>
    <row r="50" spans="2:11" ht="16" x14ac:dyDescent="0.2">
      <c r="B50" s="309">
        <v>1100</v>
      </c>
      <c r="C50" s="990" t="str">
        <f>'Bilan début-fin'!C15</f>
        <v xml:space="preserve"> Clients et autres débiteurs</v>
      </c>
      <c r="D50" s="990"/>
      <c r="E50" s="990"/>
      <c r="F50" s="990"/>
      <c r="G50" s="993">
        <f>'Bilan début-fin'!E15</f>
        <v>0</v>
      </c>
      <c r="H50" s="993">
        <f>'Bilan début-fin'!J15</f>
        <v>0</v>
      </c>
      <c r="I50" s="1000">
        <v>1</v>
      </c>
      <c r="J50" s="992"/>
      <c r="K50" s="1004"/>
    </row>
    <row r="51" spans="2:11" ht="16" x14ac:dyDescent="0.2">
      <c r="B51" s="309">
        <v>1200</v>
      </c>
      <c r="C51" s="990" t="str">
        <f>'Bilan début-fin'!C16</f>
        <v xml:space="preserve"> Stocks</v>
      </c>
      <c r="D51" s="990"/>
      <c r="E51" s="990"/>
      <c r="F51" s="990"/>
      <c r="G51" s="993">
        <f>'Bilan début-fin'!E16</f>
        <v>8000</v>
      </c>
      <c r="H51" s="993">
        <f>'Bilan début-fin'!J16</f>
        <v>11372.849999999999</v>
      </c>
      <c r="I51" s="1000">
        <v>1</v>
      </c>
      <c r="J51" s="992"/>
      <c r="K51" s="1004"/>
    </row>
    <row r="52" spans="2:11" ht="16" x14ac:dyDescent="0.2">
      <c r="B52" s="309">
        <v>1300</v>
      </c>
      <c r="C52" s="990" t="str">
        <f>'Bilan début-fin'!C17</f>
        <v xml:space="preserve"> Autres actifs courants</v>
      </c>
      <c r="D52" s="990"/>
      <c r="E52" s="990"/>
      <c r="F52" s="990"/>
      <c r="G52" s="993">
        <f>'Bilan début-fin'!E17</f>
        <v>0</v>
      </c>
      <c r="H52" s="993">
        <f>'Bilan début-fin'!J17</f>
        <v>0</v>
      </c>
      <c r="I52" s="1000">
        <v>1</v>
      </c>
      <c r="J52" s="992"/>
      <c r="K52" s="1004"/>
    </row>
    <row r="53" spans="2:11" ht="19" x14ac:dyDescent="0.35">
      <c r="B53" s="309"/>
      <c r="C53" s="990"/>
      <c r="D53" s="990"/>
      <c r="E53" s="990"/>
      <c r="F53" s="990"/>
      <c r="G53" s="996">
        <f>+SUM(G50:G52)</f>
        <v>8000</v>
      </c>
      <c r="H53" s="996">
        <f>+SUM(H50:H52)</f>
        <v>11372.849999999999</v>
      </c>
      <c r="I53" s="1001">
        <f>+SUM(I50:I52)</f>
        <v>3</v>
      </c>
      <c r="J53" s="1026" t="s">
        <v>2</v>
      </c>
      <c r="K53" s="1027" t="s">
        <v>434</v>
      </c>
    </row>
    <row r="54" spans="2:11" ht="16" x14ac:dyDescent="0.2">
      <c r="B54" s="309"/>
      <c r="C54" s="990"/>
      <c r="D54" s="990"/>
      <c r="E54" s="990"/>
      <c r="F54" s="990"/>
      <c r="G54" s="1028"/>
      <c r="H54" s="1028"/>
      <c r="I54" s="1028"/>
      <c r="J54" s="1028"/>
      <c r="K54" s="1029"/>
    </row>
    <row r="55" spans="2:11" ht="20" x14ac:dyDescent="0.35">
      <c r="B55" s="1025">
        <v>2000</v>
      </c>
      <c r="C55" s="989" t="str">
        <f>'Bilan début-fin'!C34</f>
        <v>Passif courant</v>
      </c>
      <c r="D55" s="990"/>
      <c r="E55" s="990"/>
      <c r="F55" s="990"/>
      <c r="G55" s="991" t="s">
        <v>431</v>
      </c>
      <c r="H55" s="991" t="s">
        <v>432</v>
      </c>
      <c r="I55" s="991" t="s">
        <v>433</v>
      </c>
      <c r="J55" s="992"/>
      <c r="K55" s="1004"/>
    </row>
    <row r="56" spans="2:11" ht="16" x14ac:dyDescent="0.2">
      <c r="B56" s="309"/>
      <c r="C56" s="990"/>
      <c r="D56" s="990"/>
      <c r="E56" s="990"/>
      <c r="F56" s="990"/>
      <c r="G56" s="992"/>
      <c r="H56" s="992"/>
      <c r="I56" s="992"/>
      <c r="J56" s="992"/>
      <c r="K56" s="1004"/>
    </row>
    <row r="57" spans="2:11" ht="16" x14ac:dyDescent="0.2">
      <c r="B57" s="309">
        <v>2100</v>
      </c>
      <c r="C57" s="990" t="str">
        <f>'Bilan début-fin'!C36</f>
        <v xml:space="preserve"> Découverts bancaires</v>
      </c>
      <c r="D57" s="990"/>
      <c r="E57" s="990"/>
      <c r="F57" s="990"/>
      <c r="G57" s="993">
        <f>'Bilan début-fin'!E36</f>
        <v>0</v>
      </c>
      <c r="H57" s="993">
        <f>'Bilan début-fin'!J36</f>
        <v>0</v>
      </c>
      <c r="I57" s="994">
        <v>1</v>
      </c>
      <c r="J57" s="992"/>
      <c r="K57" s="1004"/>
    </row>
    <row r="58" spans="2:11" ht="16" x14ac:dyDescent="0.2">
      <c r="B58" s="309">
        <v>2110</v>
      </c>
      <c r="C58" s="990" t="str">
        <f>'Bilan début-fin'!C37</f>
        <v xml:space="preserve"> Emprunts bancaires</v>
      </c>
      <c r="D58" s="990"/>
      <c r="E58" s="990"/>
      <c r="F58" s="990"/>
      <c r="G58" s="993">
        <f>'Bilan début-fin'!E37</f>
        <v>0</v>
      </c>
      <c r="H58" s="993">
        <f>'Bilan début-fin'!J37</f>
        <v>0</v>
      </c>
      <c r="I58" s="994">
        <v>1</v>
      </c>
      <c r="J58" s="992"/>
      <c r="K58" s="1004"/>
    </row>
    <row r="59" spans="2:11" ht="16" x14ac:dyDescent="0.2">
      <c r="B59" s="309">
        <v>2200</v>
      </c>
      <c r="C59" s="990" t="str">
        <f>'Bilan début-fin'!C38</f>
        <v xml:space="preserve"> Fournisseurs et autres créditeurs </v>
      </c>
      <c r="D59" s="990"/>
      <c r="E59" s="990"/>
      <c r="F59" s="990"/>
      <c r="G59" s="993">
        <f>'Bilan début-fin'!E38</f>
        <v>0</v>
      </c>
      <c r="H59" s="993">
        <f>'Bilan début-fin'!J38</f>
        <v>12888.546766666666</v>
      </c>
      <c r="I59" s="994">
        <v>1</v>
      </c>
      <c r="J59" s="992"/>
      <c r="K59" s="1004"/>
    </row>
    <row r="60" spans="2:11" ht="16" x14ac:dyDescent="0.2">
      <c r="B60" s="309">
        <v>2300</v>
      </c>
      <c r="C60" s="990" t="str">
        <f>'Bilan début-fin'!C39</f>
        <v xml:space="preserve"> Produits différés</v>
      </c>
      <c r="D60" s="990"/>
      <c r="E60" s="990"/>
      <c r="F60" s="990"/>
      <c r="G60" s="993">
        <f>'Bilan début-fin'!E39</f>
        <v>0</v>
      </c>
      <c r="H60" s="993">
        <f>'Bilan début-fin'!J39</f>
        <v>0</v>
      </c>
      <c r="I60" s="994">
        <v>1</v>
      </c>
      <c r="J60" s="992"/>
      <c r="K60" s="1004"/>
    </row>
    <row r="61" spans="2:11" ht="16" x14ac:dyDescent="0.2">
      <c r="B61" s="309">
        <v>2400</v>
      </c>
      <c r="C61" s="990" t="str">
        <f>'Bilan début-fin'!C40</f>
        <v xml:space="preserve"> Provisions pour risques et charges</v>
      </c>
      <c r="D61" s="990"/>
      <c r="E61" s="990"/>
      <c r="F61" s="990"/>
      <c r="G61" s="993">
        <f>'Bilan début-fin'!E40</f>
        <v>0</v>
      </c>
      <c r="H61" s="993">
        <f>'Bilan début-fin'!J40</f>
        <v>0</v>
      </c>
      <c r="I61" s="994">
        <v>1</v>
      </c>
      <c r="J61" s="992"/>
      <c r="K61" s="1004"/>
    </row>
    <row r="62" spans="2:11" ht="16" x14ac:dyDescent="0.2">
      <c r="B62" s="309">
        <v>2500</v>
      </c>
      <c r="C62" s="990" t="str">
        <f>'Bilan début-fin'!C41</f>
        <v xml:space="preserve"> Partie courante de la dette</v>
      </c>
      <c r="D62" s="990"/>
      <c r="E62" s="990"/>
      <c r="F62" s="990"/>
      <c r="G62" s="993">
        <f>'Bilan début-fin'!E41</f>
        <v>0</v>
      </c>
      <c r="H62" s="993">
        <f>'Bilan début-fin'!J41</f>
        <v>0</v>
      </c>
      <c r="I62" s="994">
        <v>1</v>
      </c>
      <c r="J62" s="992"/>
      <c r="K62" s="1004"/>
    </row>
    <row r="63" spans="2:11" ht="19" x14ac:dyDescent="0.35">
      <c r="B63" s="309"/>
      <c r="C63" s="990"/>
      <c r="D63" s="990"/>
      <c r="E63" s="990"/>
      <c r="F63" s="990"/>
      <c r="G63" s="995">
        <f>+SUM(G58:G62)</f>
        <v>0</v>
      </c>
      <c r="H63" s="996">
        <f>+SUM(H58:H62)</f>
        <v>12888.546766666666</v>
      </c>
      <c r="I63" s="997">
        <f>+(SUM(I57:I62))</f>
        <v>6</v>
      </c>
      <c r="J63" s="1030" t="s">
        <v>2</v>
      </c>
      <c r="K63" s="1012" t="s">
        <v>429</v>
      </c>
    </row>
    <row r="64" spans="2:11" ht="19" x14ac:dyDescent="0.3">
      <c r="B64" s="1025" t="s">
        <v>2</v>
      </c>
      <c r="C64" s="989" t="s">
        <v>2</v>
      </c>
      <c r="D64" s="990"/>
      <c r="E64" s="990"/>
      <c r="F64" s="990"/>
      <c r="G64" s="992"/>
      <c r="H64" s="992"/>
      <c r="I64" s="992"/>
      <c r="J64" s="992"/>
      <c r="K64" s="1004"/>
    </row>
    <row r="65" spans="2:11" ht="19" x14ac:dyDescent="0.35">
      <c r="B65" s="309"/>
      <c r="C65" s="990"/>
      <c r="D65" s="990"/>
      <c r="E65" s="990"/>
      <c r="F65" s="990"/>
      <c r="G65" s="1031"/>
      <c r="H65" s="1032"/>
      <c r="I65" s="1032"/>
      <c r="J65" s="1030"/>
      <c r="K65" s="1004"/>
    </row>
    <row r="66" spans="2:11" ht="19" x14ac:dyDescent="0.35">
      <c r="B66" s="309"/>
      <c r="C66" s="1314" t="s">
        <v>435</v>
      </c>
      <c r="D66" s="1314"/>
      <c r="E66" s="1314"/>
      <c r="F66" s="1314"/>
      <c r="G66" s="1314"/>
      <c r="H66" s="1314"/>
      <c r="I66" s="1314"/>
      <c r="J66" s="1033">
        <f>+I53+I63</f>
        <v>9</v>
      </c>
      <c r="K66" s="1012" t="s">
        <v>429</v>
      </c>
    </row>
    <row r="67" spans="2:11" ht="20" thickBot="1" x14ac:dyDescent="0.4">
      <c r="B67" s="309"/>
      <c r="C67" s="1034"/>
      <c r="D67" s="1034"/>
      <c r="E67" s="1034"/>
      <c r="F67" s="1034"/>
      <c r="G67" s="1034"/>
      <c r="H67" s="1034"/>
      <c r="I67" s="1034"/>
      <c r="J67" s="1010"/>
      <c r="K67" s="1004"/>
    </row>
    <row r="68" spans="2:11" ht="21" thickTop="1" thickBot="1" x14ac:dyDescent="0.4">
      <c r="B68" s="1035"/>
      <c r="C68" s="1315" t="s">
        <v>436</v>
      </c>
      <c r="D68" s="1316"/>
      <c r="E68" s="1316"/>
      <c r="F68" s="1316"/>
      <c r="G68" s="1316"/>
      <c r="H68" s="1316"/>
      <c r="I68" s="1316"/>
      <c r="J68" s="1036">
        <f>+J46+J66</f>
        <v>2</v>
      </c>
      <c r="K68" s="1037" t="s">
        <v>429</v>
      </c>
    </row>
    <row r="69" spans="2:11" ht="18" thickTop="1" thickBot="1" x14ac:dyDescent="0.25">
      <c r="B69" s="309"/>
      <c r="C69" s="309"/>
      <c r="D69" s="309"/>
      <c r="E69" s="309"/>
      <c r="F69" s="309"/>
      <c r="G69" s="1006"/>
      <c r="H69" s="1006"/>
      <c r="I69" s="1006"/>
      <c r="J69" s="1006"/>
      <c r="K69" s="1004"/>
    </row>
    <row r="70" spans="2:11" ht="18" thickTop="1" thickBot="1" x14ac:dyDescent="0.25">
      <c r="B70" s="1317" t="s">
        <v>437</v>
      </c>
      <c r="C70" s="1318"/>
      <c r="D70" s="1318"/>
      <c r="E70" s="1318"/>
      <c r="F70" s="1318"/>
      <c r="G70" s="1318"/>
      <c r="H70" s="1318"/>
      <c r="I70" s="1318"/>
      <c r="J70" s="1318"/>
      <c r="K70" s="1319"/>
    </row>
    <row r="71" spans="2:11" ht="17" thickTop="1" x14ac:dyDescent="0.2">
      <c r="B71" s="309"/>
      <c r="C71" s="309"/>
      <c r="D71" s="309"/>
      <c r="E71" s="309"/>
      <c r="F71" s="309"/>
      <c r="G71" s="1006"/>
      <c r="H71" s="1006"/>
      <c r="I71" s="1006"/>
      <c r="J71" s="1006"/>
      <c r="K71" s="1004"/>
    </row>
    <row r="72" spans="2:11" ht="20" x14ac:dyDescent="0.35">
      <c r="B72" s="1025">
        <v>2000</v>
      </c>
      <c r="C72" s="983" t="str">
        <f>'Bilan début-fin'!C45</f>
        <v>Passif non courant</v>
      </c>
      <c r="D72" s="984"/>
      <c r="E72" s="984"/>
      <c r="F72" s="984"/>
      <c r="G72" s="985" t="s">
        <v>431</v>
      </c>
      <c r="H72" s="985" t="s">
        <v>432</v>
      </c>
      <c r="I72" s="985" t="s">
        <v>433</v>
      </c>
      <c r="J72" s="309"/>
      <c r="K72" s="1004"/>
    </row>
    <row r="73" spans="2:11" ht="19" x14ac:dyDescent="0.3">
      <c r="B73" s="1025"/>
      <c r="C73" s="983"/>
      <c r="D73" s="984"/>
      <c r="E73" s="984"/>
      <c r="F73" s="984"/>
      <c r="G73" s="986"/>
      <c r="H73" s="986"/>
      <c r="I73" s="986"/>
      <c r="J73" s="309"/>
      <c r="K73" s="1004"/>
    </row>
    <row r="74" spans="2:11" ht="16" x14ac:dyDescent="0.2">
      <c r="B74" s="309">
        <v>2600</v>
      </c>
      <c r="C74" s="984" t="str">
        <f>'Bilan début-fin'!C47</f>
        <v xml:space="preserve"> Emprunts hypothécaires </v>
      </c>
      <c r="D74" s="984"/>
      <c r="E74" s="984"/>
      <c r="F74" s="984"/>
      <c r="G74" s="987">
        <f>'Bilan début-fin'!E47</f>
        <v>150000</v>
      </c>
      <c r="H74" s="987">
        <f>'Bilan début-fin'!J47</f>
        <v>135000</v>
      </c>
      <c r="I74" s="1017">
        <v>1</v>
      </c>
      <c r="J74" s="309"/>
      <c r="K74" s="1004"/>
    </row>
    <row r="75" spans="2:11" ht="16" x14ac:dyDescent="0.2">
      <c r="B75" s="309">
        <v>2700</v>
      </c>
      <c r="C75" s="984" t="str">
        <f>'Bilan début-fin'!C48</f>
        <v xml:space="preserve"> Emprunts obligataires</v>
      </c>
      <c r="D75" s="984"/>
      <c r="E75" s="984"/>
      <c r="F75" s="984"/>
      <c r="G75" s="987">
        <f>'Bilan début-fin'!E48</f>
        <v>0</v>
      </c>
      <c r="H75" s="987">
        <f>'Bilan début-fin'!J48</f>
        <v>0</v>
      </c>
      <c r="I75" s="1017">
        <v>1</v>
      </c>
      <c r="J75" s="309"/>
      <c r="K75" s="1004"/>
    </row>
    <row r="76" spans="2:11" ht="16" x14ac:dyDescent="0.2">
      <c r="B76" s="309">
        <v>2800</v>
      </c>
      <c r="C76" s="984" t="str">
        <f>'Bilan début-fin'!C49</f>
        <v xml:space="preserve"> Obligations découlant de contrats de location-financement</v>
      </c>
      <c r="D76" s="984"/>
      <c r="E76" s="984"/>
      <c r="F76" s="984"/>
      <c r="G76" s="987">
        <f>'Bilan début-fin'!E49</f>
        <v>0</v>
      </c>
      <c r="H76" s="987">
        <f>'Bilan début-fin'!J49</f>
        <v>0</v>
      </c>
      <c r="I76" s="1017">
        <v>1</v>
      </c>
      <c r="J76" s="309"/>
      <c r="K76" s="1004"/>
    </row>
    <row r="77" spans="2:11" ht="16" x14ac:dyDescent="0.2">
      <c r="B77" s="309">
        <v>2900</v>
      </c>
      <c r="C77" s="984" t="str">
        <f>'Bilan début-fin'!C50</f>
        <v xml:space="preserve"> Impôts différés</v>
      </c>
      <c r="D77" s="984"/>
      <c r="E77" s="984"/>
      <c r="F77" s="984"/>
      <c r="G77" s="987">
        <f>'Bilan début-fin'!E50</f>
        <v>0</v>
      </c>
      <c r="H77" s="987">
        <f>'Bilan début-fin'!J50</f>
        <v>0</v>
      </c>
      <c r="I77" s="1017">
        <v>1</v>
      </c>
      <c r="J77" s="309"/>
      <c r="K77" s="1004"/>
    </row>
    <row r="78" spans="2:11" ht="19" x14ac:dyDescent="0.35">
      <c r="B78" s="309" t="s">
        <v>2</v>
      </c>
      <c r="C78" s="984" t="s">
        <v>2</v>
      </c>
      <c r="D78" s="984"/>
      <c r="E78" s="984"/>
      <c r="F78" s="984"/>
      <c r="G78" s="988">
        <f>+SUM(G74:G77)</f>
        <v>150000</v>
      </c>
      <c r="H78" s="988">
        <f>+SUM(H74:H77)</f>
        <v>135000</v>
      </c>
      <c r="I78" s="1018">
        <f>+SUM(I74:I77)</f>
        <v>4</v>
      </c>
      <c r="J78" s="1014" t="s">
        <v>2</v>
      </c>
      <c r="K78" s="1012" t="s">
        <v>2</v>
      </c>
    </row>
    <row r="79" spans="2:11" ht="19" x14ac:dyDescent="0.35">
      <c r="B79" s="309" t="s">
        <v>2</v>
      </c>
      <c r="C79" s="309"/>
      <c r="D79" s="309"/>
      <c r="E79" s="309"/>
      <c r="F79" s="309"/>
      <c r="G79" s="1010"/>
      <c r="H79" s="1010"/>
      <c r="I79" s="1010"/>
      <c r="J79" s="1014"/>
      <c r="K79" s="1004"/>
    </row>
    <row r="80" spans="2:11" ht="20" x14ac:dyDescent="0.35">
      <c r="B80" s="1025">
        <v>3000</v>
      </c>
      <c r="C80" s="1022" t="str">
        <f>'Bilan début-fin'!C56</f>
        <v>CAPITAUX PROPRES</v>
      </c>
      <c r="D80" s="309"/>
      <c r="E80" s="309"/>
      <c r="F80" s="309"/>
      <c r="G80" s="1023" t="s">
        <v>431</v>
      </c>
      <c r="H80" s="1023" t="s">
        <v>432</v>
      </c>
      <c r="I80" s="1023" t="s">
        <v>433</v>
      </c>
      <c r="J80" s="309"/>
      <c r="K80" s="1004"/>
    </row>
    <row r="81" spans="2:11" ht="16" x14ac:dyDescent="0.2">
      <c r="B81" s="309"/>
      <c r="C81" s="309"/>
      <c r="D81" s="309"/>
      <c r="E81" s="309"/>
      <c r="F81" s="309"/>
      <c r="G81" s="1006"/>
      <c r="H81" s="1006"/>
      <c r="I81" s="1006"/>
      <c r="J81" s="309"/>
      <c r="K81" s="1004"/>
    </row>
    <row r="82" spans="2:11" ht="16" x14ac:dyDescent="0.2">
      <c r="B82" s="309">
        <v>3000</v>
      </c>
      <c r="C82" s="309" t="str">
        <f>'Bilan début-fin'!C58</f>
        <v xml:space="preserve"> Capital actions</v>
      </c>
      <c r="D82" s="309"/>
      <c r="E82" s="309"/>
      <c r="F82" s="309"/>
      <c r="G82" s="1013">
        <f>'Bilan début-fin'!E58</f>
        <v>75000</v>
      </c>
      <c r="H82" s="1013">
        <f>'Bilan début-fin'!J58</f>
        <v>75000</v>
      </c>
      <c r="I82" s="1008">
        <v>1</v>
      </c>
      <c r="J82" s="309"/>
      <c r="K82" s="1004"/>
    </row>
    <row r="83" spans="2:11" ht="16" x14ac:dyDescent="0.2">
      <c r="B83" s="309">
        <v>3100</v>
      </c>
      <c r="C83" s="309" t="str">
        <f>'Bilan début-fin'!C59</f>
        <v xml:space="preserve"> Surplus d’apports</v>
      </c>
      <c r="D83" s="309"/>
      <c r="E83" s="309"/>
      <c r="F83" s="309"/>
      <c r="G83" s="1013">
        <f>'Bilan début-fin'!E59</f>
        <v>0</v>
      </c>
      <c r="H83" s="1013">
        <f>'Bilan début-fin'!J59</f>
        <v>0</v>
      </c>
      <c r="I83" s="1008">
        <v>1</v>
      </c>
      <c r="J83" s="309"/>
      <c r="K83" s="1004"/>
    </row>
    <row r="84" spans="2:11" ht="16" x14ac:dyDescent="0.2">
      <c r="B84" s="1019">
        <v>3200</v>
      </c>
      <c r="C84" s="1019" t="str">
        <f>'Bilan début-fin'!C60</f>
        <v xml:space="preserve"> Résultats non distribués</v>
      </c>
      <c r="D84" s="1019"/>
      <c r="E84" s="1019"/>
      <c r="F84" s="1019"/>
      <c r="G84" s="1020">
        <f>'Bilan début-fin'!E60</f>
        <v>0</v>
      </c>
      <c r="H84" s="1020">
        <f>'Bilan début-fin'!J60</f>
        <v>1</v>
      </c>
      <c r="I84" s="1021">
        <f>H84-G84</f>
        <v>1</v>
      </c>
      <c r="J84" s="309"/>
      <c r="K84" s="1004"/>
    </row>
    <row r="85" spans="2:11" ht="16" x14ac:dyDescent="0.2">
      <c r="B85" s="309">
        <v>3300</v>
      </c>
      <c r="C85" s="309" t="str">
        <f>'Bilan début-fin'!C61</f>
        <v xml:space="preserve"> Cumul des autres éléments du résultat global</v>
      </c>
      <c r="D85" s="309"/>
      <c r="E85" s="309"/>
      <c r="F85" s="309"/>
      <c r="G85" s="1013">
        <f>'Bilan début-fin'!E61</f>
        <v>0</v>
      </c>
      <c r="H85" s="1013">
        <f>'Bilan début-fin'!J61</f>
        <v>0</v>
      </c>
      <c r="I85" s="1008">
        <v>1</v>
      </c>
      <c r="J85" s="309"/>
      <c r="K85" s="1004"/>
    </row>
    <row r="86" spans="2:11" ht="16" x14ac:dyDescent="0.2">
      <c r="B86" s="309">
        <v>3400</v>
      </c>
      <c r="C86" s="309" t="str">
        <f>'Bilan début-fin'!C62</f>
        <v xml:space="preserve"> Participation ne donnant pas le contrôle</v>
      </c>
      <c r="D86" s="309"/>
      <c r="E86" s="309"/>
      <c r="F86" s="309"/>
      <c r="G86" s="1013">
        <f>'Bilan début-fin'!E62</f>
        <v>0</v>
      </c>
      <c r="H86" s="1013">
        <f>'Bilan début-fin'!J62</f>
        <v>0</v>
      </c>
      <c r="I86" s="1008">
        <v>1</v>
      </c>
      <c r="J86" s="309"/>
      <c r="K86" s="1004"/>
    </row>
    <row r="87" spans="2:11" ht="19" x14ac:dyDescent="0.35">
      <c r="B87" s="309"/>
      <c r="C87" s="309"/>
      <c r="D87" s="309"/>
      <c r="E87" s="309"/>
      <c r="F87" s="309"/>
      <c r="G87" s="1009">
        <f>+G82+G83+G85+G86</f>
        <v>75000</v>
      </c>
      <c r="H87" s="1009">
        <f>+H82+H83+H85+H86</f>
        <v>75000</v>
      </c>
      <c r="I87" s="1011">
        <f>+SUM(I82:I86)</f>
        <v>5</v>
      </c>
      <c r="J87" s="1014" t="s">
        <v>2</v>
      </c>
      <c r="K87" s="1012" t="s">
        <v>434</v>
      </c>
    </row>
    <row r="88" spans="2:11" ht="20" thickBot="1" x14ac:dyDescent="0.4">
      <c r="B88" s="309"/>
      <c r="C88" s="309"/>
      <c r="D88" s="309"/>
      <c r="E88" s="309"/>
      <c r="F88" s="309"/>
      <c r="G88" s="1010"/>
      <c r="H88" s="1038"/>
      <c r="I88" s="1010"/>
      <c r="J88" s="1014"/>
      <c r="K88" s="1004"/>
    </row>
    <row r="89" spans="2:11" ht="21" thickTop="1" thickBot="1" x14ac:dyDescent="0.4">
      <c r="B89" s="1320" t="s">
        <v>438</v>
      </c>
      <c r="C89" s="1321"/>
      <c r="D89" s="1321"/>
      <c r="E89" s="1321"/>
      <c r="F89" s="1321"/>
      <c r="G89" s="1321"/>
      <c r="H89" s="1321"/>
      <c r="I89" s="1321"/>
      <c r="J89" s="1036">
        <f>+I78+I87</f>
        <v>9</v>
      </c>
      <c r="K89" s="1037" t="s">
        <v>434</v>
      </c>
    </row>
    <row r="90" spans="2:11" ht="18" thickTop="1" thickBot="1" x14ac:dyDescent="0.25">
      <c r="B90" s="309"/>
      <c r="C90" s="309"/>
      <c r="D90" s="309"/>
      <c r="E90" s="309"/>
      <c r="F90" s="309"/>
      <c r="G90" s="1006"/>
      <c r="H90" s="1006"/>
      <c r="I90" s="1006"/>
      <c r="J90" s="309"/>
      <c r="K90" s="1004"/>
    </row>
    <row r="91" spans="2:11" ht="18" thickTop="1" thickBot="1" x14ac:dyDescent="0.25">
      <c r="B91" s="1322" t="s">
        <v>439</v>
      </c>
      <c r="C91" s="1323"/>
      <c r="D91" s="1323"/>
      <c r="E91" s="1323"/>
      <c r="F91" s="1323"/>
      <c r="G91" s="1323"/>
      <c r="H91" s="1323"/>
      <c r="I91" s="1323"/>
      <c r="J91" s="1323"/>
      <c r="K91" s="1324"/>
    </row>
    <row r="92" spans="2:11" ht="17" thickTop="1" x14ac:dyDescent="0.2">
      <c r="B92" s="309"/>
      <c r="C92" s="309"/>
      <c r="D92" s="309"/>
      <c r="E92" s="309"/>
      <c r="F92" s="309"/>
      <c r="G92" s="1006"/>
      <c r="H92" s="1006"/>
      <c r="I92" s="1006"/>
      <c r="J92" s="309"/>
      <c r="K92" s="1004"/>
    </row>
    <row r="93" spans="2:11" ht="20" x14ac:dyDescent="0.35">
      <c r="B93" s="1039">
        <v>1000</v>
      </c>
      <c r="C93" s="1022" t="str">
        <f>'Bilan début-fin'!C21</f>
        <v>Actif non courant</v>
      </c>
      <c r="D93" s="309"/>
      <c r="E93" s="309"/>
      <c r="F93" s="309"/>
      <c r="G93" s="1023" t="s">
        <v>431</v>
      </c>
      <c r="H93" s="1023" t="s">
        <v>432</v>
      </c>
      <c r="I93" s="1023" t="s">
        <v>433</v>
      </c>
      <c r="J93" s="309"/>
      <c r="K93" s="1004"/>
    </row>
    <row r="94" spans="2:11" ht="16" x14ac:dyDescent="0.2">
      <c r="B94" s="309"/>
      <c r="C94" s="309"/>
      <c r="D94" s="309"/>
      <c r="E94" s="309"/>
      <c r="F94" s="309"/>
      <c r="G94" s="1006"/>
      <c r="H94" s="1006"/>
      <c r="I94" s="1006"/>
      <c r="J94" s="309"/>
      <c r="K94" s="1004"/>
    </row>
    <row r="95" spans="2:11" ht="16" x14ac:dyDescent="0.2">
      <c r="B95" s="309">
        <v>1400</v>
      </c>
      <c r="C95" s="309" t="str">
        <f>'Bilan début-fin'!C23</f>
        <v xml:space="preserve"> Placements</v>
      </c>
      <c r="D95" s="309"/>
      <c r="E95" s="309"/>
      <c r="F95" s="309"/>
      <c r="G95" s="1049">
        <f>'Bilan début-fin'!E23</f>
        <v>0</v>
      </c>
      <c r="H95" s="1049">
        <f>'Bilan début-fin'!J23</f>
        <v>100000</v>
      </c>
      <c r="I95" s="1050">
        <v>1</v>
      </c>
      <c r="J95" s="309"/>
      <c r="K95" s="1004"/>
    </row>
    <row r="96" spans="2:11" ht="16" x14ac:dyDescent="0.2">
      <c r="B96" s="309">
        <v>1500</v>
      </c>
      <c r="C96" s="309" t="str">
        <f>'Bilan début-fin'!C24</f>
        <v xml:space="preserve"> Immobilisations corporelles </v>
      </c>
      <c r="D96" s="309"/>
      <c r="E96" s="309"/>
      <c r="F96" s="309"/>
      <c r="G96" s="1049">
        <f>'Bilan début-fin'!E24</f>
        <v>186000</v>
      </c>
      <c r="H96" s="1049">
        <f>+G96</f>
        <v>186000</v>
      </c>
      <c r="I96" s="1050">
        <v>1</v>
      </c>
      <c r="J96" s="309"/>
      <c r="K96" s="1004"/>
    </row>
    <row r="97" spans="2:12" ht="16" x14ac:dyDescent="0.2">
      <c r="B97" s="1019"/>
      <c r="C97" s="1019" t="s">
        <v>440</v>
      </c>
      <c r="D97" s="1019"/>
      <c r="E97" s="1019"/>
      <c r="F97" s="1019"/>
      <c r="G97" s="1051">
        <v>0</v>
      </c>
      <c r="H97" s="1051">
        <f>+'État des Résultats'!AP39</f>
        <v>12</v>
      </c>
      <c r="I97" s="1052">
        <v>1</v>
      </c>
      <c r="J97" s="309"/>
      <c r="K97" s="1004"/>
    </row>
    <row r="98" spans="2:12" ht="16" x14ac:dyDescent="0.2">
      <c r="B98" s="309">
        <v>1600</v>
      </c>
      <c r="C98" s="309" t="str">
        <f>'Bilan début-fin'!C25</f>
        <v xml:space="preserve"> Immobilisations incorporelles</v>
      </c>
      <c r="D98" s="309"/>
      <c r="E98" s="309"/>
      <c r="F98" s="309"/>
      <c r="G98" s="1049">
        <f>'Bilan début-fin'!E25</f>
        <v>0</v>
      </c>
      <c r="H98" s="1049">
        <f>'Bilan début-fin'!J25</f>
        <v>0</v>
      </c>
      <c r="I98" s="1050">
        <v>1</v>
      </c>
      <c r="J98" s="309"/>
      <c r="K98" s="1004"/>
    </row>
    <row r="99" spans="2:12" ht="16" x14ac:dyDescent="0.2">
      <c r="B99" s="309">
        <v>1700</v>
      </c>
      <c r="C99" s="309" t="str">
        <f>'Bilan début-fin'!C26</f>
        <v xml:space="preserve"> Achalandage (Goodwill)</v>
      </c>
      <c r="D99" s="309"/>
      <c r="E99" s="309"/>
      <c r="F99" s="309"/>
      <c r="G99" s="1049">
        <f>'Bilan début-fin'!E26</f>
        <v>0</v>
      </c>
      <c r="H99" s="1049">
        <f>'Bilan début-fin'!J26</f>
        <v>0</v>
      </c>
      <c r="I99" s="1050">
        <v>1</v>
      </c>
      <c r="J99" s="309"/>
      <c r="K99" s="1004"/>
    </row>
    <row r="100" spans="2:12" ht="16" x14ac:dyDescent="0.2">
      <c r="B100" s="1019"/>
      <c r="C100" s="1019" t="s">
        <v>440</v>
      </c>
      <c r="D100" s="1019"/>
      <c r="E100" s="1019"/>
      <c r="F100" s="1019"/>
      <c r="G100" s="1051">
        <v>0</v>
      </c>
      <c r="H100" s="1051">
        <v>0</v>
      </c>
      <c r="I100" s="1052">
        <v>1</v>
      </c>
      <c r="J100" s="309"/>
      <c r="K100" s="1004"/>
    </row>
    <row r="101" spans="2:12" ht="19" x14ac:dyDescent="0.35">
      <c r="B101" s="309"/>
      <c r="C101" s="309"/>
      <c r="D101" s="309"/>
      <c r="E101" s="309"/>
      <c r="F101" s="309"/>
      <c r="G101" s="1053">
        <f>+G95+G96+G98+G99</f>
        <v>186000</v>
      </c>
      <c r="H101" s="1054">
        <f>+H95+H96+H98+H99</f>
        <v>286000</v>
      </c>
      <c r="I101" s="1055">
        <f>+(SUM(I95:I100))</f>
        <v>6</v>
      </c>
      <c r="J101" s="309"/>
      <c r="K101" s="1004"/>
    </row>
    <row r="102" spans="2:12" ht="20" thickBot="1" x14ac:dyDescent="0.4">
      <c r="B102" s="309"/>
      <c r="C102" s="309"/>
      <c r="D102" s="309"/>
      <c r="E102" s="309"/>
      <c r="F102" s="309"/>
      <c r="G102" s="1010"/>
      <c r="H102" s="1010"/>
      <c r="I102" s="1010"/>
      <c r="J102" s="1014"/>
      <c r="K102" s="1004"/>
    </row>
    <row r="103" spans="2:12" ht="21" thickTop="1" thickBot="1" x14ac:dyDescent="0.4">
      <c r="B103" s="1320" t="s">
        <v>441</v>
      </c>
      <c r="C103" s="1321"/>
      <c r="D103" s="1321"/>
      <c r="E103" s="1321"/>
      <c r="F103" s="1321"/>
      <c r="G103" s="1321"/>
      <c r="H103" s="1321"/>
      <c r="I103" s="1321"/>
      <c r="J103" s="1040">
        <f>I101</f>
        <v>6</v>
      </c>
      <c r="K103" s="1037" t="s">
        <v>2</v>
      </c>
    </row>
    <row r="104" spans="2:12" ht="18" thickTop="1" thickBot="1" x14ac:dyDescent="0.25">
      <c r="B104" s="309"/>
      <c r="C104" s="309"/>
      <c r="D104" s="309"/>
      <c r="E104" s="309"/>
      <c r="F104" s="309"/>
      <c r="G104" s="309"/>
      <c r="H104" s="309"/>
      <c r="I104" s="309"/>
      <c r="J104" s="309"/>
      <c r="K104" s="309"/>
    </row>
    <row r="105" spans="2:12" ht="20" thickTop="1" x14ac:dyDescent="0.35">
      <c r="B105" s="309"/>
      <c r="C105" s="1313" t="s">
        <v>443</v>
      </c>
      <c r="D105" s="1313"/>
      <c r="E105" s="1313"/>
      <c r="F105" s="1313"/>
      <c r="G105" s="1313"/>
      <c r="H105" s="1313"/>
      <c r="I105" s="1313"/>
      <c r="J105" s="1041">
        <f>J68+J89+J103</f>
        <v>17</v>
      </c>
      <c r="K105" s="1012" t="s">
        <v>429</v>
      </c>
    </row>
    <row r="106" spans="2:12" ht="16" x14ac:dyDescent="0.2">
      <c r="B106" s="309"/>
      <c r="C106" s="309"/>
      <c r="D106" s="309"/>
      <c r="E106" s="309"/>
      <c r="F106" s="309"/>
      <c r="G106" s="309"/>
      <c r="H106" s="309"/>
      <c r="I106" s="309"/>
      <c r="J106" s="1042" t="s">
        <v>2</v>
      </c>
      <c r="K106" s="309"/>
    </row>
    <row r="107" spans="2:12" ht="16" x14ac:dyDescent="0.2">
      <c r="B107" s="309"/>
      <c r="C107" s="1313" t="s">
        <v>444</v>
      </c>
      <c r="D107" s="1313"/>
      <c r="E107" s="1313"/>
      <c r="F107" s="1313"/>
      <c r="G107" s="1313"/>
      <c r="H107" s="1313"/>
      <c r="I107" s="1313"/>
      <c r="J107" s="1043">
        <f>'Bilan début-fin'!E14</f>
        <v>31000</v>
      </c>
      <c r="K107" s="1044" t="s">
        <v>2</v>
      </c>
    </row>
    <row r="108" spans="2:12" ht="17" thickBot="1" x14ac:dyDescent="0.25">
      <c r="B108" s="309"/>
      <c r="C108" s="309"/>
      <c r="D108" s="309"/>
      <c r="E108" s="309"/>
      <c r="F108" s="309"/>
      <c r="G108" s="309"/>
      <c r="H108" s="309"/>
      <c r="I108" s="309"/>
      <c r="J108" s="1042"/>
      <c r="K108" s="309" t="s">
        <v>2</v>
      </c>
    </row>
    <row r="109" spans="2:12" ht="21" thickTop="1" thickBot="1" x14ac:dyDescent="0.4">
      <c r="B109" s="309"/>
      <c r="C109" s="1313" t="s">
        <v>445</v>
      </c>
      <c r="D109" s="1313"/>
      <c r="E109" s="1313"/>
      <c r="F109" s="1313"/>
      <c r="G109" s="1313"/>
      <c r="H109" s="1313"/>
      <c r="I109" s="1313"/>
      <c r="J109" s="1045">
        <f>+J105+J107</f>
        <v>31017</v>
      </c>
      <c r="K109" s="1044" t="s">
        <v>2</v>
      </c>
      <c r="L109" s="313" t="s">
        <v>2</v>
      </c>
    </row>
    <row r="110" spans="2:12" ht="18" thickTop="1" thickBot="1" x14ac:dyDescent="0.25">
      <c r="B110" s="309"/>
      <c r="C110" s="309"/>
      <c r="D110" s="309"/>
      <c r="E110" s="309"/>
      <c r="F110" s="309"/>
      <c r="G110" s="309"/>
      <c r="H110" s="309"/>
      <c r="I110" s="309"/>
      <c r="J110" s="1046"/>
      <c r="K110" s="309"/>
    </row>
    <row r="111" spans="2:12" ht="18" customHeight="1" thickTop="1" thickBot="1" x14ac:dyDescent="0.4">
      <c r="B111" s="309"/>
      <c r="C111" s="1311" t="s">
        <v>446</v>
      </c>
      <c r="D111" s="1312"/>
      <c r="E111" s="1312"/>
      <c r="F111" s="1312"/>
      <c r="G111" s="1312"/>
      <c r="H111" s="1312"/>
      <c r="I111" s="1312"/>
      <c r="J111" s="1047">
        <f>'Bilan début-fin'!J14</f>
        <v>41505.72</v>
      </c>
      <c r="K111" s="866"/>
    </row>
    <row r="112" spans="2:12" ht="17" thickTop="1" x14ac:dyDescent="0.2">
      <c r="B112" s="309"/>
      <c r="C112" s="309"/>
      <c r="D112" s="309"/>
      <c r="E112" s="309"/>
      <c r="F112" s="309"/>
      <c r="G112" s="309"/>
      <c r="H112" s="309"/>
      <c r="I112" s="309"/>
      <c r="J112" s="1006"/>
      <c r="K112" s="309"/>
    </row>
    <row r="113" spans="2:12" ht="16" x14ac:dyDescent="0.2">
      <c r="B113" s="309"/>
      <c r="C113" s="309"/>
      <c r="D113" s="309"/>
      <c r="E113" s="309"/>
      <c r="F113" s="309"/>
      <c r="G113" s="309"/>
      <c r="H113" s="1048" t="s">
        <v>2</v>
      </c>
      <c r="I113" s="1048" t="s">
        <v>2</v>
      </c>
      <c r="J113" s="1006">
        <f>J109-J111</f>
        <v>-10488.720000000001</v>
      </c>
      <c r="K113" s="309" t="s">
        <v>2</v>
      </c>
      <c r="L113" s="161" t="s">
        <v>2</v>
      </c>
    </row>
    <row r="114" spans="2:12" x14ac:dyDescent="0.15">
      <c r="J114" s="313" t="s">
        <v>2</v>
      </c>
    </row>
    <row r="115" spans="2:12" x14ac:dyDescent="0.15">
      <c r="J115" s="313" t="s">
        <v>2</v>
      </c>
    </row>
    <row r="116" spans="2:12" x14ac:dyDescent="0.15">
      <c r="J116" s="313"/>
    </row>
    <row r="117" spans="2:12" x14ac:dyDescent="0.15">
      <c r="J117" s="313"/>
    </row>
    <row r="118" spans="2:12" x14ac:dyDescent="0.15">
      <c r="J118" s="313"/>
    </row>
    <row r="119" spans="2:12" x14ac:dyDescent="0.15">
      <c r="J119" s="313"/>
    </row>
    <row r="120" spans="2:12" x14ac:dyDescent="0.15">
      <c r="J120" s="313"/>
    </row>
  </sheetData>
  <sheetProtection algorithmName="SHA-512" hashValue="INWcxpSmeTjFkv7QNvSG3P/BjawfN6P2SZPNe4XQS++hRrjPz8v0mj0WTy0dnXLk6gtyJoAcOxnSKSYNVTWG3w==" saltValue="HLj2qi8vxEhtyPxPizsmqg==" spinCount="100000" sheet="1" objects="1" scenarios="1"/>
  <mergeCells count="22">
    <mergeCell ref="C46:I46"/>
    <mergeCell ref="B2:K2"/>
    <mergeCell ref="B3:K3"/>
    <mergeCell ref="B5:K5"/>
    <mergeCell ref="C8:E8"/>
    <mergeCell ref="C9:E9"/>
    <mergeCell ref="B13:K13"/>
    <mergeCell ref="B19:K19"/>
    <mergeCell ref="B30:K30"/>
    <mergeCell ref="B36:K36"/>
    <mergeCell ref="B40:K40"/>
    <mergeCell ref="C42:I42"/>
    <mergeCell ref="C111:I111"/>
    <mergeCell ref="C105:I105"/>
    <mergeCell ref="C107:I107"/>
    <mergeCell ref="C109:I109"/>
    <mergeCell ref="C66:I66"/>
    <mergeCell ref="C68:I68"/>
    <mergeCell ref="B70:K70"/>
    <mergeCell ref="B89:I89"/>
    <mergeCell ref="B91:K91"/>
    <mergeCell ref="B103:I103"/>
  </mergeCells>
  <pageMargins left="0.75" right="0.75" top="1" bottom="1" header="0.5" footer="0.5"/>
  <pageSetup orientation="portrait" horizontalDpi="4294967292" verticalDpi="4294967292"/>
  <ignoredErrors>
    <ignoredError sqref="I84"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8462-C123-0F46-A18F-0E36AB3CE4F7}">
  <sheetPr>
    <tabColor theme="0" tint="-0.499984740745262"/>
  </sheetPr>
  <dimension ref="A1:ET182"/>
  <sheetViews>
    <sheetView zoomScale="150" zoomScaleNormal="150" zoomScalePageLayoutView="150" workbookViewId="0">
      <selection activeCell="I19" sqref="I19"/>
    </sheetView>
  </sheetViews>
  <sheetFormatPr baseColWidth="10" defaultRowHeight="13" x14ac:dyDescent="0.15"/>
  <cols>
    <col min="1" max="1" width="1.5" style="161" customWidth="1"/>
    <col min="2" max="2" width="0.83203125" style="161" customWidth="1"/>
    <col min="3" max="3" width="17.5" style="161" bestFit="1" customWidth="1"/>
    <col min="4" max="4" width="0.83203125" style="161" customWidth="1"/>
    <col min="5" max="5" width="29.83203125" style="161" customWidth="1"/>
    <col min="6" max="6" width="0.83203125" style="161" customWidth="1"/>
    <col min="7" max="7" width="67.33203125" style="161" customWidth="1"/>
    <col min="8" max="8" width="0.83203125" style="161" customWidth="1"/>
    <col min="9" max="9" width="12.83203125" style="161" customWidth="1"/>
    <col min="10" max="10" width="11.1640625" style="161" customWidth="1"/>
    <col min="11" max="11" width="0.83203125" style="161" customWidth="1"/>
    <col min="12" max="12" width="31.83203125" style="161" customWidth="1"/>
    <col min="13" max="13" width="0.83203125" style="161" customWidth="1"/>
    <col min="14" max="14" width="73.5" style="161" customWidth="1"/>
    <col min="15" max="15" width="0.6640625" style="161" customWidth="1"/>
    <col min="16" max="16384" width="10.83203125" style="161"/>
  </cols>
  <sheetData>
    <row r="1" spans="1:150" ht="14" thickBot="1" x14ac:dyDescent="0.2"/>
    <row r="2" spans="1:150" ht="14" thickTop="1" x14ac:dyDescent="0.15">
      <c r="C2" s="1347" t="str">
        <f>'État des Résultats'!C2</f>
        <v>Chez Les Petites Gâteries &amp; Cie.</v>
      </c>
      <c r="D2" s="1348"/>
      <c r="E2" s="1348"/>
      <c r="F2" s="1348"/>
      <c r="G2" s="1349"/>
    </row>
    <row r="3" spans="1:150" ht="16" x14ac:dyDescent="0.2">
      <c r="B3" s="866"/>
      <c r="C3" s="1274" t="s">
        <v>533</v>
      </c>
      <c r="D3" s="1350"/>
      <c r="E3" s="1350"/>
      <c r="F3" s="1350"/>
      <c r="G3" s="1351"/>
    </row>
    <row r="4" spans="1:150" ht="17" thickBot="1" x14ac:dyDescent="0.25">
      <c r="B4" s="866"/>
      <c r="C4" s="1352" t="str">
        <f>'État des Résultats'!C4</f>
        <v>Pour la période du 1er janvier 2021 au 31 décembre 2021</v>
      </c>
      <c r="D4" s="1353"/>
      <c r="E4" s="1353"/>
      <c r="F4" s="1353"/>
      <c r="G4" s="1287"/>
    </row>
    <row r="5" spans="1:150" ht="17" thickTop="1" x14ac:dyDescent="0.2">
      <c r="B5" s="866"/>
      <c r="C5" s="867"/>
      <c r="D5" s="864"/>
      <c r="E5" s="864"/>
      <c r="F5" s="864"/>
      <c r="G5" s="864"/>
    </row>
    <row r="6" spans="1:150" ht="17" thickBot="1" x14ac:dyDescent="0.25">
      <c r="B6" s="866"/>
      <c r="C6" s="867"/>
      <c r="D6" s="864"/>
      <c r="E6" s="864"/>
      <c r="F6" s="864"/>
      <c r="G6" s="864"/>
    </row>
    <row r="7" spans="1:150" ht="28" customHeight="1" thickTop="1" x14ac:dyDescent="0.2">
      <c r="B7" s="866"/>
      <c r="C7" s="1343" t="s">
        <v>447</v>
      </c>
      <c r="D7" s="209"/>
      <c r="E7" s="1343" t="s">
        <v>448</v>
      </c>
      <c r="F7" s="209"/>
      <c r="G7" s="1355" t="s">
        <v>449</v>
      </c>
      <c r="I7" s="1339" t="s">
        <v>126</v>
      </c>
      <c r="J7" s="1341" t="s">
        <v>2</v>
      </c>
      <c r="L7" s="1343" t="s">
        <v>450</v>
      </c>
      <c r="N7" s="868" t="s">
        <v>451</v>
      </c>
    </row>
    <row r="8" spans="1:150" ht="28" customHeight="1" thickBot="1" x14ac:dyDescent="0.25">
      <c r="A8" s="966"/>
      <c r="B8" s="866"/>
      <c r="C8" s="1354"/>
      <c r="D8" s="209"/>
      <c r="E8" s="1344"/>
      <c r="F8" s="209"/>
      <c r="G8" s="1356"/>
      <c r="I8" s="1340"/>
      <c r="J8" s="1342"/>
      <c r="L8" s="1344"/>
      <c r="N8" s="869" t="s">
        <v>452</v>
      </c>
    </row>
    <row r="9" spans="1:150" ht="18" thickTop="1" thickBot="1" x14ac:dyDescent="0.25">
      <c r="B9" s="866"/>
      <c r="L9" s="870"/>
    </row>
    <row r="10" spans="1:150" ht="6" customHeight="1" thickTop="1" x14ac:dyDescent="0.15">
      <c r="B10" s="871"/>
      <c r="C10" s="872"/>
      <c r="D10" s="872"/>
      <c r="E10" s="872"/>
      <c r="F10" s="872"/>
      <c r="G10" s="872"/>
      <c r="H10" s="872"/>
      <c r="I10" s="872"/>
      <c r="J10" s="872"/>
      <c r="K10" s="872"/>
      <c r="L10" s="872"/>
      <c r="M10" s="872"/>
      <c r="N10" s="872"/>
      <c r="O10" s="873"/>
    </row>
    <row r="11" spans="1:150" x14ac:dyDescent="0.15">
      <c r="B11" s="874"/>
      <c r="C11" s="875" t="s">
        <v>453</v>
      </c>
      <c r="D11" s="876"/>
      <c r="E11" s="877" t="s">
        <v>454</v>
      </c>
      <c r="F11" s="876"/>
      <c r="G11" s="877" t="s">
        <v>455</v>
      </c>
      <c r="H11" s="876"/>
      <c r="I11" s="1345" t="s">
        <v>456</v>
      </c>
      <c r="J11" s="1346"/>
      <c r="K11" s="877"/>
      <c r="L11" s="877" t="s">
        <v>457</v>
      </c>
      <c r="M11" s="876"/>
      <c r="N11" s="878" t="s">
        <v>458</v>
      </c>
      <c r="O11" s="879"/>
      <c r="P11" s="187"/>
      <c r="Q11" s="187"/>
      <c r="R11" s="187"/>
      <c r="S11" s="187"/>
      <c r="T11" s="187"/>
      <c r="U11" s="187"/>
      <c r="V11" s="187"/>
      <c r="W11" s="187"/>
      <c r="X11" s="187"/>
      <c r="Y11" s="187"/>
    </row>
    <row r="12" spans="1:150" ht="6" customHeight="1" thickBot="1" x14ac:dyDescent="0.2">
      <c r="B12" s="874"/>
      <c r="C12" s="880"/>
      <c r="D12" s="880"/>
      <c r="E12" s="880" t="s">
        <v>2</v>
      </c>
      <c r="F12" s="880"/>
      <c r="G12" s="880"/>
      <c r="H12" s="880"/>
      <c r="I12" s="880"/>
      <c r="J12" s="880"/>
      <c r="K12" s="880"/>
      <c r="L12" s="880"/>
      <c r="M12" s="880"/>
      <c r="N12" s="880"/>
      <c r="O12" s="881"/>
      <c r="ET12" s="161">
        <v>111</v>
      </c>
    </row>
    <row r="13" spans="1:150" ht="41.25" customHeight="1" thickTop="1" thickBot="1" x14ac:dyDescent="0.2">
      <c r="B13" s="874"/>
      <c r="C13" s="882" t="s">
        <v>459</v>
      </c>
      <c r="D13" s="883"/>
      <c r="E13" s="884" t="s">
        <v>460</v>
      </c>
      <c r="F13" s="885"/>
      <c r="G13" s="886" t="s">
        <v>461</v>
      </c>
      <c r="H13" s="885"/>
      <c r="I13" s="967">
        <f>'État des Résultats'!AP41/'Bilan début-fin'!J64</f>
        <v>2.0209020768611978</v>
      </c>
      <c r="J13" s="887" t="s">
        <v>2</v>
      </c>
      <c r="K13" s="885"/>
      <c r="L13" s="884" t="s">
        <v>462</v>
      </c>
      <c r="M13" s="885"/>
      <c r="N13" s="888" t="s">
        <v>463</v>
      </c>
      <c r="O13" s="889"/>
    </row>
    <row r="14" spans="1:150" ht="48" customHeight="1" thickTop="1" thickBot="1" x14ac:dyDescent="0.2">
      <c r="B14" s="874"/>
      <c r="C14" s="890"/>
      <c r="D14" s="891"/>
      <c r="E14" s="892" t="s">
        <v>464</v>
      </c>
      <c r="F14" s="891"/>
      <c r="G14" s="893" t="s">
        <v>529</v>
      </c>
      <c r="H14" s="891"/>
      <c r="I14" s="968">
        <f>'État des Résultats'!AP41/('Bilan début-fin'!J52+'Bilan début-fin'!J64)</f>
        <v>0.72175692814161219</v>
      </c>
      <c r="J14" s="894" t="s">
        <v>2</v>
      </c>
      <c r="K14" s="891"/>
      <c r="L14" s="895" t="s">
        <v>465</v>
      </c>
      <c r="M14" s="891"/>
      <c r="N14" s="896" t="s">
        <v>466</v>
      </c>
      <c r="O14" s="889"/>
    </row>
    <row r="15" spans="1:150" ht="43" thickBot="1" x14ac:dyDescent="0.2">
      <c r="B15" s="874"/>
      <c r="C15" s="897"/>
      <c r="D15" s="898"/>
      <c r="E15" s="899" t="s">
        <v>467</v>
      </c>
      <c r="F15" s="898"/>
      <c r="G15" s="900" t="s">
        <v>468</v>
      </c>
      <c r="H15" s="901"/>
      <c r="I15" s="969">
        <f>'État des Résultats'!AP41/'Bilan début-fin'!J30</f>
        <v>0.4732432665309661</v>
      </c>
      <c r="J15" s="902"/>
      <c r="K15" s="898"/>
      <c r="L15" s="899" t="s">
        <v>469</v>
      </c>
      <c r="M15" s="898"/>
      <c r="N15" s="903" t="s">
        <v>470</v>
      </c>
      <c r="O15" s="889"/>
    </row>
    <row r="16" spans="1:150" ht="5" customHeight="1" thickBot="1" x14ac:dyDescent="0.2">
      <c r="B16" s="874"/>
      <c r="C16" s="904"/>
      <c r="D16" s="905"/>
      <c r="E16" s="906"/>
      <c r="F16" s="905"/>
      <c r="G16" s="906"/>
      <c r="H16" s="906"/>
      <c r="I16" s="907"/>
      <c r="J16" s="908" t="s">
        <v>2</v>
      </c>
      <c r="K16" s="905"/>
      <c r="L16" s="906"/>
      <c r="M16" s="905"/>
      <c r="N16" s="909"/>
      <c r="O16" s="889"/>
    </row>
    <row r="17" spans="2:15" ht="72" thickTop="1" thickBot="1" x14ac:dyDescent="0.2">
      <c r="B17" s="874"/>
      <c r="C17" s="910" t="s">
        <v>471</v>
      </c>
      <c r="D17" s="883"/>
      <c r="E17" s="884" t="s">
        <v>472</v>
      </c>
      <c r="F17" s="911"/>
      <c r="G17" s="886" t="s">
        <v>473</v>
      </c>
      <c r="H17" s="911"/>
      <c r="I17" s="970">
        <f>'État des Résultats'!AP41/'État des Résultats'!AP14</f>
        <v>0.30415319732441476</v>
      </c>
      <c r="J17" s="912" t="s">
        <v>2</v>
      </c>
      <c r="K17" s="911"/>
      <c r="L17" s="884" t="s">
        <v>474</v>
      </c>
      <c r="M17" s="911"/>
      <c r="N17" s="888" t="s">
        <v>475</v>
      </c>
      <c r="O17" s="889"/>
    </row>
    <row r="18" spans="2:15" ht="57" customHeight="1" thickBot="1" x14ac:dyDescent="0.2">
      <c r="B18" s="874"/>
      <c r="C18" s="913"/>
      <c r="D18" s="914"/>
      <c r="E18" s="915" t="s">
        <v>476</v>
      </c>
      <c r="F18" s="916"/>
      <c r="G18" s="917" t="s">
        <v>477</v>
      </c>
      <c r="H18" s="916"/>
      <c r="I18" s="971">
        <f>'État des Résultats'!AP25/'État des Résultats'!AP14</f>
        <v>0.47591172575250834</v>
      </c>
      <c r="J18" s="918" t="s">
        <v>2</v>
      </c>
      <c r="K18" s="914"/>
      <c r="L18" s="915" t="s">
        <v>478</v>
      </c>
      <c r="M18" s="914"/>
      <c r="N18" s="919" t="s">
        <v>479</v>
      </c>
      <c r="O18" s="889"/>
    </row>
    <row r="19" spans="2:15" ht="57" customHeight="1" thickTop="1" thickBot="1" x14ac:dyDescent="0.2">
      <c r="B19" s="874"/>
      <c r="C19" s="920"/>
      <c r="D19" s="905"/>
      <c r="E19" s="921" t="s">
        <v>480</v>
      </c>
      <c r="F19" s="905"/>
      <c r="G19" s="922" t="s">
        <v>481</v>
      </c>
      <c r="H19" s="905"/>
      <c r="I19" s="1116">
        <v>0.01</v>
      </c>
      <c r="J19" s="923" t="s">
        <v>2</v>
      </c>
      <c r="K19" s="905"/>
      <c r="L19" s="924"/>
      <c r="M19" s="905"/>
      <c r="N19" s="925"/>
      <c r="O19" s="889"/>
    </row>
    <row r="20" spans="2:15" ht="8" customHeight="1" thickTop="1" thickBot="1" x14ac:dyDescent="0.2">
      <c r="B20" s="874"/>
      <c r="C20" s="926"/>
      <c r="D20" s="905"/>
      <c r="E20" s="906"/>
      <c r="F20" s="905"/>
      <c r="G20" s="905"/>
      <c r="H20" s="905"/>
      <c r="I20" s="907" t="s">
        <v>2</v>
      </c>
      <c r="J20" s="908"/>
      <c r="K20" s="905"/>
      <c r="L20" s="906"/>
      <c r="M20" s="905"/>
      <c r="N20" s="909"/>
      <c r="O20" s="889"/>
    </row>
    <row r="21" spans="2:15" ht="58" thickTop="1" thickBot="1" x14ac:dyDescent="0.2">
      <c r="B21" s="874"/>
      <c r="C21" s="910" t="s">
        <v>482</v>
      </c>
      <c r="D21" s="885"/>
      <c r="E21" s="884" t="s">
        <v>483</v>
      </c>
      <c r="F21" s="885"/>
      <c r="G21" s="886" t="s">
        <v>484</v>
      </c>
      <c r="H21" s="885"/>
      <c r="I21" s="972">
        <f>'État des Résultats'!AP14/'Bilan début-fin'!J30</f>
        <v>1.5559371747330248</v>
      </c>
      <c r="J21" s="927" t="s">
        <v>45</v>
      </c>
      <c r="K21" s="885"/>
      <c r="L21" s="884" t="s">
        <v>485</v>
      </c>
      <c r="M21" s="885"/>
      <c r="N21" s="888" t="s">
        <v>486</v>
      </c>
      <c r="O21" s="889"/>
    </row>
    <row r="22" spans="2:15" ht="57" thickBot="1" x14ac:dyDescent="0.2">
      <c r="B22" s="874"/>
      <c r="C22" s="928"/>
      <c r="D22" s="898"/>
      <c r="E22" s="929" t="s">
        <v>487</v>
      </c>
      <c r="F22" s="898"/>
      <c r="G22" s="928" t="s">
        <v>488</v>
      </c>
      <c r="H22" s="898"/>
      <c r="I22" s="973">
        <f>'État des Résultats'!AP16/(('Bilan début-fin'!E16+'Bilan début-fin'!J16)/2)</f>
        <v>14.63338813511349</v>
      </c>
      <c r="J22" s="930" t="s">
        <v>45</v>
      </c>
      <c r="K22" s="898"/>
      <c r="L22" s="931" t="s">
        <v>489</v>
      </c>
      <c r="M22" s="898"/>
      <c r="N22" s="931" t="s">
        <v>490</v>
      </c>
      <c r="O22" s="889"/>
    </row>
    <row r="23" spans="2:15" ht="57" thickBot="1" x14ac:dyDescent="0.2">
      <c r="B23" s="874"/>
      <c r="C23" s="928"/>
      <c r="D23" s="898"/>
      <c r="E23" s="931" t="s">
        <v>491</v>
      </c>
      <c r="F23" s="898"/>
      <c r="G23" s="928" t="s">
        <v>492</v>
      </c>
      <c r="H23" s="898"/>
      <c r="I23" s="974">
        <f>365/I22</f>
        <v>24.942958980508802</v>
      </c>
      <c r="J23" s="932" t="s">
        <v>493</v>
      </c>
      <c r="K23" s="898"/>
      <c r="L23" s="931" t="s">
        <v>494</v>
      </c>
      <c r="M23" s="898"/>
      <c r="N23" s="931" t="s">
        <v>495</v>
      </c>
      <c r="O23" s="889"/>
    </row>
    <row r="24" spans="2:15" ht="59" thickBot="1" x14ac:dyDescent="0.2">
      <c r="B24" s="874"/>
      <c r="C24" s="933"/>
      <c r="D24" s="898"/>
      <c r="E24" s="934" t="s">
        <v>496</v>
      </c>
      <c r="F24" s="898"/>
      <c r="G24" s="900" t="s">
        <v>497</v>
      </c>
      <c r="H24" s="898"/>
      <c r="I24" s="975" t="e">
        <f>'État des Résultats'!AP14/(('Bilan début-fin'!E15+'Bilan début-fin'!J15)/2)</f>
        <v>#DIV/0!</v>
      </c>
      <c r="J24" s="935" t="s">
        <v>45</v>
      </c>
      <c r="K24" s="898"/>
      <c r="L24" s="899" t="s">
        <v>498</v>
      </c>
      <c r="M24" s="898"/>
      <c r="N24" s="903" t="s">
        <v>499</v>
      </c>
      <c r="O24" s="889"/>
    </row>
    <row r="25" spans="2:15" ht="71" thickBot="1" x14ac:dyDescent="0.2">
      <c r="B25" s="874"/>
      <c r="C25" s="933"/>
      <c r="D25" s="898"/>
      <c r="E25" s="934" t="s">
        <v>500</v>
      </c>
      <c r="F25" s="898"/>
      <c r="G25" s="900" t="s">
        <v>501</v>
      </c>
      <c r="H25" s="898"/>
      <c r="I25" s="975" t="e">
        <f>365/I24</f>
        <v>#DIV/0!</v>
      </c>
      <c r="J25" s="935" t="s">
        <v>493</v>
      </c>
      <c r="K25" s="898"/>
      <c r="L25" s="899" t="s">
        <v>502</v>
      </c>
      <c r="M25" s="898"/>
      <c r="N25" s="903" t="s">
        <v>503</v>
      </c>
      <c r="O25" s="889"/>
    </row>
    <row r="26" spans="2:15" ht="62" customHeight="1" thickBot="1" x14ac:dyDescent="0.2">
      <c r="B26" s="874"/>
      <c r="C26" s="936"/>
      <c r="D26" s="898"/>
      <c r="E26" s="934" t="s">
        <v>504</v>
      </c>
      <c r="F26" s="898"/>
      <c r="G26" s="928" t="s">
        <v>505</v>
      </c>
      <c r="H26" s="898"/>
      <c r="I26" s="976">
        <f>'État des Résultats'!AP16/(('Bilan début-fin'!E38+'Bilan début-fin'!J38)/2)</f>
        <v>21.995531262416467</v>
      </c>
      <c r="J26" s="930" t="s">
        <v>45</v>
      </c>
      <c r="K26" s="898"/>
      <c r="L26" s="937"/>
      <c r="M26" s="898"/>
      <c r="N26" s="938"/>
      <c r="O26" s="889"/>
    </row>
    <row r="27" spans="2:15" ht="71" thickBot="1" x14ac:dyDescent="0.2">
      <c r="B27" s="874"/>
      <c r="C27" s="928"/>
      <c r="D27" s="898"/>
      <c r="E27" s="931" t="s">
        <v>506</v>
      </c>
      <c r="F27" s="898"/>
      <c r="G27" s="900" t="s">
        <v>507</v>
      </c>
      <c r="H27" s="898"/>
      <c r="I27" s="977">
        <f>365/I26</f>
        <v>16.594279794626814</v>
      </c>
      <c r="J27" s="930" t="s">
        <v>493</v>
      </c>
      <c r="K27" s="898"/>
      <c r="L27" s="931" t="s">
        <v>508</v>
      </c>
      <c r="M27" s="898"/>
      <c r="N27" s="929" t="s">
        <v>509</v>
      </c>
      <c r="O27" s="889"/>
    </row>
    <row r="28" spans="2:15" ht="5" customHeight="1" thickBot="1" x14ac:dyDescent="0.2">
      <c r="B28" s="874"/>
      <c r="C28" s="939"/>
      <c r="D28" s="905"/>
      <c r="E28" s="906"/>
      <c r="F28" s="905"/>
      <c r="G28" s="906"/>
      <c r="H28" s="905"/>
      <c r="I28" s="940"/>
      <c r="J28" s="941"/>
      <c r="K28" s="905"/>
      <c r="L28" s="906"/>
      <c r="M28" s="905"/>
      <c r="N28" s="942"/>
      <c r="O28" s="889"/>
    </row>
    <row r="29" spans="2:15" ht="57" customHeight="1" thickBot="1" x14ac:dyDescent="0.2">
      <c r="B29" s="874"/>
      <c r="C29" s="943" t="s">
        <v>510</v>
      </c>
      <c r="D29" s="898"/>
      <c r="E29" s="944" t="s">
        <v>511</v>
      </c>
      <c r="F29" s="898"/>
      <c r="G29" s="945" t="s">
        <v>512</v>
      </c>
      <c r="H29" s="898"/>
      <c r="I29" s="978">
        <f>'Bilan début-fin'!J30/'Bilan début-fin'!J64</f>
        <v>4.2703239956800578</v>
      </c>
      <c r="J29" s="946" t="s">
        <v>2</v>
      </c>
      <c r="K29" s="898"/>
      <c r="L29" s="944" t="s">
        <v>513</v>
      </c>
      <c r="M29" s="898"/>
      <c r="N29" s="947" t="s">
        <v>514</v>
      </c>
      <c r="O29" s="889"/>
    </row>
    <row r="30" spans="2:15" ht="57" customHeight="1" thickBot="1" x14ac:dyDescent="0.2">
      <c r="B30" s="874"/>
      <c r="C30" s="948"/>
      <c r="D30" s="898"/>
      <c r="E30" s="949"/>
      <c r="F30" s="898"/>
      <c r="G30" s="950" t="s">
        <v>515</v>
      </c>
      <c r="H30" s="898"/>
      <c r="I30" s="975">
        <f>'Bilan début-fin'!J54/'Bilan début-fin'!J64</f>
        <v>1.9718209992755653</v>
      </c>
      <c r="J30" s="951" t="s">
        <v>2</v>
      </c>
      <c r="K30" s="898"/>
      <c r="L30" s="949" t="s">
        <v>513</v>
      </c>
      <c r="M30" s="898"/>
      <c r="N30" s="952" t="s">
        <v>514</v>
      </c>
      <c r="O30" s="889"/>
    </row>
    <row r="31" spans="2:15" ht="60" customHeight="1" thickBot="1" x14ac:dyDescent="0.2">
      <c r="B31" s="874"/>
      <c r="C31" s="948" t="s">
        <v>2</v>
      </c>
      <c r="D31" s="898" t="s">
        <v>2</v>
      </c>
      <c r="E31" s="949" t="s">
        <v>2</v>
      </c>
      <c r="F31" s="898"/>
      <c r="G31" s="950" t="s">
        <v>516</v>
      </c>
      <c r="H31" s="898"/>
      <c r="I31" s="975">
        <f>('Bilan début-fin'!J30/'Bilan début-fin'!J64)/('Bilan début-fin'!J54/'Bilan début-fin'!J64)</f>
        <v>2.1656752804889225</v>
      </c>
      <c r="J31" s="951" t="s">
        <v>2</v>
      </c>
      <c r="K31" s="898"/>
      <c r="L31" s="949" t="s">
        <v>513</v>
      </c>
      <c r="M31" s="898"/>
      <c r="N31" s="952" t="s">
        <v>514</v>
      </c>
      <c r="O31" s="889"/>
    </row>
    <row r="32" spans="2:15" ht="60" customHeight="1" thickBot="1" x14ac:dyDescent="0.2">
      <c r="B32" s="874"/>
      <c r="C32" s="953"/>
      <c r="D32" s="891"/>
      <c r="E32" s="954" t="s">
        <v>517</v>
      </c>
      <c r="F32" s="891"/>
      <c r="G32" s="955" t="s">
        <v>518</v>
      </c>
      <c r="H32" s="891"/>
      <c r="I32" s="979">
        <f>'Bilan début-fin'!J54/'Bilan début-fin'!J30</f>
        <v>0.46174974106655547</v>
      </c>
      <c r="J32" s="956" t="s">
        <v>2</v>
      </c>
      <c r="K32" s="891"/>
      <c r="L32" s="954" t="s">
        <v>519</v>
      </c>
      <c r="M32" s="891"/>
      <c r="N32" s="957" t="s">
        <v>520</v>
      </c>
      <c r="O32" s="889"/>
    </row>
    <row r="33" spans="2:15" ht="99" thickBot="1" x14ac:dyDescent="0.2">
      <c r="B33" s="874"/>
      <c r="C33" s="933"/>
      <c r="D33" s="898"/>
      <c r="E33" s="899" t="s">
        <v>521</v>
      </c>
      <c r="F33" s="898"/>
      <c r="G33" s="900" t="s">
        <v>522</v>
      </c>
      <c r="H33" s="898"/>
      <c r="I33" s="980">
        <f>'Bilan début-fin'!J19/'Bilan début-fin'!J43</f>
        <v>4.1027565758428679</v>
      </c>
      <c r="J33" s="958" t="s">
        <v>2</v>
      </c>
      <c r="K33" s="898"/>
      <c r="L33" s="899" t="s">
        <v>523</v>
      </c>
      <c r="M33" s="898"/>
      <c r="N33" s="959" t="s">
        <v>524</v>
      </c>
      <c r="O33" s="889"/>
    </row>
    <row r="34" spans="2:15" ht="71" thickBot="1" x14ac:dyDescent="0.2">
      <c r="B34" s="874"/>
      <c r="C34" s="933"/>
      <c r="D34" s="898"/>
      <c r="E34" s="899" t="s">
        <v>525</v>
      </c>
      <c r="F34" s="898"/>
      <c r="G34" s="900" t="s">
        <v>526</v>
      </c>
      <c r="H34" s="898"/>
      <c r="I34" s="980">
        <f>('Bilan début-fin'!J19-'Bilan début-fin'!J16)/'Bilan début-fin'!J43</f>
        <v>3.2203568603517994</v>
      </c>
      <c r="J34" s="958" t="s">
        <v>2</v>
      </c>
      <c r="K34" s="898"/>
      <c r="L34" s="899" t="s">
        <v>527</v>
      </c>
      <c r="M34" s="898"/>
      <c r="N34" s="959" t="s">
        <v>528</v>
      </c>
      <c r="O34" s="889"/>
    </row>
    <row r="35" spans="2:15" ht="5" customHeight="1" thickBot="1" x14ac:dyDescent="0.2">
      <c r="B35" s="960"/>
      <c r="C35" s="961"/>
      <c r="D35" s="961"/>
      <c r="E35" s="961"/>
      <c r="F35" s="961"/>
      <c r="G35" s="961"/>
      <c r="H35" s="961"/>
      <c r="I35" s="962">
        <f>+('[1]Bilan (2)'!E19-'[1]Bilan (2)'!E16)/'[1]Bilan (2)'!E44</f>
        <v>2.5432349949135302E-2</v>
      </c>
      <c r="J35" s="963">
        <v>1.34</v>
      </c>
      <c r="K35" s="961"/>
      <c r="L35" s="961"/>
      <c r="M35" s="961"/>
      <c r="N35" s="961"/>
      <c r="O35" s="964"/>
    </row>
    <row r="36" spans="2:15" ht="14" thickTop="1" x14ac:dyDescent="0.15">
      <c r="C36" s="965"/>
      <c r="D36" s="965"/>
      <c r="E36" s="965"/>
      <c r="F36" s="965"/>
      <c r="G36" s="965"/>
      <c r="H36" s="965"/>
      <c r="I36" s="965"/>
      <c r="J36" s="965"/>
      <c r="K36" s="965"/>
      <c r="L36" s="965"/>
      <c r="M36" s="965"/>
      <c r="N36" s="965"/>
      <c r="O36" s="965"/>
    </row>
    <row r="37" spans="2:15" x14ac:dyDescent="0.15">
      <c r="C37" s="965"/>
      <c r="D37" s="965"/>
      <c r="E37" s="965"/>
      <c r="F37" s="965"/>
      <c r="G37" s="965"/>
      <c r="H37" s="965"/>
      <c r="I37" s="965"/>
      <c r="J37" s="965"/>
      <c r="K37" s="965"/>
      <c r="L37" s="965"/>
      <c r="M37" s="965"/>
      <c r="N37" s="965"/>
      <c r="O37" s="965"/>
    </row>
    <row r="38" spans="2:15" x14ac:dyDescent="0.15">
      <c r="C38" s="965"/>
      <c r="D38" s="965"/>
      <c r="E38" s="965"/>
      <c r="F38" s="965"/>
      <c r="G38" s="965"/>
      <c r="H38" s="965"/>
      <c r="I38" s="965"/>
      <c r="J38" s="965"/>
      <c r="K38" s="965"/>
      <c r="L38" s="965"/>
      <c r="M38" s="965"/>
      <c r="N38" s="965"/>
      <c r="O38" s="965"/>
    </row>
    <row r="39" spans="2:15" x14ac:dyDescent="0.15">
      <c r="C39" s="965"/>
      <c r="D39" s="965"/>
      <c r="E39" s="965"/>
      <c r="F39" s="965"/>
      <c r="G39" s="965"/>
      <c r="H39" s="965"/>
      <c r="I39" s="965"/>
      <c r="J39" s="965"/>
      <c r="K39" s="965"/>
      <c r="L39" s="965"/>
      <c r="M39" s="965"/>
      <c r="N39" s="965"/>
      <c r="O39" s="965"/>
    </row>
    <row r="40" spans="2:15" x14ac:dyDescent="0.15">
      <c r="C40" s="965"/>
      <c r="D40" s="965"/>
      <c r="E40" s="965"/>
      <c r="F40" s="965"/>
      <c r="G40" s="965"/>
      <c r="H40" s="965"/>
      <c r="I40" s="965"/>
      <c r="J40" s="965"/>
      <c r="K40" s="965"/>
      <c r="L40" s="965"/>
      <c r="M40" s="965"/>
      <c r="N40" s="965"/>
      <c r="O40" s="965"/>
    </row>
    <row r="41" spans="2:15" x14ac:dyDescent="0.15">
      <c r="C41" s="965"/>
      <c r="D41" s="965"/>
      <c r="E41" s="965"/>
      <c r="F41" s="965"/>
      <c r="G41" s="965"/>
      <c r="H41" s="965"/>
      <c r="I41" s="965"/>
      <c r="J41" s="965"/>
      <c r="K41" s="965"/>
      <c r="L41" s="965"/>
      <c r="M41" s="965"/>
      <c r="N41" s="965"/>
      <c r="O41" s="965"/>
    </row>
    <row r="42" spans="2:15" x14ac:dyDescent="0.15">
      <c r="C42" s="965"/>
      <c r="D42" s="965"/>
      <c r="E42" s="965"/>
      <c r="F42" s="965"/>
      <c r="G42" s="965"/>
      <c r="H42" s="965"/>
      <c r="I42" s="965"/>
      <c r="J42" s="965"/>
      <c r="K42" s="965"/>
      <c r="L42" s="965"/>
      <c r="M42" s="965"/>
      <c r="N42" s="965"/>
      <c r="O42" s="965"/>
    </row>
    <row r="43" spans="2:15" x14ac:dyDescent="0.15">
      <c r="C43" s="965"/>
      <c r="D43" s="965"/>
      <c r="E43" s="965"/>
      <c r="F43" s="965"/>
      <c r="G43" s="965"/>
      <c r="H43" s="965"/>
      <c r="I43" s="965"/>
      <c r="J43" s="965"/>
      <c r="K43" s="965"/>
      <c r="L43" s="965"/>
      <c r="M43" s="965"/>
      <c r="N43" s="965"/>
      <c r="O43" s="965"/>
    </row>
    <row r="44" spans="2:15" x14ac:dyDescent="0.15">
      <c r="C44" s="965"/>
      <c r="D44" s="965"/>
      <c r="E44" s="965"/>
      <c r="F44" s="965"/>
      <c r="G44" s="965"/>
      <c r="H44" s="965"/>
      <c r="I44" s="965"/>
      <c r="J44" s="965"/>
      <c r="K44" s="965"/>
      <c r="L44" s="965"/>
      <c r="M44" s="965"/>
      <c r="N44" s="965"/>
      <c r="O44" s="965"/>
    </row>
    <row r="45" spans="2:15" x14ac:dyDescent="0.15">
      <c r="C45" s="965"/>
      <c r="D45" s="965"/>
      <c r="E45" s="965"/>
      <c r="F45" s="965"/>
      <c r="G45" s="965"/>
      <c r="H45" s="965"/>
      <c r="I45" s="965"/>
      <c r="J45" s="965"/>
      <c r="K45" s="965"/>
      <c r="L45" s="965"/>
      <c r="M45" s="965"/>
      <c r="N45" s="965"/>
      <c r="O45" s="965"/>
    </row>
    <row r="46" spans="2:15" x14ac:dyDescent="0.15">
      <c r="C46" s="965"/>
      <c r="D46" s="965"/>
      <c r="E46" s="965"/>
      <c r="F46" s="965"/>
      <c r="G46" s="965"/>
      <c r="H46" s="965"/>
      <c r="I46" s="965"/>
      <c r="J46" s="965"/>
      <c r="K46" s="965"/>
      <c r="L46" s="965"/>
      <c r="M46" s="965"/>
      <c r="N46" s="965"/>
      <c r="O46" s="965"/>
    </row>
    <row r="47" spans="2:15" x14ac:dyDescent="0.15">
      <c r="C47" s="965"/>
      <c r="D47" s="965"/>
      <c r="E47" s="965"/>
      <c r="F47" s="965"/>
      <c r="G47" s="965"/>
      <c r="H47" s="965"/>
      <c r="I47" s="965"/>
      <c r="J47" s="965"/>
      <c r="K47" s="965"/>
      <c r="L47" s="965"/>
      <c r="M47" s="965"/>
      <c r="N47" s="965"/>
      <c r="O47" s="965"/>
    </row>
    <row r="48" spans="2:15" x14ac:dyDescent="0.15">
      <c r="C48" s="965"/>
      <c r="D48" s="965"/>
      <c r="E48" s="965"/>
      <c r="F48" s="965"/>
      <c r="G48" s="965"/>
      <c r="H48" s="965"/>
      <c r="I48" s="965"/>
      <c r="J48" s="965"/>
      <c r="K48" s="965"/>
      <c r="L48" s="965"/>
      <c r="M48" s="965"/>
      <c r="N48" s="965"/>
      <c r="O48" s="965"/>
    </row>
    <row r="49" spans="9:14" x14ac:dyDescent="0.15">
      <c r="N49" s="965"/>
    </row>
    <row r="54" spans="9:14" x14ac:dyDescent="0.15">
      <c r="I54" s="865"/>
      <c r="J54" s="865"/>
    </row>
    <row r="55" spans="9:14" x14ac:dyDescent="0.15">
      <c r="I55" s="865"/>
      <c r="J55" s="865"/>
    </row>
    <row r="56" spans="9:14" x14ac:dyDescent="0.15">
      <c r="I56" s="865"/>
      <c r="J56" s="865"/>
    </row>
    <row r="57" spans="9:14" x14ac:dyDescent="0.15">
      <c r="I57" s="865"/>
      <c r="J57" s="865"/>
    </row>
    <row r="58" spans="9:14" x14ac:dyDescent="0.15">
      <c r="I58" s="865"/>
      <c r="J58" s="865"/>
    </row>
    <row r="59" spans="9:14" x14ac:dyDescent="0.15">
      <c r="I59" s="865"/>
      <c r="J59" s="865"/>
    </row>
    <row r="60" spans="9:14" x14ac:dyDescent="0.15">
      <c r="I60" s="865"/>
      <c r="J60" s="865"/>
    </row>
    <row r="61" spans="9:14" x14ac:dyDescent="0.15">
      <c r="I61" s="865"/>
      <c r="J61" s="865"/>
    </row>
    <row r="62" spans="9:14" x14ac:dyDescent="0.15">
      <c r="I62" s="865"/>
      <c r="J62" s="865"/>
    </row>
    <row r="63" spans="9:14" x14ac:dyDescent="0.15">
      <c r="I63" s="865"/>
      <c r="J63" s="865"/>
    </row>
    <row r="64" spans="9:14" x14ac:dyDescent="0.15">
      <c r="I64" s="865"/>
      <c r="J64" s="865"/>
    </row>
    <row r="65" spans="9:10" x14ac:dyDescent="0.15">
      <c r="I65" s="865"/>
      <c r="J65" s="865"/>
    </row>
    <row r="66" spans="9:10" x14ac:dyDescent="0.15">
      <c r="I66" s="865"/>
      <c r="J66" s="865"/>
    </row>
    <row r="67" spans="9:10" x14ac:dyDescent="0.15">
      <c r="I67" s="865"/>
      <c r="J67" s="865"/>
    </row>
    <row r="68" spans="9:10" x14ac:dyDescent="0.15">
      <c r="I68" s="865"/>
      <c r="J68" s="865"/>
    </row>
    <row r="69" spans="9:10" x14ac:dyDescent="0.15">
      <c r="I69" s="865"/>
      <c r="J69" s="865"/>
    </row>
    <row r="70" spans="9:10" x14ac:dyDescent="0.15">
      <c r="I70" s="865"/>
      <c r="J70" s="865"/>
    </row>
    <row r="71" spans="9:10" x14ac:dyDescent="0.15">
      <c r="I71" s="865"/>
      <c r="J71" s="865"/>
    </row>
    <row r="72" spans="9:10" x14ac:dyDescent="0.15">
      <c r="I72" s="865"/>
      <c r="J72" s="865"/>
    </row>
    <row r="73" spans="9:10" x14ac:dyDescent="0.15">
      <c r="I73" s="865"/>
      <c r="J73" s="865"/>
    </row>
    <row r="74" spans="9:10" x14ac:dyDescent="0.15">
      <c r="I74" s="865"/>
      <c r="J74" s="865"/>
    </row>
    <row r="75" spans="9:10" x14ac:dyDescent="0.15">
      <c r="I75" s="865"/>
      <c r="J75" s="865"/>
    </row>
    <row r="76" spans="9:10" x14ac:dyDescent="0.15">
      <c r="I76" s="865"/>
      <c r="J76" s="865"/>
    </row>
    <row r="77" spans="9:10" x14ac:dyDescent="0.15">
      <c r="I77" s="865"/>
      <c r="J77" s="865"/>
    </row>
    <row r="78" spans="9:10" x14ac:dyDescent="0.15">
      <c r="I78" s="865"/>
      <c r="J78" s="865"/>
    </row>
    <row r="79" spans="9:10" x14ac:dyDescent="0.15">
      <c r="I79" s="865"/>
      <c r="J79" s="865"/>
    </row>
    <row r="80" spans="9:10" x14ac:dyDescent="0.15">
      <c r="I80" s="865"/>
      <c r="J80" s="865"/>
    </row>
    <row r="81" spans="9:10" x14ac:dyDescent="0.15">
      <c r="I81" s="865"/>
      <c r="J81" s="865"/>
    </row>
    <row r="82" spans="9:10" x14ac:dyDescent="0.15">
      <c r="I82" s="865"/>
      <c r="J82" s="865"/>
    </row>
    <row r="83" spans="9:10" x14ac:dyDescent="0.15">
      <c r="I83" s="865"/>
      <c r="J83" s="865"/>
    </row>
    <row r="84" spans="9:10" x14ac:dyDescent="0.15">
      <c r="I84" s="865"/>
      <c r="J84" s="865"/>
    </row>
    <row r="85" spans="9:10" x14ac:dyDescent="0.15">
      <c r="I85" s="865"/>
      <c r="J85" s="865"/>
    </row>
    <row r="86" spans="9:10" x14ac:dyDescent="0.15">
      <c r="I86" s="865"/>
      <c r="J86" s="865"/>
    </row>
    <row r="87" spans="9:10" x14ac:dyDescent="0.15">
      <c r="I87" s="865"/>
      <c r="J87" s="865"/>
    </row>
    <row r="88" spans="9:10" x14ac:dyDescent="0.15">
      <c r="I88" s="865"/>
      <c r="J88" s="865"/>
    </row>
    <row r="89" spans="9:10" x14ac:dyDescent="0.15">
      <c r="I89" s="865"/>
      <c r="J89" s="865"/>
    </row>
    <row r="90" spans="9:10" x14ac:dyDescent="0.15">
      <c r="I90" s="865"/>
      <c r="J90" s="865"/>
    </row>
    <row r="91" spans="9:10" x14ac:dyDescent="0.15">
      <c r="I91" s="865"/>
      <c r="J91" s="865"/>
    </row>
    <row r="92" spans="9:10" x14ac:dyDescent="0.15">
      <c r="I92" s="865"/>
      <c r="J92" s="865"/>
    </row>
    <row r="93" spans="9:10" x14ac:dyDescent="0.15">
      <c r="I93" s="865"/>
      <c r="J93" s="865"/>
    </row>
    <row r="94" spans="9:10" x14ac:dyDescent="0.15">
      <c r="I94" s="865"/>
      <c r="J94" s="865"/>
    </row>
    <row r="95" spans="9:10" x14ac:dyDescent="0.15">
      <c r="I95" s="865"/>
      <c r="J95" s="865"/>
    </row>
    <row r="96" spans="9:10" x14ac:dyDescent="0.15">
      <c r="I96" s="865"/>
      <c r="J96" s="865"/>
    </row>
    <row r="97" spans="9:10" x14ac:dyDescent="0.15">
      <c r="I97" s="865"/>
      <c r="J97" s="865"/>
    </row>
    <row r="98" spans="9:10" x14ac:dyDescent="0.15">
      <c r="I98" s="865"/>
      <c r="J98" s="865"/>
    </row>
    <row r="99" spans="9:10" x14ac:dyDescent="0.15">
      <c r="I99" s="865"/>
      <c r="J99" s="865"/>
    </row>
    <row r="100" spans="9:10" x14ac:dyDescent="0.15">
      <c r="I100" s="865"/>
      <c r="J100" s="865"/>
    </row>
    <row r="101" spans="9:10" x14ac:dyDescent="0.15">
      <c r="I101" s="865"/>
      <c r="J101" s="865"/>
    </row>
    <row r="102" spans="9:10" x14ac:dyDescent="0.15">
      <c r="I102" s="865"/>
      <c r="J102" s="865"/>
    </row>
    <row r="103" spans="9:10" x14ac:dyDescent="0.15">
      <c r="I103" s="865"/>
      <c r="J103" s="865"/>
    </row>
    <row r="104" spans="9:10" x14ac:dyDescent="0.15">
      <c r="I104" s="865"/>
      <c r="J104" s="865"/>
    </row>
    <row r="105" spans="9:10" x14ac:dyDescent="0.15">
      <c r="I105" s="865"/>
      <c r="J105" s="865"/>
    </row>
    <row r="106" spans="9:10" x14ac:dyDescent="0.15">
      <c r="I106" s="865"/>
      <c r="J106" s="865"/>
    </row>
    <row r="107" spans="9:10" x14ac:dyDescent="0.15">
      <c r="I107" s="865"/>
      <c r="J107" s="865"/>
    </row>
    <row r="108" spans="9:10" x14ac:dyDescent="0.15">
      <c r="I108" s="865"/>
      <c r="J108" s="865"/>
    </row>
    <row r="109" spans="9:10" x14ac:dyDescent="0.15">
      <c r="I109" s="865"/>
      <c r="J109" s="865"/>
    </row>
    <row r="110" spans="9:10" x14ac:dyDescent="0.15">
      <c r="I110" s="865"/>
      <c r="J110" s="865"/>
    </row>
    <row r="111" spans="9:10" x14ac:dyDescent="0.15">
      <c r="I111" s="865"/>
      <c r="J111" s="865"/>
    </row>
    <row r="112" spans="9:10" x14ac:dyDescent="0.15">
      <c r="I112" s="865"/>
      <c r="J112" s="865"/>
    </row>
    <row r="113" spans="9:10" x14ac:dyDescent="0.15">
      <c r="I113" s="865"/>
      <c r="J113" s="865"/>
    </row>
    <row r="114" spans="9:10" x14ac:dyDescent="0.15">
      <c r="I114" s="865"/>
      <c r="J114" s="865"/>
    </row>
    <row r="115" spans="9:10" x14ac:dyDescent="0.15">
      <c r="I115" s="865"/>
      <c r="J115" s="865"/>
    </row>
    <row r="116" spans="9:10" x14ac:dyDescent="0.15">
      <c r="I116" s="865"/>
      <c r="J116" s="865"/>
    </row>
    <row r="117" spans="9:10" x14ac:dyDescent="0.15">
      <c r="I117" s="865"/>
      <c r="J117" s="865"/>
    </row>
    <row r="118" spans="9:10" x14ac:dyDescent="0.15">
      <c r="I118" s="865"/>
      <c r="J118" s="865"/>
    </row>
    <row r="119" spans="9:10" x14ac:dyDescent="0.15">
      <c r="I119" s="865"/>
      <c r="J119" s="865"/>
    </row>
    <row r="120" spans="9:10" x14ac:dyDescent="0.15">
      <c r="I120" s="865"/>
      <c r="J120" s="865"/>
    </row>
    <row r="121" spans="9:10" x14ac:dyDescent="0.15">
      <c r="I121" s="865"/>
      <c r="J121" s="865"/>
    </row>
    <row r="122" spans="9:10" x14ac:dyDescent="0.15">
      <c r="I122" s="865"/>
      <c r="J122" s="865"/>
    </row>
    <row r="123" spans="9:10" x14ac:dyDescent="0.15">
      <c r="I123" s="865"/>
      <c r="J123" s="865"/>
    </row>
    <row r="124" spans="9:10" x14ac:dyDescent="0.15">
      <c r="I124" s="865"/>
      <c r="J124" s="865"/>
    </row>
    <row r="125" spans="9:10" x14ac:dyDescent="0.15">
      <c r="I125" s="865"/>
      <c r="J125" s="865"/>
    </row>
    <row r="126" spans="9:10" x14ac:dyDescent="0.15">
      <c r="I126" s="865"/>
      <c r="J126" s="865"/>
    </row>
    <row r="127" spans="9:10" x14ac:dyDescent="0.15">
      <c r="I127" s="865"/>
      <c r="J127" s="865"/>
    </row>
    <row r="128" spans="9:10" x14ac:dyDescent="0.15">
      <c r="I128" s="865"/>
      <c r="J128" s="865"/>
    </row>
    <row r="129" spans="9:10" x14ac:dyDescent="0.15">
      <c r="I129" s="865"/>
      <c r="J129" s="865"/>
    </row>
    <row r="130" spans="9:10" x14ac:dyDescent="0.15">
      <c r="I130" s="865"/>
      <c r="J130" s="865"/>
    </row>
    <row r="131" spans="9:10" x14ac:dyDescent="0.15">
      <c r="I131" s="865"/>
      <c r="J131" s="865"/>
    </row>
    <row r="132" spans="9:10" x14ac:dyDescent="0.15">
      <c r="I132" s="865"/>
      <c r="J132" s="865"/>
    </row>
    <row r="133" spans="9:10" x14ac:dyDescent="0.15">
      <c r="I133" s="865"/>
      <c r="J133" s="865"/>
    </row>
    <row r="134" spans="9:10" x14ac:dyDescent="0.15">
      <c r="I134" s="865"/>
      <c r="J134" s="865"/>
    </row>
    <row r="135" spans="9:10" x14ac:dyDescent="0.15">
      <c r="I135" s="865"/>
      <c r="J135" s="865"/>
    </row>
    <row r="136" spans="9:10" x14ac:dyDescent="0.15">
      <c r="I136" s="865"/>
      <c r="J136" s="865"/>
    </row>
    <row r="137" spans="9:10" x14ac:dyDescent="0.15">
      <c r="I137" s="865"/>
      <c r="J137" s="865"/>
    </row>
    <row r="138" spans="9:10" x14ac:dyDescent="0.15">
      <c r="I138" s="865"/>
      <c r="J138" s="865"/>
    </row>
    <row r="139" spans="9:10" x14ac:dyDescent="0.15">
      <c r="I139" s="865"/>
      <c r="J139" s="865"/>
    </row>
    <row r="140" spans="9:10" x14ac:dyDescent="0.15">
      <c r="I140" s="865"/>
      <c r="J140" s="865"/>
    </row>
    <row r="141" spans="9:10" x14ac:dyDescent="0.15">
      <c r="I141" s="865"/>
      <c r="J141" s="865"/>
    </row>
    <row r="142" spans="9:10" x14ac:dyDescent="0.15">
      <c r="I142" s="865"/>
      <c r="J142" s="865"/>
    </row>
    <row r="143" spans="9:10" x14ac:dyDescent="0.15">
      <c r="I143" s="865"/>
      <c r="J143" s="865"/>
    </row>
    <row r="144" spans="9:10" x14ac:dyDescent="0.15">
      <c r="I144" s="865"/>
      <c r="J144" s="865"/>
    </row>
    <row r="145" spans="9:10" x14ac:dyDescent="0.15">
      <c r="I145" s="865"/>
      <c r="J145" s="865"/>
    </row>
    <row r="146" spans="9:10" x14ac:dyDescent="0.15">
      <c r="I146" s="865"/>
      <c r="J146" s="865"/>
    </row>
    <row r="147" spans="9:10" x14ac:dyDescent="0.15">
      <c r="I147" s="865"/>
      <c r="J147" s="865"/>
    </row>
    <row r="148" spans="9:10" x14ac:dyDescent="0.15">
      <c r="I148" s="865"/>
      <c r="J148" s="865"/>
    </row>
    <row r="149" spans="9:10" x14ac:dyDescent="0.15">
      <c r="I149" s="865"/>
      <c r="J149" s="865"/>
    </row>
    <row r="150" spans="9:10" x14ac:dyDescent="0.15">
      <c r="I150" s="865"/>
      <c r="J150" s="865"/>
    </row>
    <row r="151" spans="9:10" x14ac:dyDescent="0.15">
      <c r="I151" s="865"/>
      <c r="J151" s="865"/>
    </row>
    <row r="152" spans="9:10" x14ac:dyDescent="0.15">
      <c r="I152" s="865"/>
      <c r="J152" s="865"/>
    </row>
    <row r="153" spans="9:10" x14ac:dyDescent="0.15">
      <c r="I153" s="865"/>
      <c r="J153" s="865"/>
    </row>
    <row r="154" spans="9:10" x14ac:dyDescent="0.15">
      <c r="I154" s="865"/>
      <c r="J154" s="865"/>
    </row>
    <row r="155" spans="9:10" x14ac:dyDescent="0.15">
      <c r="I155" s="865"/>
      <c r="J155" s="865"/>
    </row>
    <row r="156" spans="9:10" x14ac:dyDescent="0.15">
      <c r="I156" s="865"/>
      <c r="J156" s="865"/>
    </row>
    <row r="157" spans="9:10" x14ac:dyDescent="0.15">
      <c r="I157" s="865"/>
      <c r="J157" s="865"/>
    </row>
    <row r="158" spans="9:10" x14ac:dyDescent="0.15">
      <c r="I158" s="865"/>
      <c r="J158" s="865"/>
    </row>
    <row r="159" spans="9:10" x14ac:dyDescent="0.15">
      <c r="I159" s="865"/>
      <c r="J159" s="865"/>
    </row>
    <row r="160" spans="9:10" x14ac:dyDescent="0.15">
      <c r="I160" s="865"/>
      <c r="J160" s="865"/>
    </row>
    <row r="161" spans="9:10" x14ac:dyDescent="0.15">
      <c r="I161" s="865"/>
      <c r="J161" s="865"/>
    </row>
    <row r="162" spans="9:10" x14ac:dyDescent="0.15">
      <c r="I162" s="865"/>
      <c r="J162" s="865"/>
    </row>
    <row r="163" spans="9:10" x14ac:dyDescent="0.15">
      <c r="I163" s="865"/>
      <c r="J163" s="865"/>
    </row>
    <row r="164" spans="9:10" x14ac:dyDescent="0.15">
      <c r="I164" s="865"/>
      <c r="J164" s="865"/>
    </row>
    <row r="165" spans="9:10" x14ac:dyDescent="0.15">
      <c r="I165" s="865"/>
      <c r="J165" s="865"/>
    </row>
    <row r="166" spans="9:10" x14ac:dyDescent="0.15">
      <c r="I166" s="865"/>
      <c r="J166" s="865"/>
    </row>
    <row r="167" spans="9:10" x14ac:dyDescent="0.15">
      <c r="I167" s="865"/>
      <c r="J167" s="865"/>
    </row>
    <row r="168" spans="9:10" x14ac:dyDescent="0.15">
      <c r="I168" s="865"/>
      <c r="J168" s="865"/>
    </row>
    <row r="169" spans="9:10" x14ac:dyDescent="0.15">
      <c r="I169" s="865"/>
      <c r="J169" s="865"/>
    </row>
    <row r="170" spans="9:10" x14ac:dyDescent="0.15">
      <c r="I170" s="865"/>
      <c r="J170" s="865"/>
    </row>
    <row r="171" spans="9:10" x14ac:dyDescent="0.15">
      <c r="I171" s="865"/>
      <c r="J171" s="865"/>
    </row>
    <row r="172" spans="9:10" x14ac:dyDescent="0.15">
      <c r="I172" s="865"/>
      <c r="J172" s="865"/>
    </row>
    <row r="173" spans="9:10" x14ac:dyDescent="0.15">
      <c r="I173" s="865"/>
      <c r="J173" s="865"/>
    </row>
    <row r="174" spans="9:10" x14ac:dyDescent="0.15">
      <c r="I174" s="865"/>
      <c r="J174" s="865"/>
    </row>
    <row r="175" spans="9:10" x14ac:dyDescent="0.15">
      <c r="I175" s="865"/>
      <c r="J175" s="865"/>
    </row>
    <row r="176" spans="9:10" x14ac:dyDescent="0.15">
      <c r="I176" s="865"/>
      <c r="J176" s="865"/>
    </row>
    <row r="177" spans="9:10" x14ac:dyDescent="0.15">
      <c r="I177" s="865"/>
      <c r="J177" s="865"/>
    </row>
    <row r="178" spans="9:10" x14ac:dyDescent="0.15">
      <c r="I178" s="865"/>
      <c r="J178" s="865"/>
    </row>
    <row r="179" spans="9:10" x14ac:dyDescent="0.15">
      <c r="I179" s="865"/>
      <c r="J179" s="865"/>
    </row>
    <row r="180" spans="9:10" x14ac:dyDescent="0.15">
      <c r="I180" s="865"/>
      <c r="J180" s="865"/>
    </row>
    <row r="181" spans="9:10" x14ac:dyDescent="0.15">
      <c r="I181" s="865"/>
      <c r="J181" s="865"/>
    </row>
    <row r="182" spans="9:10" x14ac:dyDescent="0.15">
      <c r="I182" s="865"/>
      <c r="J182" s="865"/>
    </row>
  </sheetData>
  <sheetProtection algorithmName="SHA-512" hashValue="eJbHi2HA4+8/WkapX1/V+3NPrG1UnyoL+1++ZM/1oCpe2wrpwa2PD65yZimwI2NxmZooiP62kEK7YoWvs0sCcQ==" saltValue="kxZqXD87aFSEFpuLkFn52g==" spinCount="100000" sheet="1" objects="1" scenarios="1"/>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E2552-D69E-F242-971B-B966F760F4A5}">
  <sheetPr>
    <tabColor theme="0" tint="-0.34998626667073579"/>
  </sheetPr>
  <dimension ref="C1:F38"/>
  <sheetViews>
    <sheetView zoomScale="150" zoomScaleNormal="150" workbookViewId="0"/>
  </sheetViews>
  <sheetFormatPr baseColWidth="10" defaultRowHeight="13" x14ac:dyDescent="0.15"/>
  <cols>
    <col min="1" max="1" width="3.33203125" customWidth="1"/>
    <col min="2" max="2" width="2" customWidth="1"/>
    <col min="3" max="3" width="80.1640625" customWidth="1"/>
  </cols>
  <sheetData>
    <row r="1" spans="3:6" ht="14" thickBot="1" x14ac:dyDescent="0.2"/>
    <row r="2" spans="3:6" ht="14" thickTop="1" x14ac:dyDescent="0.15">
      <c r="C2" s="720" t="str">
        <f>'État des Résultats'!C2</f>
        <v>Chez Les Petites Gâteries &amp; Cie.</v>
      </c>
    </row>
    <row r="3" spans="3:6" x14ac:dyDescent="0.15">
      <c r="C3" s="1357" t="s">
        <v>407</v>
      </c>
    </row>
    <row r="4" spans="3:6" ht="14" thickBot="1" x14ac:dyDescent="0.2">
      <c r="C4" s="1358"/>
    </row>
    <row r="5" spans="3:6" ht="15" thickTop="1" thickBot="1" x14ac:dyDescent="0.2">
      <c r="C5" s="721"/>
    </row>
    <row r="6" spans="3:6" ht="14" thickTop="1" x14ac:dyDescent="0.15">
      <c r="C6" s="806" t="str">
        <f>'État des Résultats'!C6</f>
        <v>Nb de places</v>
      </c>
    </row>
    <row r="7" spans="3:6" x14ac:dyDescent="0.15">
      <c r="C7" s="805">
        <f>'État des Résultats'!C7</f>
        <v>1</v>
      </c>
    </row>
    <row r="8" spans="3:6" x14ac:dyDescent="0.15">
      <c r="C8" s="725" t="str">
        <f>'État des Résultats'!C8</f>
        <v>Revenus annuels par place</v>
      </c>
    </row>
    <row r="9" spans="3:6" ht="14" thickBot="1" x14ac:dyDescent="0.2">
      <c r="C9" s="807">
        <f>'État des Résultats'!AP14/Notes!C7</f>
        <v>498333.33333333331</v>
      </c>
    </row>
    <row r="10" spans="3:6" ht="15" thickTop="1" thickBot="1" x14ac:dyDescent="0.2"/>
    <row r="11" spans="3:6" ht="15" thickTop="1" thickBot="1" x14ac:dyDescent="0.2">
      <c r="C11" s="1359" t="s">
        <v>405</v>
      </c>
      <c r="D11" s="1360"/>
      <c r="E11" s="1360"/>
      <c r="F11" s="1361"/>
    </row>
    <row r="12" spans="3:6" ht="14" thickTop="1" x14ac:dyDescent="0.15"/>
    <row r="13" spans="3:6" x14ac:dyDescent="0.15">
      <c r="C13" s="127" t="s">
        <v>406</v>
      </c>
    </row>
    <row r="15" spans="3:6" ht="14" thickBot="1" x14ac:dyDescent="0.2"/>
    <row r="16" spans="3:6" ht="15" thickTop="1" thickBot="1" x14ac:dyDescent="0.2">
      <c r="C16" s="1359" t="s">
        <v>408</v>
      </c>
      <c r="D16" s="1360"/>
      <c r="E16" s="1360"/>
      <c r="F16" s="1361"/>
    </row>
    <row r="17" spans="3:6" ht="14" thickTop="1" x14ac:dyDescent="0.15"/>
    <row r="18" spans="3:6" x14ac:dyDescent="0.15">
      <c r="C18" s="1362" t="s">
        <v>2</v>
      </c>
      <c r="D18" s="1363"/>
      <c r="E18" s="1363"/>
      <c r="F18" s="1363"/>
    </row>
    <row r="19" spans="3:6" x14ac:dyDescent="0.15">
      <c r="C19" s="1363"/>
      <c r="D19" s="1363"/>
      <c r="E19" s="1363"/>
      <c r="F19" s="1363"/>
    </row>
    <row r="21" spans="3:6" x14ac:dyDescent="0.15">
      <c r="F21" s="808"/>
    </row>
    <row r="22" spans="3:6" x14ac:dyDescent="0.15">
      <c r="F22" s="808"/>
    </row>
    <row r="23" spans="3:6" x14ac:dyDescent="0.15">
      <c r="C23" s="127"/>
      <c r="F23" s="810"/>
    </row>
    <row r="24" spans="3:6" x14ac:dyDescent="0.15">
      <c r="C24" s="127"/>
      <c r="F24" s="810"/>
    </row>
    <row r="25" spans="3:6" x14ac:dyDescent="0.15">
      <c r="C25" s="127"/>
      <c r="F25" s="810"/>
    </row>
    <row r="26" spans="3:6" x14ac:dyDescent="0.15">
      <c r="C26" s="127"/>
      <c r="F26" s="810"/>
    </row>
    <row r="27" spans="3:6" x14ac:dyDescent="0.15">
      <c r="C27" s="127"/>
      <c r="F27" s="810"/>
    </row>
    <row r="28" spans="3:6" x14ac:dyDescent="0.15">
      <c r="C28" s="127"/>
      <c r="F28" s="810"/>
    </row>
    <row r="29" spans="3:6" x14ac:dyDescent="0.15">
      <c r="C29" s="127"/>
      <c r="F29" s="810"/>
    </row>
    <row r="30" spans="3:6" ht="14" thickBot="1" x14ac:dyDescent="0.2"/>
    <row r="31" spans="3:6" ht="15" thickTop="1" thickBot="1" x14ac:dyDescent="0.2">
      <c r="C31" s="1359" t="s">
        <v>409</v>
      </c>
      <c r="D31" s="1360"/>
      <c r="E31" s="1360"/>
      <c r="F31" s="1361"/>
    </row>
    <row r="32" spans="3:6" ht="14" thickTop="1" x14ac:dyDescent="0.15"/>
    <row r="33" spans="3:6" x14ac:dyDescent="0.15">
      <c r="F33" s="809" t="s">
        <v>2</v>
      </c>
    </row>
    <row r="34" spans="3:6" x14ac:dyDescent="0.15">
      <c r="C34" s="127"/>
    </row>
    <row r="35" spans="3:6" x14ac:dyDescent="0.15">
      <c r="C35" s="127"/>
    </row>
    <row r="37" spans="3:6" x14ac:dyDescent="0.15">
      <c r="C37" s="127"/>
    </row>
    <row r="38" spans="3:6" x14ac:dyDescent="0.15">
      <c r="C38" s="127"/>
      <c r="F38" s="811"/>
    </row>
  </sheetData>
  <mergeCells count="5">
    <mergeCell ref="C3:C4"/>
    <mergeCell ref="C11:F11"/>
    <mergeCell ref="C31:F31"/>
    <mergeCell ref="C16:F16"/>
    <mergeCell ref="C18:F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election activeCell="A4" sqref="A4"/>
    </sheetView>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1152" t="str">
        <f>+'Calendrier 2021'!B2:O2</f>
        <v>Chez Les Petites Gâteries &amp; Cie.</v>
      </c>
      <c r="C2" s="1153"/>
      <c r="D2" s="1153"/>
      <c r="E2" s="1153"/>
      <c r="F2" s="1153"/>
      <c r="G2" s="1153"/>
      <c r="H2" s="1153"/>
      <c r="I2" s="1153"/>
      <c r="J2" s="1153"/>
      <c r="K2" s="1153"/>
      <c r="L2" s="1153"/>
      <c r="M2" s="1153"/>
      <c r="N2" s="1153"/>
      <c r="O2" s="1153"/>
      <c r="P2" s="1154"/>
    </row>
    <row r="3" spans="2:16" ht="16" x14ac:dyDescent="0.2">
      <c r="B3" s="1155" t="str">
        <f>+'Calendrier 2021'!B3:O3</f>
        <v xml:space="preserve">États des résultats </v>
      </c>
      <c r="C3" s="1156"/>
      <c r="D3" s="1156"/>
      <c r="E3" s="1156"/>
      <c r="F3" s="1156"/>
      <c r="G3" s="1156"/>
      <c r="H3" s="1156"/>
      <c r="I3" s="1156"/>
      <c r="J3" s="1156"/>
      <c r="K3" s="1156"/>
      <c r="L3" s="1156"/>
      <c r="M3" s="1156"/>
      <c r="N3" s="1156"/>
      <c r="O3" s="1156"/>
      <c r="P3" s="1157"/>
    </row>
    <row r="4" spans="2:16" ht="14" thickBot="1" x14ac:dyDescent="0.2">
      <c r="B4" s="1158" t="str">
        <f>+'Calendrier 2021'!B4:O4</f>
        <v>Pour la période du 1er janvier 2021 au 31 décembre 2021</v>
      </c>
      <c r="C4" s="1159"/>
      <c r="D4" s="1159"/>
      <c r="E4" s="1159"/>
      <c r="F4" s="1159"/>
      <c r="G4" s="1159"/>
      <c r="H4" s="1159"/>
      <c r="I4" s="1159"/>
      <c r="J4" s="1159"/>
      <c r="K4" s="1159"/>
      <c r="L4" s="1159"/>
      <c r="M4" s="1159"/>
      <c r="N4" s="1159"/>
      <c r="O4" s="1159"/>
      <c r="P4" s="1160"/>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1165" t="str">
        <f>+'Achalandage 2021'!B7:C7</f>
        <v>NB de place</v>
      </c>
      <c r="C7" s="1166"/>
      <c r="D7" s="117">
        <f>+'Calendrier 2021'!D7</f>
        <v>1</v>
      </c>
      <c r="E7" s="118">
        <f t="shared" ref="E7:O7" si="0">+D7</f>
        <v>1</v>
      </c>
      <c r="F7" s="119">
        <f t="shared" si="0"/>
        <v>1</v>
      </c>
      <c r="G7" s="119">
        <f t="shared" si="0"/>
        <v>1</v>
      </c>
      <c r="H7" s="119">
        <f t="shared" si="0"/>
        <v>1</v>
      </c>
      <c r="I7" s="119">
        <f t="shared" si="0"/>
        <v>1</v>
      </c>
      <c r="J7" s="119">
        <f t="shared" si="0"/>
        <v>1</v>
      </c>
      <c r="K7" s="119">
        <f t="shared" si="0"/>
        <v>1</v>
      </c>
      <c r="L7" s="119">
        <f t="shared" si="0"/>
        <v>1</v>
      </c>
      <c r="M7" s="119">
        <f t="shared" si="0"/>
        <v>1</v>
      </c>
      <c r="N7" s="119">
        <f t="shared" si="0"/>
        <v>1</v>
      </c>
      <c r="O7" s="120">
        <f t="shared" si="0"/>
        <v>1</v>
      </c>
      <c r="P7" s="120">
        <f t="shared" ref="P7" si="1">+O7</f>
        <v>1</v>
      </c>
    </row>
    <row r="8" spans="2:16" ht="15" thickTop="1" thickBot="1" x14ac:dyDescent="0.2">
      <c r="B8" s="1167" t="s">
        <v>28</v>
      </c>
      <c r="C8" s="1168"/>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1169" t="s">
        <v>29</v>
      </c>
      <c r="C9" s="1170"/>
      <c r="D9" s="286">
        <f t="shared" ref="D9:O9" si="2">+D8</f>
        <v>31</v>
      </c>
      <c r="E9" s="286">
        <f t="shared" si="2"/>
        <v>28</v>
      </c>
      <c r="F9" s="286">
        <f t="shared" si="2"/>
        <v>31</v>
      </c>
      <c r="G9" s="286">
        <f t="shared" si="2"/>
        <v>30</v>
      </c>
      <c r="H9" s="286">
        <f t="shared" si="2"/>
        <v>31</v>
      </c>
      <c r="I9" s="286">
        <f t="shared" si="2"/>
        <v>30</v>
      </c>
      <c r="J9" s="286">
        <f t="shared" si="2"/>
        <v>31</v>
      </c>
      <c r="K9" s="286">
        <f t="shared" si="2"/>
        <v>31</v>
      </c>
      <c r="L9" s="286">
        <f t="shared" si="2"/>
        <v>30</v>
      </c>
      <c r="M9" s="286">
        <f t="shared" si="2"/>
        <v>31</v>
      </c>
      <c r="N9" s="286">
        <f t="shared" si="2"/>
        <v>30</v>
      </c>
      <c r="O9" s="286">
        <f t="shared" si="2"/>
        <v>31</v>
      </c>
      <c r="P9" s="116">
        <f>+D9+E9+F9+G9+H9+I9+J9+K9+L9+M9+N9+O9</f>
        <v>365</v>
      </c>
    </row>
    <row r="10" spans="2:16" ht="15" thickTop="1" thickBot="1" x14ac:dyDescent="0.2">
      <c r="B10" s="106" t="s">
        <v>52</v>
      </c>
      <c r="C10" s="107" t="s">
        <v>2</v>
      </c>
      <c r="D10" s="108">
        <f t="shared" ref="D10:O10" si="3">+D19/$P$19</f>
        <v>7.3230769230769224E-2</v>
      </c>
      <c r="E10" s="108">
        <f t="shared" si="3"/>
        <v>7.0980769230769236E-2</v>
      </c>
      <c r="F10" s="108">
        <f t="shared" si="3"/>
        <v>7.9096153846153844E-2</v>
      </c>
      <c r="G10" s="108">
        <f t="shared" si="3"/>
        <v>8.0019230769230773E-2</v>
      </c>
      <c r="H10" s="108">
        <f t="shared" si="3"/>
        <v>8.615384615384615E-2</v>
      </c>
      <c r="I10" s="108">
        <f t="shared" si="3"/>
        <v>8.8538461538461538E-2</v>
      </c>
      <c r="J10" s="108">
        <f t="shared" si="3"/>
        <v>9.1788461538461541E-2</v>
      </c>
      <c r="K10" s="108">
        <f t="shared" si="3"/>
        <v>9.2999999999999999E-2</v>
      </c>
      <c r="L10" s="108">
        <f t="shared" si="3"/>
        <v>8.5038461538461535E-2</v>
      </c>
      <c r="M10" s="108">
        <f t="shared" si="3"/>
        <v>8.5115384615384621E-2</v>
      </c>
      <c r="N10" s="108">
        <f t="shared" si="3"/>
        <v>7.9115384615384615E-2</v>
      </c>
      <c r="O10" s="108">
        <f t="shared" si="3"/>
        <v>8.7923076923076923E-2</v>
      </c>
      <c r="P10" s="109">
        <f>+D10+E10+F10+G10+H10+I10+J10+K10+L10+M10+N10+O10</f>
        <v>0.99999999999999978</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620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560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620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560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620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600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620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620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580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620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600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620</v>
      </c>
      <c r="P11" s="66">
        <f>+D11+E11+F11+G11+H11+I11+J11+K11+L11+M11+N11+O11</f>
        <v>7240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793</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263</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420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1385</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310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868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750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740</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628</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775</v>
      </c>
      <c r="P12" s="67">
        <f>+D12+E12+F12+G12+H12+I12+J12+K12+L12+M12+N12+O12</f>
        <v>7692</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800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1370</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1085</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1220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1416</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1350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1387</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878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762</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744</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745</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775</v>
      </c>
      <c r="P13" s="67">
        <f t="shared" ref="P13:P17" si="4">+D13+E13+F13+G13+H13+I13+J13+K13+L13+M13+N13+O13</f>
        <v>12532</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435</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413</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424</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441</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400</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542</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700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948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830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834</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737</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855</v>
      </c>
      <c r="P14" s="67">
        <f t="shared" si="4"/>
        <v>7559</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800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273</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1085</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1190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349</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1200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526</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871</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750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744</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747</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775</v>
      </c>
      <c r="P15" s="67">
        <f t="shared" si="4"/>
        <v>9310</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360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812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589</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310</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462</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1230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651</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750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744</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657</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772</v>
      </c>
      <c r="P16" s="67">
        <f t="shared" si="4"/>
        <v>7667</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3808</v>
      </c>
      <c r="E18" s="65">
        <f t="shared" si="5"/>
        <v>3691</v>
      </c>
      <c r="F18" s="65">
        <f t="shared" si="5"/>
        <v>4113</v>
      </c>
      <c r="G18" s="65">
        <f t="shared" si="5"/>
        <v>4161</v>
      </c>
      <c r="H18" s="65">
        <f t="shared" si="5"/>
        <v>4480</v>
      </c>
      <c r="I18" s="65">
        <f t="shared" si="5"/>
        <v>4604</v>
      </c>
      <c r="J18" s="65">
        <f t="shared" si="5"/>
        <v>4773</v>
      </c>
      <c r="K18" s="65">
        <f t="shared" si="5"/>
        <v>4836</v>
      </c>
      <c r="L18" s="65">
        <f t="shared" si="5"/>
        <v>4422</v>
      </c>
      <c r="M18" s="65">
        <f t="shared" si="5"/>
        <v>4426</v>
      </c>
      <c r="N18" s="65">
        <f t="shared" si="5"/>
        <v>4114</v>
      </c>
      <c r="O18" s="65">
        <f t="shared" si="5"/>
        <v>4572</v>
      </c>
      <c r="P18" s="68">
        <f t="shared" si="5"/>
        <v>52000</v>
      </c>
    </row>
    <row r="19" spans="2:16" ht="15" thickTop="1" thickBot="1" x14ac:dyDescent="0.2">
      <c r="B19" s="1163" t="s">
        <v>51</v>
      </c>
      <c r="C19" s="1164"/>
      <c r="D19" s="110">
        <f>+'Achalandage 2021'!D395</f>
        <v>3808</v>
      </c>
      <c r="E19" s="110">
        <f>+'Achalandage 2021'!E395</f>
        <v>3691</v>
      </c>
      <c r="F19" s="110">
        <f>+'Achalandage 2021'!F395</f>
        <v>4113</v>
      </c>
      <c r="G19" s="110">
        <f>+'Achalandage 2021'!G395</f>
        <v>4161</v>
      </c>
      <c r="H19" s="110">
        <f>+'Achalandage 2021'!H395</f>
        <v>4480</v>
      </c>
      <c r="I19" s="110">
        <f>+'Achalandage 2021'!I395</f>
        <v>4604</v>
      </c>
      <c r="J19" s="110">
        <f>+'Achalandage 2021'!J395</f>
        <v>4773</v>
      </c>
      <c r="K19" s="110">
        <f>+'Achalandage 2021'!K395</f>
        <v>4836</v>
      </c>
      <c r="L19" s="110">
        <f>+'Achalandage 2021'!L395</f>
        <v>4422</v>
      </c>
      <c r="M19" s="110">
        <f>+'Achalandage 2021'!M395</f>
        <v>4426</v>
      </c>
      <c r="N19" s="110">
        <f>+'Achalandage 2021'!N395</f>
        <v>4114</v>
      </c>
      <c r="O19" s="110">
        <f>+'Achalandage 2021'!O395</f>
        <v>4572</v>
      </c>
      <c r="P19" s="111">
        <f>+D19+E19+F19+G19+H19+I19+J19+K19+L19+M19+N19+O19</f>
        <v>52000</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1161" t="s">
        <v>53</v>
      </c>
      <c r="C21" s="1162"/>
      <c r="D21" s="112">
        <f t="shared" ref="D21:P21" si="6">+D19/(D7*D9)</f>
        <v>122.83870967741936</v>
      </c>
      <c r="E21" s="112">
        <f t="shared" si="6"/>
        <v>131.82142857142858</v>
      </c>
      <c r="F21" s="112">
        <f t="shared" si="6"/>
        <v>132.67741935483872</v>
      </c>
      <c r="G21" s="112">
        <f t="shared" si="6"/>
        <v>138.69999999999999</v>
      </c>
      <c r="H21" s="112">
        <f t="shared" si="6"/>
        <v>144.51612903225808</v>
      </c>
      <c r="I21" s="112">
        <f t="shared" si="6"/>
        <v>153.46666666666667</v>
      </c>
      <c r="J21" s="112">
        <f t="shared" si="6"/>
        <v>153.96774193548387</v>
      </c>
      <c r="K21" s="112">
        <f t="shared" si="6"/>
        <v>156</v>
      </c>
      <c r="L21" s="112">
        <f t="shared" si="6"/>
        <v>147.4</v>
      </c>
      <c r="M21" s="112">
        <f t="shared" si="6"/>
        <v>142.7741935483871</v>
      </c>
      <c r="N21" s="112">
        <f t="shared" si="6"/>
        <v>137.13333333333333</v>
      </c>
      <c r="O21" s="112">
        <f t="shared" si="6"/>
        <v>147.48387096774192</v>
      </c>
      <c r="P21" s="113">
        <f t="shared" si="6"/>
        <v>142.46575342465752</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1161" t="s">
        <v>54</v>
      </c>
      <c r="C23" s="1162"/>
      <c r="D23" s="114">
        <f t="shared" ref="D23:P23" si="7">+D19/(D7*D9)</f>
        <v>122.83870967741936</v>
      </c>
      <c r="E23" s="114">
        <f t="shared" si="7"/>
        <v>131.82142857142858</v>
      </c>
      <c r="F23" s="114">
        <f t="shared" si="7"/>
        <v>132.67741935483872</v>
      </c>
      <c r="G23" s="114">
        <f t="shared" si="7"/>
        <v>138.69999999999999</v>
      </c>
      <c r="H23" s="114">
        <f t="shared" si="7"/>
        <v>144.51612903225808</v>
      </c>
      <c r="I23" s="114">
        <f t="shared" si="7"/>
        <v>153.46666666666667</v>
      </c>
      <c r="J23" s="114">
        <f t="shared" si="7"/>
        <v>153.96774193548387</v>
      </c>
      <c r="K23" s="114">
        <f t="shared" si="7"/>
        <v>156</v>
      </c>
      <c r="L23" s="114">
        <f t="shared" si="7"/>
        <v>147.4</v>
      </c>
      <c r="M23" s="114">
        <f t="shared" si="7"/>
        <v>142.7741935483871</v>
      </c>
      <c r="N23" s="114">
        <f t="shared" si="7"/>
        <v>137.13333333333333</v>
      </c>
      <c r="O23" s="114">
        <f t="shared" si="7"/>
        <v>147.48387096774192</v>
      </c>
      <c r="P23" s="115">
        <f t="shared" si="7"/>
        <v>142.46575342465752</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D4" activePane="bottomRight" state="frozen"/>
      <selection pane="topRight" activeCell="D1" sqref="D1"/>
      <selection pane="bottomLeft" activeCell="A4" sqref="A4"/>
      <selection pane="bottomRight"/>
    </sheetView>
  </sheetViews>
  <sheetFormatPr baseColWidth="10" defaultRowHeight="13" x14ac:dyDescent="0.15"/>
  <cols>
    <col min="1" max="1" width="3.6640625" style="161" customWidth="1"/>
    <col min="2" max="2" width="10.1640625" style="161" customWidth="1"/>
    <col min="3" max="3" width="2" style="16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0.83203125" style="16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1206" t="s">
        <v>10</v>
      </c>
      <c r="E2" s="1207"/>
      <c r="F2" s="1207"/>
      <c r="G2" s="1207"/>
      <c r="H2" s="1207"/>
      <c r="I2" s="1207"/>
      <c r="J2" s="1207"/>
      <c r="K2" s="1207"/>
      <c r="L2" s="1207"/>
      <c r="M2" s="1207"/>
      <c r="N2" s="1208"/>
      <c r="P2" s="1206" t="s">
        <v>168</v>
      </c>
      <c r="Q2" s="1207"/>
      <c r="R2" s="1207"/>
      <c r="S2" s="1207"/>
      <c r="T2" s="1207"/>
      <c r="U2" s="1207"/>
      <c r="V2" s="1207"/>
      <c r="W2" s="1207"/>
      <c r="X2" s="1207"/>
      <c r="Y2" s="1207"/>
      <c r="Z2" s="1208"/>
      <c r="AB2" s="1206" t="s">
        <v>167</v>
      </c>
      <c r="AC2" s="1207"/>
      <c r="AD2" s="1207"/>
      <c r="AE2" s="1207"/>
      <c r="AF2" s="1207"/>
      <c r="AG2" s="1207"/>
      <c r="AH2" s="1207"/>
      <c r="AI2" s="1207"/>
      <c r="AJ2" s="1207"/>
      <c r="AK2" s="1207"/>
      <c r="AL2" s="1208"/>
      <c r="AN2" s="1206" t="s">
        <v>169</v>
      </c>
      <c r="AO2" s="1207"/>
      <c r="AP2" s="1207"/>
      <c r="AQ2" s="1207"/>
      <c r="AR2" s="1207"/>
      <c r="AS2" s="1207"/>
      <c r="AT2" s="1207"/>
      <c r="AU2" s="1207"/>
      <c r="AV2" s="1207"/>
      <c r="AW2" s="1207"/>
      <c r="AX2" s="1208"/>
      <c r="AZ2" s="1206" t="s">
        <v>237</v>
      </c>
      <c r="BA2" s="1207"/>
      <c r="BB2" s="1207"/>
      <c r="BC2" s="1207"/>
      <c r="BD2" s="1207"/>
      <c r="BE2" s="1207"/>
      <c r="BF2" s="1207"/>
      <c r="BG2" s="1207"/>
      <c r="BH2" s="1207"/>
      <c r="BI2" s="1207"/>
      <c r="BJ2" s="1208"/>
      <c r="BL2" s="1206" t="s">
        <v>238</v>
      </c>
      <c r="BM2" s="1207"/>
      <c r="BN2" s="1207"/>
      <c r="BO2" s="1207"/>
      <c r="BP2" s="1207"/>
      <c r="BQ2" s="1207"/>
      <c r="BR2" s="1207"/>
      <c r="BS2" s="1207"/>
      <c r="BT2" s="1207"/>
      <c r="BU2" s="1207"/>
      <c r="BV2" s="1208"/>
    </row>
    <row r="3" spans="2:74" ht="14" customHeight="1" thickBot="1" x14ac:dyDescent="0.2">
      <c r="C3" s="209"/>
      <c r="D3" s="1209"/>
      <c r="E3" s="1210"/>
      <c r="F3" s="1210"/>
      <c r="G3" s="1210"/>
      <c r="H3" s="1210"/>
      <c r="I3" s="1210"/>
      <c r="J3" s="1210"/>
      <c r="K3" s="1210"/>
      <c r="L3" s="1210"/>
      <c r="M3" s="1210"/>
      <c r="N3" s="1211"/>
      <c r="P3" s="1209"/>
      <c r="Q3" s="1210"/>
      <c r="R3" s="1210"/>
      <c r="S3" s="1210"/>
      <c r="T3" s="1210"/>
      <c r="U3" s="1210"/>
      <c r="V3" s="1210"/>
      <c r="W3" s="1210"/>
      <c r="X3" s="1210"/>
      <c r="Y3" s="1210"/>
      <c r="Z3" s="1211"/>
      <c r="AB3" s="1209"/>
      <c r="AC3" s="1210"/>
      <c r="AD3" s="1210"/>
      <c r="AE3" s="1210"/>
      <c r="AF3" s="1210"/>
      <c r="AG3" s="1210"/>
      <c r="AH3" s="1210"/>
      <c r="AI3" s="1210"/>
      <c r="AJ3" s="1210"/>
      <c r="AK3" s="1210"/>
      <c r="AL3" s="1211"/>
      <c r="AN3" s="1209"/>
      <c r="AO3" s="1210"/>
      <c r="AP3" s="1210"/>
      <c r="AQ3" s="1210"/>
      <c r="AR3" s="1210"/>
      <c r="AS3" s="1210"/>
      <c r="AT3" s="1210"/>
      <c r="AU3" s="1210"/>
      <c r="AV3" s="1210"/>
      <c r="AW3" s="1210"/>
      <c r="AX3" s="1211"/>
      <c r="AZ3" s="1209"/>
      <c r="BA3" s="1210"/>
      <c r="BB3" s="1210"/>
      <c r="BC3" s="1210"/>
      <c r="BD3" s="1210"/>
      <c r="BE3" s="1210"/>
      <c r="BF3" s="1210"/>
      <c r="BG3" s="1210"/>
      <c r="BH3" s="1210"/>
      <c r="BI3" s="1210"/>
      <c r="BJ3" s="1211"/>
      <c r="BL3" s="1209"/>
      <c r="BM3" s="1210"/>
      <c r="BN3" s="1210"/>
      <c r="BO3" s="1210"/>
      <c r="BP3" s="1210"/>
      <c r="BQ3" s="1210"/>
      <c r="BR3" s="1210"/>
      <c r="BS3" s="1210"/>
      <c r="BT3" s="1210"/>
      <c r="BU3" s="1210"/>
      <c r="BV3" s="1211"/>
    </row>
    <row r="4" spans="2:74" ht="10" customHeight="1" thickTop="1" thickBot="1" x14ac:dyDescent="0.2">
      <c r="C4" s="209"/>
    </row>
    <row r="5" spans="2:74" ht="17" thickTop="1" x14ac:dyDescent="0.2">
      <c r="B5" s="1219">
        <v>1</v>
      </c>
      <c r="C5" s="1231"/>
      <c r="D5" s="1183" t="s">
        <v>42</v>
      </c>
      <c r="E5" s="331"/>
      <c r="F5" s="331"/>
      <c r="G5" s="331"/>
      <c r="H5" s="331"/>
      <c r="I5" s="331"/>
      <c r="J5" s="331"/>
      <c r="K5" s="331"/>
      <c r="L5" s="331"/>
      <c r="M5" s="331"/>
      <c r="N5" s="1186" t="s">
        <v>43</v>
      </c>
      <c r="O5" s="1215"/>
      <c r="P5" s="1183" t="s">
        <v>42</v>
      </c>
      <c r="Q5" s="331"/>
      <c r="R5" s="331"/>
      <c r="S5" s="331"/>
      <c r="T5" s="331"/>
      <c r="U5" s="331"/>
      <c r="V5" s="331"/>
      <c r="W5" s="331"/>
      <c r="X5" s="331"/>
      <c r="Y5" s="331"/>
      <c r="Z5" s="1186" t="s">
        <v>43</v>
      </c>
      <c r="AA5" s="1215"/>
      <c r="AB5" s="1183" t="s">
        <v>42</v>
      </c>
      <c r="AC5" s="331"/>
      <c r="AD5" s="331"/>
      <c r="AE5" s="331"/>
      <c r="AF5" s="331"/>
      <c r="AG5" s="331"/>
      <c r="AH5" s="331"/>
      <c r="AI5" s="331"/>
      <c r="AJ5" s="331"/>
      <c r="AK5" s="331"/>
      <c r="AL5" s="1186" t="s">
        <v>43</v>
      </c>
      <c r="AM5" s="1215"/>
      <c r="AN5" s="1183" t="s">
        <v>42</v>
      </c>
      <c r="AO5" s="331"/>
      <c r="AP5" s="331"/>
      <c r="AQ5" s="331"/>
      <c r="AR5" s="331"/>
      <c r="AS5" s="331"/>
      <c r="AT5" s="331"/>
      <c r="AU5" s="331"/>
      <c r="AV5" s="331"/>
      <c r="AW5" s="331"/>
      <c r="AX5" s="1186" t="s">
        <v>43</v>
      </c>
      <c r="AZ5" s="1183" t="s">
        <v>42</v>
      </c>
      <c r="BA5" s="331"/>
      <c r="BB5" s="331"/>
      <c r="BC5" s="331"/>
      <c r="BD5" s="331"/>
      <c r="BE5" s="331"/>
      <c r="BF5" s="331"/>
      <c r="BG5" s="331"/>
      <c r="BH5" s="331"/>
      <c r="BI5" s="331"/>
      <c r="BJ5" s="1186" t="s">
        <v>43</v>
      </c>
      <c r="BL5" s="1183" t="s">
        <v>42</v>
      </c>
      <c r="BM5" s="331"/>
      <c r="BN5" s="331"/>
      <c r="BO5" s="331"/>
      <c r="BP5" s="331"/>
      <c r="BQ5" s="331"/>
      <c r="BR5" s="331"/>
      <c r="BS5" s="331"/>
      <c r="BT5" s="331"/>
      <c r="BU5" s="331"/>
      <c r="BV5" s="1186" t="s">
        <v>43</v>
      </c>
    </row>
    <row r="6" spans="2:74" ht="16" x14ac:dyDescent="0.2">
      <c r="B6" s="1220"/>
      <c r="C6" s="1231"/>
      <c r="D6" s="1184"/>
      <c r="E6" s="332"/>
      <c r="F6" s="332"/>
      <c r="G6" s="332"/>
      <c r="H6" s="332"/>
      <c r="I6" s="332"/>
      <c r="J6" s="332"/>
      <c r="K6" s="332"/>
      <c r="L6" s="332"/>
      <c r="M6" s="332"/>
      <c r="N6" s="1187"/>
      <c r="O6" s="1215"/>
      <c r="P6" s="1184"/>
      <c r="Q6" s="332"/>
      <c r="R6" s="332"/>
      <c r="S6" s="332"/>
      <c r="T6" s="332"/>
      <c r="U6" s="332"/>
      <c r="V6" s="332"/>
      <c r="W6" s="332"/>
      <c r="X6" s="332"/>
      <c r="Y6" s="332"/>
      <c r="Z6" s="1187"/>
      <c r="AA6" s="1215"/>
      <c r="AB6" s="1184"/>
      <c r="AC6" s="332"/>
      <c r="AD6" s="332"/>
      <c r="AE6" s="332"/>
      <c r="AF6" s="332"/>
      <c r="AG6" s="332"/>
      <c r="AH6" s="332"/>
      <c r="AI6" s="332"/>
      <c r="AJ6" s="332"/>
      <c r="AK6" s="332"/>
      <c r="AL6" s="1187"/>
      <c r="AM6" s="1215"/>
      <c r="AN6" s="1184"/>
      <c r="AO6" s="332"/>
      <c r="AP6" s="332"/>
      <c r="AQ6" s="332"/>
      <c r="AR6" s="332"/>
      <c r="AS6" s="332"/>
      <c r="AT6" s="332"/>
      <c r="AU6" s="332"/>
      <c r="AV6" s="332"/>
      <c r="AW6" s="332"/>
      <c r="AX6" s="1187"/>
      <c r="AZ6" s="1184"/>
      <c r="BA6" s="332"/>
      <c r="BB6" s="332"/>
      <c r="BC6" s="332"/>
      <c r="BD6" s="332"/>
      <c r="BE6" s="332"/>
      <c r="BF6" s="332"/>
      <c r="BG6" s="332"/>
      <c r="BH6" s="332"/>
      <c r="BI6" s="332"/>
      <c r="BJ6" s="1187"/>
      <c r="BL6" s="1184"/>
      <c r="BM6" s="332"/>
      <c r="BN6" s="332"/>
      <c r="BO6" s="332"/>
      <c r="BP6" s="332"/>
      <c r="BQ6" s="332"/>
      <c r="BR6" s="332"/>
      <c r="BS6" s="332"/>
      <c r="BT6" s="332"/>
      <c r="BU6" s="332"/>
      <c r="BV6" s="1187"/>
    </row>
    <row r="7" spans="2:74" ht="21" x14ac:dyDescent="0.25">
      <c r="B7" s="1220"/>
      <c r="C7" s="1231"/>
      <c r="D7" s="1184"/>
      <c r="E7" s="333" t="s">
        <v>163</v>
      </c>
      <c r="F7" s="333" t="s">
        <v>44</v>
      </c>
      <c r="G7" s="333" t="s">
        <v>165</v>
      </c>
      <c r="H7" s="333" t="s">
        <v>45</v>
      </c>
      <c r="I7" s="333" t="s">
        <v>46</v>
      </c>
      <c r="J7" s="333" t="s">
        <v>47</v>
      </c>
      <c r="K7" s="333" t="s">
        <v>45</v>
      </c>
      <c r="L7" s="333" t="s">
        <v>48</v>
      </c>
      <c r="M7" s="333" t="s">
        <v>49</v>
      </c>
      <c r="N7" s="1187"/>
      <c r="O7" s="1215"/>
      <c r="P7" s="1184"/>
      <c r="Q7" s="333" t="str">
        <f>E7</f>
        <v>Demande mensuelle</v>
      </c>
      <c r="R7" s="333" t="s">
        <v>44</v>
      </c>
      <c r="S7" s="333" t="str">
        <f>G7</f>
        <v>Achalandage mensuel</v>
      </c>
      <c r="T7" s="333" t="s">
        <v>45</v>
      </c>
      <c r="U7" s="333" t="s">
        <v>46</v>
      </c>
      <c r="V7" s="333" t="str">
        <f>J7</f>
        <v>Um/A</v>
      </c>
      <c r="W7" s="333" t="s">
        <v>45</v>
      </c>
      <c r="X7" s="333" t="str">
        <f>L7</f>
        <v>PmO</v>
      </c>
      <c r="Y7" s="333" t="s">
        <v>49</v>
      </c>
      <c r="Z7" s="1187"/>
      <c r="AA7" s="1215"/>
      <c r="AB7" s="1184"/>
      <c r="AC7" s="333" t="str">
        <f>E7</f>
        <v>Demande mensuelle</v>
      </c>
      <c r="AD7" s="333" t="s">
        <v>44</v>
      </c>
      <c r="AE7" s="333" t="str">
        <f>G7</f>
        <v>Achalandage mensuel</v>
      </c>
      <c r="AF7" s="333" t="s">
        <v>45</v>
      </c>
      <c r="AG7" s="333" t="s">
        <v>46</v>
      </c>
      <c r="AH7" s="333" t="str">
        <f>J7</f>
        <v>Um/A</v>
      </c>
      <c r="AI7" s="333" t="s">
        <v>45</v>
      </c>
      <c r="AJ7" s="333" t="str">
        <f>L7</f>
        <v>PmO</v>
      </c>
      <c r="AK7" s="333" t="s">
        <v>49</v>
      </c>
      <c r="AL7" s="1187"/>
      <c r="AM7" s="1215"/>
      <c r="AN7" s="1184"/>
      <c r="AO7" s="333" t="str">
        <f>E7</f>
        <v>Demande mensuelle</v>
      </c>
      <c r="AP7" s="333" t="s">
        <v>44</v>
      </c>
      <c r="AQ7" s="333" t="str">
        <f>G7</f>
        <v>Achalandage mensuel</v>
      </c>
      <c r="AR7" s="333" t="s">
        <v>45</v>
      </c>
      <c r="AS7" s="333" t="s">
        <v>46</v>
      </c>
      <c r="AT7" s="333" t="str">
        <f>J7</f>
        <v>Um/A</v>
      </c>
      <c r="AU7" s="333" t="s">
        <v>45</v>
      </c>
      <c r="AV7" s="333" t="str">
        <f>L7</f>
        <v>PmO</v>
      </c>
      <c r="AW7" s="333" t="s">
        <v>49</v>
      </c>
      <c r="AX7" s="1187"/>
      <c r="AZ7" s="1184"/>
      <c r="BA7" s="333" t="s">
        <v>241</v>
      </c>
      <c r="BB7" s="333" t="s">
        <v>44</v>
      </c>
      <c r="BC7" s="333" t="str">
        <f>G7</f>
        <v>Achalandage mensuel</v>
      </c>
      <c r="BD7" s="333" t="s">
        <v>45</v>
      </c>
      <c r="BE7" s="333" t="s">
        <v>46</v>
      </c>
      <c r="BF7" s="333" t="str">
        <f>J7</f>
        <v>Um/A</v>
      </c>
      <c r="BG7" s="333" t="s">
        <v>45</v>
      </c>
      <c r="BH7" s="333" t="s">
        <v>232</v>
      </c>
      <c r="BI7" s="333" t="s">
        <v>49</v>
      </c>
      <c r="BJ7" s="1187"/>
      <c r="BL7" s="1184"/>
      <c r="BM7" s="333" t="s">
        <v>242</v>
      </c>
      <c r="BN7" s="333" t="s">
        <v>44</v>
      </c>
      <c r="BO7" s="333" t="str">
        <f>S7</f>
        <v>Achalandage mensuel</v>
      </c>
      <c r="BP7" s="333" t="s">
        <v>45</v>
      </c>
      <c r="BQ7" s="333" t="s">
        <v>46</v>
      </c>
      <c r="BR7" s="333" t="str">
        <f>V7</f>
        <v>Um/A</v>
      </c>
      <c r="BS7" s="333" t="s">
        <v>45</v>
      </c>
      <c r="BT7" s="333" t="s">
        <v>236</v>
      </c>
      <c r="BU7" s="333" t="s">
        <v>49</v>
      </c>
      <c r="BV7" s="1187"/>
    </row>
    <row r="8" spans="2:74" ht="19" x14ac:dyDescent="0.25">
      <c r="B8" s="1220"/>
      <c r="C8" s="1231"/>
      <c r="D8" s="1184"/>
      <c r="E8" s="334" t="s">
        <v>2</v>
      </c>
      <c r="F8" s="335"/>
      <c r="G8" s="334"/>
      <c r="H8" s="335"/>
      <c r="I8" s="335"/>
      <c r="J8" s="335"/>
      <c r="K8" s="335"/>
      <c r="L8" s="335"/>
      <c r="M8" s="335"/>
      <c r="N8" s="1187"/>
      <c r="O8" s="1215"/>
      <c r="P8" s="1184"/>
      <c r="Q8" s="334" t="s">
        <v>2</v>
      </c>
      <c r="R8" s="335"/>
      <c r="S8" s="334"/>
      <c r="T8" s="335"/>
      <c r="U8" s="335"/>
      <c r="V8" s="335"/>
      <c r="W8" s="335"/>
      <c r="X8" s="335"/>
      <c r="Y8" s="335"/>
      <c r="Z8" s="1187"/>
      <c r="AA8" s="1215"/>
      <c r="AB8" s="1184"/>
      <c r="AC8" s="334" t="s">
        <v>2</v>
      </c>
      <c r="AD8" s="335"/>
      <c r="AE8" s="334"/>
      <c r="AF8" s="335"/>
      <c r="AG8" s="335"/>
      <c r="AH8" s="335"/>
      <c r="AI8" s="335"/>
      <c r="AJ8" s="335"/>
      <c r="AK8" s="335"/>
      <c r="AL8" s="1187"/>
      <c r="AM8" s="1215"/>
      <c r="AN8" s="1184"/>
      <c r="AO8" s="334" t="s">
        <v>2</v>
      </c>
      <c r="AP8" s="335"/>
      <c r="AQ8" s="334"/>
      <c r="AR8" s="335"/>
      <c r="AS8" s="335"/>
      <c r="AT8" s="335"/>
      <c r="AU8" s="335"/>
      <c r="AV8" s="335"/>
      <c r="AW8" s="335"/>
      <c r="AX8" s="1187"/>
      <c r="AZ8" s="1184"/>
      <c r="BA8" s="334" t="s">
        <v>2</v>
      </c>
      <c r="BB8" s="335"/>
      <c r="BC8" s="334"/>
      <c r="BD8" s="335"/>
      <c r="BE8" s="335"/>
      <c r="BF8" s="335"/>
      <c r="BG8" s="335"/>
      <c r="BH8" s="335"/>
      <c r="BI8" s="335"/>
      <c r="BJ8" s="1187"/>
      <c r="BL8" s="1184"/>
      <c r="BM8" s="334" t="s">
        <v>2</v>
      </c>
      <c r="BN8" s="335"/>
      <c r="BO8" s="334"/>
      <c r="BP8" s="335"/>
      <c r="BQ8" s="335"/>
      <c r="BR8" s="335"/>
      <c r="BS8" s="335"/>
      <c r="BT8" s="335"/>
      <c r="BU8" s="335"/>
      <c r="BV8" s="1187"/>
    </row>
    <row r="9" spans="2:74" ht="26" x14ac:dyDescent="0.3">
      <c r="B9" s="1220"/>
      <c r="C9" s="1231"/>
      <c r="D9" s="1184"/>
      <c r="E9" s="336" t="s">
        <v>133</v>
      </c>
      <c r="F9" s="337"/>
      <c r="G9" s="336" t="s">
        <v>50</v>
      </c>
      <c r="H9" s="337"/>
      <c r="I9" s="337"/>
      <c r="J9" s="336" t="str">
        <f>+J7</f>
        <v>Um/A</v>
      </c>
      <c r="K9" s="337"/>
      <c r="L9" s="336" t="str">
        <f>+L7</f>
        <v>PmO</v>
      </c>
      <c r="M9" s="337"/>
      <c r="N9" s="1187"/>
      <c r="O9" s="1215"/>
      <c r="P9" s="1184"/>
      <c r="Q9" s="336" t="str">
        <f>E9</f>
        <v>D</v>
      </c>
      <c r="R9" s="337"/>
      <c r="S9" s="336" t="str">
        <f>G9</f>
        <v>A</v>
      </c>
      <c r="T9" s="337"/>
      <c r="U9" s="337"/>
      <c r="V9" s="336" t="str">
        <f>+V7</f>
        <v>Um/A</v>
      </c>
      <c r="W9" s="337"/>
      <c r="X9" s="336" t="str">
        <f>+X7</f>
        <v>PmO</v>
      </c>
      <c r="Y9" s="337"/>
      <c r="Z9" s="1187"/>
      <c r="AA9" s="1215"/>
      <c r="AB9" s="1184"/>
      <c r="AC9" s="336" t="str">
        <f>E9</f>
        <v>D</v>
      </c>
      <c r="AD9" s="337"/>
      <c r="AE9" s="336" t="str">
        <f>G9</f>
        <v>A</v>
      </c>
      <c r="AF9" s="337"/>
      <c r="AG9" s="337"/>
      <c r="AH9" s="336" t="str">
        <f>+AH7</f>
        <v>Um/A</v>
      </c>
      <c r="AI9" s="337"/>
      <c r="AJ9" s="336" t="str">
        <f>+AJ7</f>
        <v>PmO</v>
      </c>
      <c r="AK9" s="337"/>
      <c r="AL9" s="1187"/>
      <c r="AM9" s="1215"/>
      <c r="AN9" s="1184"/>
      <c r="AO9" s="336" t="str">
        <f>E9</f>
        <v>D</v>
      </c>
      <c r="AP9" s="337"/>
      <c r="AQ9" s="336" t="str">
        <f>G9</f>
        <v>A</v>
      </c>
      <c r="AR9" s="337"/>
      <c r="AS9" s="337"/>
      <c r="AT9" s="336" t="str">
        <f>+AT7</f>
        <v>Um/A</v>
      </c>
      <c r="AU9" s="337"/>
      <c r="AV9" s="336" t="str">
        <f>+AV7</f>
        <v>PmO</v>
      </c>
      <c r="AW9" s="337"/>
      <c r="AX9" s="1187"/>
      <c r="AZ9" s="1184"/>
      <c r="BA9" s="336" t="s">
        <v>233</v>
      </c>
      <c r="BB9" s="337"/>
      <c r="BC9" s="336" t="str">
        <f>G9</f>
        <v>A</v>
      </c>
      <c r="BD9" s="337"/>
      <c r="BE9" s="337"/>
      <c r="BF9" s="336" t="str">
        <f>BF7</f>
        <v>Um/A</v>
      </c>
      <c r="BG9" s="337"/>
      <c r="BH9" s="336" t="str">
        <f>BH7</f>
        <v>CmO</v>
      </c>
      <c r="BI9" s="337"/>
      <c r="BJ9" s="1187"/>
      <c r="BL9" s="1184"/>
      <c r="BM9" s="336" t="s">
        <v>234</v>
      </c>
      <c r="BN9" s="337"/>
      <c r="BO9" s="336" t="str">
        <f>S9</f>
        <v>A</v>
      </c>
      <c r="BP9" s="337"/>
      <c r="BQ9" s="337"/>
      <c r="BR9" s="336" t="str">
        <f>BR7</f>
        <v>Um/A</v>
      </c>
      <c r="BS9" s="337"/>
      <c r="BT9" s="336" t="str">
        <f>BT7</f>
        <v>BmO</v>
      </c>
      <c r="BU9" s="337"/>
      <c r="BV9" s="1187"/>
    </row>
    <row r="10" spans="2:74" ht="21" x14ac:dyDescent="0.25">
      <c r="B10" s="1220"/>
      <c r="C10" s="1231"/>
      <c r="D10" s="1184"/>
      <c r="E10" s="338">
        <f>+Q10+AC10+AO10</f>
        <v>36493.333333333336</v>
      </c>
      <c r="F10" s="333" t="s">
        <v>44</v>
      </c>
      <c r="G10" s="339">
        <f>'% Occupation'!D19</f>
        <v>3808</v>
      </c>
      <c r="H10" s="333" t="s">
        <v>45</v>
      </c>
      <c r="I10" s="333" t="s">
        <v>46</v>
      </c>
      <c r="J10" s="340">
        <f>+V10+AH10+AT10</f>
        <v>2</v>
      </c>
      <c r="K10" s="333" t="s">
        <v>45</v>
      </c>
      <c r="L10" s="341">
        <f>E10/G10/J10</f>
        <v>4.791666666666667</v>
      </c>
      <c r="M10" s="333" t="s">
        <v>49</v>
      </c>
      <c r="N10" s="1187"/>
      <c r="O10" s="1215"/>
      <c r="P10" s="1184"/>
      <c r="Q10" s="338">
        <f>+S10*(V10*X10)</f>
        <v>18341.866666666669</v>
      </c>
      <c r="R10" s="333" t="s">
        <v>44</v>
      </c>
      <c r="S10" s="339">
        <f>G10</f>
        <v>3808</v>
      </c>
      <c r="T10" s="333" t="s">
        <v>45</v>
      </c>
      <c r="U10" s="333" t="s">
        <v>46</v>
      </c>
      <c r="V10" s="376">
        <v>1</v>
      </c>
      <c r="W10" s="333" t="s">
        <v>45</v>
      </c>
      <c r="X10" s="377">
        <f>'Calcul CmO et PmO'!F21</f>
        <v>4.8166666666666673</v>
      </c>
      <c r="Y10" s="333" t="s">
        <v>49</v>
      </c>
      <c r="Z10" s="1187"/>
      <c r="AA10" s="1215"/>
      <c r="AB10" s="1184"/>
      <c r="AC10" s="338">
        <f>+AE10*(AH10*AJ10)</f>
        <v>18151.466666666667</v>
      </c>
      <c r="AD10" s="333" t="s">
        <v>44</v>
      </c>
      <c r="AE10" s="339">
        <f>S10</f>
        <v>3808</v>
      </c>
      <c r="AF10" s="333" t="s">
        <v>45</v>
      </c>
      <c r="AG10" s="333" t="s">
        <v>46</v>
      </c>
      <c r="AH10" s="376">
        <v>1</v>
      </c>
      <c r="AI10" s="333" t="s">
        <v>45</v>
      </c>
      <c r="AJ10" s="377">
        <f>'Calcul CmO et PmO'!F36</f>
        <v>4.7666666666666666</v>
      </c>
      <c r="AK10" s="333" t="s">
        <v>49</v>
      </c>
      <c r="AL10" s="1187"/>
      <c r="AM10" s="1215"/>
      <c r="AN10" s="1184"/>
      <c r="AO10" s="338">
        <f>+AQ10*(AT10*AV10)</f>
        <v>0</v>
      </c>
      <c r="AP10" s="333" t="s">
        <v>44</v>
      </c>
      <c r="AQ10" s="339">
        <f>AE10</f>
        <v>3808</v>
      </c>
      <c r="AR10" s="333" t="s">
        <v>45</v>
      </c>
      <c r="AS10" s="333" t="s">
        <v>46</v>
      </c>
      <c r="AT10" s="376">
        <v>0</v>
      </c>
      <c r="AU10" s="333" t="s">
        <v>45</v>
      </c>
      <c r="AV10" s="377">
        <v>0</v>
      </c>
      <c r="AW10" s="333" t="s">
        <v>49</v>
      </c>
      <c r="AX10" s="1187"/>
      <c r="AZ10" s="1184"/>
      <c r="BA10" s="338">
        <f>'État des Résultats'!E14-'État des Résultats'!E45</f>
        <v>27785.144833333332</v>
      </c>
      <c r="BB10" s="333" t="s">
        <v>44</v>
      </c>
      <c r="BC10" s="339">
        <f>G10</f>
        <v>3808</v>
      </c>
      <c r="BD10" s="333" t="s">
        <v>45</v>
      </c>
      <c r="BE10" s="333" t="s">
        <v>46</v>
      </c>
      <c r="BF10" s="340">
        <f>J10</f>
        <v>2</v>
      </c>
      <c r="BG10" s="333" t="s">
        <v>45</v>
      </c>
      <c r="BH10" s="341">
        <f>BA10/BC10/BF10</f>
        <v>3.6482595632002801</v>
      </c>
      <c r="BI10" s="333" t="s">
        <v>49</v>
      </c>
      <c r="BJ10" s="1187"/>
      <c r="BL10" s="1184"/>
      <c r="BM10" s="338">
        <f>'État des Résultats'!E45</f>
        <v>8708.1885000000038</v>
      </c>
      <c r="BN10" s="333" t="s">
        <v>44</v>
      </c>
      <c r="BO10" s="339">
        <f>S10</f>
        <v>3808</v>
      </c>
      <c r="BP10" s="333" t="s">
        <v>45</v>
      </c>
      <c r="BQ10" s="333" t="s">
        <v>46</v>
      </c>
      <c r="BR10" s="340">
        <f>J10</f>
        <v>2</v>
      </c>
      <c r="BS10" s="333" t="s">
        <v>45</v>
      </c>
      <c r="BT10" s="341">
        <f>BM10/BO10/BR10</f>
        <v>1.1434071034663871</v>
      </c>
      <c r="BU10" s="333" t="s">
        <v>49</v>
      </c>
      <c r="BV10" s="1187"/>
    </row>
    <row r="11" spans="2:74" ht="17" thickBot="1" x14ac:dyDescent="0.25">
      <c r="B11" s="1220"/>
      <c r="C11" s="1231"/>
      <c r="D11" s="1185"/>
      <c r="E11" s="342"/>
      <c r="F11" s="342"/>
      <c r="G11" s="342"/>
      <c r="H11" s="342"/>
      <c r="I11" s="342"/>
      <c r="J11" s="342"/>
      <c r="K11" s="342"/>
      <c r="L11" s="342"/>
      <c r="M11" s="342"/>
      <c r="N11" s="1188"/>
      <c r="O11" s="1215"/>
      <c r="P11" s="1185"/>
      <c r="Q11" s="342"/>
      <c r="R11" s="342"/>
      <c r="S11" s="342"/>
      <c r="T11" s="342"/>
      <c r="U11" s="342"/>
      <c r="V11" s="342"/>
      <c r="W11" s="342"/>
      <c r="X11" s="342"/>
      <c r="Y11" s="342"/>
      <c r="Z11" s="1188"/>
      <c r="AA11" s="1215"/>
      <c r="AB11" s="1185"/>
      <c r="AC11" s="342"/>
      <c r="AD11" s="342"/>
      <c r="AE11" s="342"/>
      <c r="AF11" s="342"/>
      <c r="AG11" s="342"/>
      <c r="AH11" s="342"/>
      <c r="AI11" s="342"/>
      <c r="AJ11" s="342"/>
      <c r="AK11" s="342"/>
      <c r="AL11" s="1188"/>
      <c r="AM11" s="1215"/>
      <c r="AN11" s="1185"/>
      <c r="AO11" s="342"/>
      <c r="AP11" s="342"/>
      <c r="AQ11" s="342"/>
      <c r="AR11" s="342"/>
      <c r="AS11" s="342"/>
      <c r="AT11" s="342"/>
      <c r="AU11" s="342"/>
      <c r="AV11" s="342"/>
      <c r="AW11" s="342"/>
      <c r="AX11" s="1188"/>
      <c r="AZ11" s="1185"/>
      <c r="BA11" s="342"/>
      <c r="BB11" s="342"/>
      <c r="BC11" s="342"/>
      <c r="BD11" s="342"/>
      <c r="BE11" s="342"/>
      <c r="BF11" s="342"/>
      <c r="BG11" s="342"/>
      <c r="BH11" s="342"/>
      <c r="BI11" s="342"/>
      <c r="BJ11" s="1188"/>
      <c r="BL11" s="1185"/>
      <c r="BM11" s="342"/>
      <c r="BN11" s="342"/>
      <c r="BO11" s="342"/>
      <c r="BP11" s="342"/>
      <c r="BQ11" s="342"/>
      <c r="BR11" s="342"/>
      <c r="BS11" s="342"/>
      <c r="BT11" s="342"/>
      <c r="BU11" s="342"/>
      <c r="BV11" s="1188"/>
    </row>
    <row r="12" spans="2:74" ht="5" customHeight="1" thickTop="1" thickBot="1" x14ac:dyDescent="0.2">
      <c r="B12" s="1220"/>
      <c r="C12" s="209"/>
    </row>
    <row r="13" spans="2:74" ht="16" customHeight="1" thickTop="1" x14ac:dyDescent="0.2">
      <c r="B13" s="1220"/>
      <c r="C13" s="1231"/>
      <c r="D13" s="1183" t="s">
        <v>42</v>
      </c>
      <c r="E13" s="331"/>
      <c r="F13" s="331"/>
      <c r="G13" s="331"/>
      <c r="H13" s="331"/>
      <c r="I13" s="331"/>
      <c r="J13" s="331"/>
      <c r="K13" s="331"/>
      <c r="L13" s="331"/>
      <c r="M13" s="331"/>
      <c r="N13" s="1186" t="s">
        <v>43</v>
      </c>
      <c r="P13" s="1183" t="s">
        <v>42</v>
      </c>
      <c r="Q13" s="331"/>
      <c r="R13" s="331"/>
      <c r="S13" s="331"/>
      <c r="T13" s="331"/>
      <c r="U13" s="331"/>
      <c r="V13" s="331"/>
      <c r="W13" s="331"/>
      <c r="X13" s="331"/>
      <c r="Y13" s="331"/>
      <c r="Z13" s="1186" t="s">
        <v>43</v>
      </c>
      <c r="AB13" s="1183" t="s">
        <v>42</v>
      </c>
      <c r="AC13" s="331"/>
      <c r="AD13" s="331"/>
      <c r="AE13" s="331"/>
      <c r="AF13" s="331"/>
      <c r="AG13" s="331"/>
      <c r="AH13" s="331"/>
      <c r="AI13" s="331"/>
      <c r="AJ13" s="331"/>
      <c r="AK13" s="331"/>
      <c r="AL13" s="1186" t="s">
        <v>43</v>
      </c>
      <c r="AN13" s="1183" t="s">
        <v>42</v>
      </c>
      <c r="AO13" s="331"/>
      <c r="AP13" s="331"/>
      <c r="AQ13" s="331"/>
      <c r="AR13" s="331"/>
      <c r="AS13" s="331"/>
      <c r="AT13" s="331"/>
      <c r="AU13" s="331"/>
      <c r="AV13" s="331"/>
      <c r="AW13" s="331"/>
      <c r="AX13" s="1186" t="s">
        <v>43</v>
      </c>
      <c r="AZ13" s="1183" t="s">
        <v>42</v>
      </c>
      <c r="BA13" s="331"/>
      <c r="BB13" s="331"/>
      <c r="BC13" s="331"/>
      <c r="BD13" s="331"/>
      <c r="BE13" s="331"/>
      <c r="BF13" s="331"/>
      <c r="BG13" s="331"/>
      <c r="BH13" s="331"/>
      <c r="BI13" s="331"/>
      <c r="BJ13" s="1186" t="s">
        <v>43</v>
      </c>
      <c r="BL13" s="1183" t="s">
        <v>42</v>
      </c>
      <c r="BM13" s="331"/>
      <c r="BN13" s="331"/>
      <c r="BO13" s="331"/>
      <c r="BP13" s="331"/>
      <c r="BQ13" s="331"/>
      <c r="BR13" s="331"/>
      <c r="BS13" s="331"/>
      <c r="BT13" s="331"/>
      <c r="BU13" s="331"/>
      <c r="BV13" s="1186" t="s">
        <v>43</v>
      </c>
    </row>
    <row r="14" spans="2:74" ht="16" x14ac:dyDescent="0.2">
      <c r="B14" s="1220"/>
      <c r="C14" s="1231"/>
      <c r="D14" s="1184"/>
      <c r="E14" s="332"/>
      <c r="F14" s="332"/>
      <c r="G14" s="332"/>
      <c r="H14" s="332"/>
      <c r="I14" s="332"/>
      <c r="J14" s="332"/>
      <c r="K14" s="332"/>
      <c r="L14" s="332"/>
      <c r="M14" s="332"/>
      <c r="N14" s="1187"/>
      <c r="P14" s="1184"/>
      <c r="Q14" s="332"/>
      <c r="R14" s="332"/>
      <c r="S14" s="332"/>
      <c r="T14" s="332"/>
      <c r="U14" s="332"/>
      <c r="V14" s="332"/>
      <c r="W14" s="332"/>
      <c r="X14" s="332"/>
      <c r="Y14" s="332"/>
      <c r="Z14" s="1187"/>
      <c r="AB14" s="1184"/>
      <c r="AC14" s="332"/>
      <c r="AD14" s="332"/>
      <c r="AE14" s="332"/>
      <c r="AF14" s="332"/>
      <c r="AG14" s="332"/>
      <c r="AH14" s="332"/>
      <c r="AI14" s="332"/>
      <c r="AJ14" s="332"/>
      <c r="AK14" s="332"/>
      <c r="AL14" s="1187"/>
      <c r="AN14" s="1184"/>
      <c r="AO14" s="332"/>
      <c r="AP14" s="332"/>
      <c r="AQ14" s="332"/>
      <c r="AR14" s="332"/>
      <c r="AS14" s="332"/>
      <c r="AT14" s="332"/>
      <c r="AU14" s="332"/>
      <c r="AV14" s="332"/>
      <c r="AW14" s="332"/>
      <c r="AX14" s="1187"/>
      <c r="AZ14" s="1184"/>
      <c r="BA14" s="332"/>
      <c r="BB14" s="332"/>
      <c r="BC14" s="332"/>
      <c r="BD14" s="332"/>
      <c r="BE14" s="332"/>
      <c r="BF14" s="332"/>
      <c r="BG14" s="332"/>
      <c r="BH14" s="332"/>
      <c r="BI14" s="332"/>
      <c r="BJ14" s="1187"/>
      <c r="BL14" s="1184"/>
      <c r="BM14" s="332"/>
      <c r="BN14" s="332"/>
      <c r="BO14" s="332"/>
      <c r="BP14" s="332"/>
      <c r="BQ14" s="332"/>
      <c r="BR14" s="332"/>
      <c r="BS14" s="332"/>
      <c r="BT14" s="332"/>
      <c r="BU14" s="332"/>
      <c r="BV14" s="1187"/>
    </row>
    <row r="15" spans="2:74" ht="21" customHeight="1" x14ac:dyDescent="0.25">
      <c r="B15" s="1220"/>
      <c r="C15" s="1231"/>
      <c r="D15" s="1184"/>
      <c r="E15" s="333" t="str">
        <f>+E7</f>
        <v>Demande mensuelle</v>
      </c>
      <c r="F15" s="333" t="s">
        <v>44</v>
      </c>
      <c r="G15" s="333" t="str">
        <f>+G7</f>
        <v>Achalandage mensuel</v>
      </c>
      <c r="H15" s="333" t="s">
        <v>45</v>
      </c>
      <c r="I15" s="333" t="s">
        <v>46</v>
      </c>
      <c r="J15" s="333" t="str">
        <f>J7</f>
        <v>Um/A</v>
      </c>
      <c r="K15" s="333" t="s">
        <v>45</v>
      </c>
      <c r="L15" s="333" t="str">
        <f>L7</f>
        <v>PmO</v>
      </c>
      <c r="M15" s="333" t="s">
        <v>49</v>
      </c>
      <c r="N15" s="1187"/>
      <c r="P15" s="1184"/>
      <c r="Q15" s="333" t="str">
        <f>+Q7</f>
        <v>Demande mensuelle</v>
      </c>
      <c r="R15" s="333" t="s">
        <v>44</v>
      </c>
      <c r="S15" s="333" t="str">
        <f>+S7</f>
        <v>Achalandage mensuel</v>
      </c>
      <c r="T15" s="333" t="s">
        <v>45</v>
      </c>
      <c r="U15" s="333" t="s">
        <v>46</v>
      </c>
      <c r="V15" s="333" t="str">
        <f>V7</f>
        <v>Um/A</v>
      </c>
      <c r="W15" s="333" t="s">
        <v>45</v>
      </c>
      <c r="X15" s="333" t="str">
        <f>X7</f>
        <v>PmO</v>
      </c>
      <c r="Y15" s="333" t="s">
        <v>49</v>
      </c>
      <c r="Z15" s="1187"/>
      <c r="AB15" s="1184"/>
      <c r="AC15" s="333" t="str">
        <f>AC7</f>
        <v>Demande mensuelle</v>
      </c>
      <c r="AD15" s="333" t="s">
        <v>44</v>
      </c>
      <c r="AE15" s="333" t="str">
        <f>AE7</f>
        <v>Achalandage mensuel</v>
      </c>
      <c r="AF15" s="333" t="s">
        <v>45</v>
      </c>
      <c r="AG15" s="333" t="s">
        <v>46</v>
      </c>
      <c r="AH15" s="333" t="str">
        <f>AH7</f>
        <v>Um/A</v>
      </c>
      <c r="AI15" s="333" t="s">
        <v>45</v>
      </c>
      <c r="AJ15" s="333" t="str">
        <f>AJ7</f>
        <v>PmO</v>
      </c>
      <c r="AK15" s="333" t="s">
        <v>49</v>
      </c>
      <c r="AL15" s="1187"/>
      <c r="AN15" s="1184"/>
      <c r="AO15" s="333" t="str">
        <f>AO7</f>
        <v>Demande mensuelle</v>
      </c>
      <c r="AP15" s="333" t="s">
        <v>44</v>
      </c>
      <c r="AQ15" s="333" t="str">
        <f>AQ7</f>
        <v>Achalandage mensuel</v>
      </c>
      <c r="AR15" s="333" t="s">
        <v>45</v>
      </c>
      <c r="AS15" s="333" t="s">
        <v>46</v>
      </c>
      <c r="AT15" s="333" t="str">
        <f>AT7</f>
        <v>Um/A</v>
      </c>
      <c r="AU15" s="333" t="s">
        <v>45</v>
      </c>
      <c r="AV15" s="333" t="str">
        <f>AV7</f>
        <v>PmO</v>
      </c>
      <c r="AW15" s="333" t="s">
        <v>49</v>
      </c>
      <c r="AX15" s="1187"/>
      <c r="AZ15" s="1184"/>
      <c r="BA15" s="333" t="str">
        <f>BA7</f>
        <v>Coût mensuel</v>
      </c>
      <c r="BB15" s="333" t="s">
        <v>44</v>
      </c>
      <c r="BC15" s="333" t="str">
        <f>G15</f>
        <v>Achalandage mensuel</v>
      </c>
      <c r="BD15" s="333" t="s">
        <v>45</v>
      </c>
      <c r="BE15" s="333" t="s">
        <v>46</v>
      </c>
      <c r="BF15" s="333" t="str">
        <f>J15</f>
        <v>Um/A</v>
      </c>
      <c r="BG15" s="333" t="s">
        <v>45</v>
      </c>
      <c r="BH15" s="333" t="str">
        <f>BH7</f>
        <v>CmO</v>
      </c>
      <c r="BI15" s="333" t="s">
        <v>49</v>
      </c>
      <c r="BJ15" s="1187"/>
      <c r="BL15" s="1184"/>
      <c r="BM15" s="333" t="str">
        <f>BM7</f>
        <v>Bénéfice mensuel</v>
      </c>
      <c r="BN15" s="333" t="s">
        <v>44</v>
      </c>
      <c r="BO15" s="333" t="str">
        <f>S15</f>
        <v>Achalandage mensuel</v>
      </c>
      <c r="BP15" s="333" t="s">
        <v>45</v>
      </c>
      <c r="BQ15" s="333" t="s">
        <v>46</v>
      </c>
      <c r="BR15" s="333" t="str">
        <f>V15</f>
        <v>Um/A</v>
      </c>
      <c r="BS15" s="333" t="s">
        <v>45</v>
      </c>
      <c r="BT15" s="333" t="str">
        <f>BT7</f>
        <v>BmO</v>
      </c>
      <c r="BU15" s="333" t="s">
        <v>49</v>
      </c>
      <c r="BV15" s="1187"/>
    </row>
    <row r="16" spans="2:74" ht="19" x14ac:dyDescent="0.25">
      <c r="B16" s="1220"/>
      <c r="C16" s="1231"/>
      <c r="D16" s="1184"/>
      <c r="E16" s="334" t="s">
        <v>2</v>
      </c>
      <c r="F16" s="335"/>
      <c r="G16" s="334"/>
      <c r="H16" s="335"/>
      <c r="I16" s="335"/>
      <c r="J16" s="335"/>
      <c r="K16" s="335"/>
      <c r="L16" s="335"/>
      <c r="M16" s="335"/>
      <c r="N16" s="1187"/>
      <c r="P16" s="1184"/>
      <c r="Q16" s="334" t="s">
        <v>2</v>
      </c>
      <c r="R16" s="335"/>
      <c r="S16" s="334"/>
      <c r="T16" s="335"/>
      <c r="U16" s="335"/>
      <c r="V16" s="335"/>
      <c r="W16" s="335"/>
      <c r="X16" s="335"/>
      <c r="Y16" s="335"/>
      <c r="Z16" s="1187"/>
      <c r="AB16" s="1184"/>
      <c r="AC16" s="334" t="s">
        <v>2</v>
      </c>
      <c r="AD16" s="335"/>
      <c r="AE16" s="334"/>
      <c r="AF16" s="335"/>
      <c r="AG16" s="335"/>
      <c r="AH16" s="335"/>
      <c r="AI16" s="335"/>
      <c r="AJ16" s="335"/>
      <c r="AK16" s="335"/>
      <c r="AL16" s="1187"/>
      <c r="AN16" s="1184"/>
      <c r="AO16" s="334" t="s">
        <v>2</v>
      </c>
      <c r="AP16" s="335"/>
      <c r="AQ16" s="334"/>
      <c r="AR16" s="335"/>
      <c r="AS16" s="335"/>
      <c r="AT16" s="335"/>
      <c r="AU16" s="335"/>
      <c r="AV16" s="335"/>
      <c r="AW16" s="335"/>
      <c r="AX16" s="1187"/>
      <c r="AZ16" s="1184"/>
      <c r="BA16" s="334" t="s">
        <v>2</v>
      </c>
      <c r="BB16" s="335"/>
      <c r="BC16" s="334"/>
      <c r="BD16" s="335"/>
      <c r="BE16" s="335"/>
      <c r="BF16" s="335"/>
      <c r="BG16" s="335"/>
      <c r="BH16" s="335"/>
      <c r="BI16" s="335"/>
      <c r="BJ16" s="1187"/>
      <c r="BL16" s="1184"/>
      <c r="BM16" s="334" t="s">
        <v>2</v>
      </c>
      <c r="BN16" s="335"/>
      <c r="BO16" s="334"/>
      <c r="BP16" s="335"/>
      <c r="BQ16" s="335"/>
      <c r="BR16" s="335"/>
      <c r="BS16" s="335"/>
      <c r="BT16" s="335"/>
      <c r="BU16" s="335"/>
      <c r="BV16" s="1187"/>
    </row>
    <row r="17" spans="2:74" ht="26" customHeight="1" x14ac:dyDescent="0.3">
      <c r="B17" s="1220"/>
      <c r="C17" s="1231"/>
      <c r="D17" s="1184"/>
      <c r="E17" s="336" t="str">
        <f>E9</f>
        <v>D</v>
      </c>
      <c r="F17" s="337"/>
      <c r="G17" s="336" t="str">
        <f>G9</f>
        <v>A</v>
      </c>
      <c r="H17" s="337"/>
      <c r="I17" s="337"/>
      <c r="J17" s="336" t="str">
        <f>+J15</f>
        <v>Um/A</v>
      </c>
      <c r="K17" s="337"/>
      <c r="L17" s="336" t="str">
        <f>+L15</f>
        <v>PmO</v>
      </c>
      <c r="M17" s="337"/>
      <c r="N17" s="1187"/>
      <c r="P17" s="1184"/>
      <c r="Q17" s="336" t="str">
        <f>Q9</f>
        <v>D</v>
      </c>
      <c r="R17" s="337"/>
      <c r="S17" s="336" t="str">
        <f>S9</f>
        <v>A</v>
      </c>
      <c r="T17" s="337"/>
      <c r="U17" s="337"/>
      <c r="V17" s="336" t="str">
        <f>+V15</f>
        <v>Um/A</v>
      </c>
      <c r="W17" s="337"/>
      <c r="X17" s="336" t="str">
        <f>+X15</f>
        <v>PmO</v>
      </c>
      <c r="Y17" s="337"/>
      <c r="Z17" s="1187"/>
      <c r="AB17" s="1184"/>
      <c r="AC17" s="336" t="str">
        <f>AC9</f>
        <v>D</v>
      </c>
      <c r="AD17" s="337"/>
      <c r="AE17" s="336" t="str">
        <f>AE9</f>
        <v>A</v>
      </c>
      <c r="AF17" s="337"/>
      <c r="AG17" s="337"/>
      <c r="AH17" s="336" t="str">
        <f>+AH15</f>
        <v>Um/A</v>
      </c>
      <c r="AI17" s="337"/>
      <c r="AJ17" s="336" t="str">
        <f>+AJ15</f>
        <v>PmO</v>
      </c>
      <c r="AK17" s="337"/>
      <c r="AL17" s="1187"/>
      <c r="AN17" s="1184"/>
      <c r="AO17" s="336" t="str">
        <f>AO9</f>
        <v>D</v>
      </c>
      <c r="AP17" s="337"/>
      <c r="AQ17" s="336" t="str">
        <f>AQ9</f>
        <v>A</v>
      </c>
      <c r="AR17" s="337"/>
      <c r="AS17" s="337"/>
      <c r="AT17" s="336" t="str">
        <f>+AT15</f>
        <v>Um/A</v>
      </c>
      <c r="AU17" s="337"/>
      <c r="AV17" s="336" t="str">
        <f>+AV15</f>
        <v>PmO</v>
      </c>
      <c r="AW17" s="337"/>
      <c r="AX17" s="1187"/>
      <c r="AZ17" s="1184"/>
      <c r="BA17" s="336" t="str">
        <f>BA9</f>
        <v xml:space="preserve">C </v>
      </c>
      <c r="BB17" s="337"/>
      <c r="BC17" s="336" t="str">
        <f>G17</f>
        <v>A</v>
      </c>
      <c r="BD17" s="337"/>
      <c r="BE17" s="337"/>
      <c r="BF17" s="336" t="str">
        <f>BF15</f>
        <v>Um/A</v>
      </c>
      <c r="BG17" s="337"/>
      <c r="BH17" s="336" t="str">
        <f>BH15</f>
        <v>CmO</v>
      </c>
      <c r="BI17" s="337"/>
      <c r="BJ17" s="1187"/>
      <c r="BL17" s="1184"/>
      <c r="BM17" s="336" t="str">
        <f>BM9</f>
        <v xml:space="preserve">B </v>
      </c>
      <c r="BN17" s="337"/>
      <c r="BO17" s="336" t="str">
        <f>S17</f>
        <v>A</v>
      </c>
      <c r="BP17" s="337"/>
      <c r="BQ17" s="337"/>
      <c r="BR17" s="336" t="str">
        <f>BR15</f>
        <v>Um/A</v>
      </c>
      <c r="BS17" s="337"/>
      <c r="BT17" s="336" t="str">
        <f>BT15</f>
        <v>BmO</v>
      </c>
      <c r="BU17" s="337"/>
      <c r="BV17" s="1187"/>
    </row>
    <row r="18" spans="2:74" ht="21" x14ac:dyDescent="0.25">
      <c r="B18" s="1220"/>
      <c r="C18" s="1231"/>
      <c r="D18" s="1184"/>
      <c r="E18" s="338">
        <f>+Q18+AC18+AO18</f>
        <v>35372.083333333336</v>
      </c>
      <c r="F18" s="333" t="s">
        <v>44</v>
      </c>
      <c r="G18" s="339">
        <f>'% Occupation'!E19</f>
        <v>3691</v>
      </c>
      <c r="H18" s="333" t="s">
        <v>45</v>
      </c>
      <c r="I18" s="333" t="s">
        <v>46</v>
      </c>
      <c r="J18" s="340">
        <f>+V18+AH18+AT18</f>
        <v>2</v>
      </c>
      <c r="K18" s="333" t="s">
        <v>45</v>
      </c>
      <c r="L18" s="341">
        <f>E18/G18/J18</f>
        <v>4.791666666666667</v>
      </c>
      <c r="M18" s="333" t="s">
        <v>49</v>
      </c>
      <c r="N18" s="1187"/>
      <c r="P18" s="1184"/>
      <c r="Q18" s="338">
        <f>+S18*(V18*X18)</f>
        <v>17778.316666666669</v>
      </c>
      <c r="R18" s="333" t="s">
        <v>44</v>
      </c>
      <c r="S18" s="339">
        <f>G18</f>
        <v>3691</v>
      </c>
      <c r="T18" s="333" t="s">
        <v>45</v>
      </c>
      <c r="U18" s="333" t="s">
        <v>46</v>
      </c>
      <c r="V18" s="376">
        <f>V10</f>
        <v>1</v>
      </c>
      <c r="W18" s="333" t="s">
        <v>45</v>
      </c>
      <c r="X18" s="377">
        <f>'Calcul CmO et PmO'!F64</f>
        <v>4.8166666666666673</v>
      </c>
      <c r="Y18" s="333" t="s">
        <v>49</v>
      </c>
      <c r="Z18" s="1187"/>
      <c r="AB18" s="1184"/>
      <c r="AC18" s="338">
        <f>+AE18*(AH18*AJ18)</f>
        <v>17593.766666666666</v>
      </c>
      <c r="AD18" s="333" t="s">
        <v>44</v>
      </c>
      <c r="AE18" s="339">
        <f>S18</f>
        <v>3691</v>
      </c>
      <c r="AF18" s="333" t="s">
        <v>45</v>
      </c>
      <c r="AG18" s="333" t="s">
        <v>46</v>
      </c>
      <c r="AH18" s="376">
        <f>AH10</f>
        <v>1</v>
      </c>
      <c r="AI18" s="333" t="s">
        <v>45</v>
      </c>
      <c r="AJ18" s="377">
        <f>'Calcul CmO et PmO'!F79</f>
        <v>4.7666666666666666</v>
      </c>
      <c r="AK18" s="333" t="s">
        <v>49</v>
      </c>
      <c r="AL18" s="1187"/>
      <c r="AN18" s="1184"/>
      <c r="AO18" s="338">
        <f>+AQ18*(AT18*AV18)</f>
        <v>0</v>
      </c>
      <c r="AP18" s="333" t="s">
        <v>44</v>
      </c>
      <c r="AQ18" s="339">
        <f>AE18</f>
        <v>3691</v>
      </c>
      <c r="AR18" s="333" t="s">
        <v>45</v>
      </c>
      <c r="AS18" s="333" t="s">
        <v>46</v>
      </c>
      <c r="AT18" s="376">
        <f>AT10</f>
        <v>0</v>
      </c>
      <c r="AU18" s="333" t="s">
        <v>45</v>
      </c>
      <c r="AV18" s="377">
        <f>AV10</f>
        <v>0</v>
      </c>
      <c r="AW18" s="333" t="s">
        <v>49</v>
      </c>
      <c r="AX18" s="1187"/>
      <c r="AZ18" s="1184"/>
      <c r="BA18" s="338">
        <f>'État des Résultats'!H14-'État des Résultats'!H45</f>
        <v>27337.446283333335</v>
      </c>
      <c r="BB18" s="333" t="s">
        <v>44</v>
      </c>
      <c r="BC18" s="339">
        <f>G18</f>
        <v>3691</v>
      </c>
      <c r="BD18" s="333" t="s">
        <v>45</v>
      </c>
      <c r="BE18" s="333" t="s">
        <v>46</v>
      </c>
      <c r="BF18" s="340">
        <f>J18</f>
        <v>2</v>
      </c>
      <c r="BG18" s="333" t="s">
        <v>45</v>
      </c>
      <c r="BH18" s="341">
        <f>BA18/BC18/BF18</f>
        <v>3.7032574212047322</v>
      </c>
      <c r="BI18" s="333" t="s">
        <v>49</v>
      </c>
      <c r="BJ18" s="1187"/>
      <c r="BL18" s="1184"/>
      <c r="BM18" s="338">
        <f>'État des Résultats'!H45</f>
        <v>8034.6370500000003</v>
      </c>
      <c r="BN18" s="333" t="s">
        <v>44</v>
      </c>
      <c r="BO18" s="339">
        <f>S18</f>
        <v>3691</v>
      </c>
      <c r="BP18" s="333" t="s">
        <v>45</v>
      </c>
      <c r="BQ18" s="333" t="s">
        <v>46</v>
      </c>
      <c r="BR18" s="340">
        <f>J18</f>
        <v>2</v>
      </c>
      <c r="BS18" s="333" t="s">
        <v>45</v>
      </c>
      <c r="BT18" s="341">
        <f>BM18/BO18/BR18</f>
        <v>1.0884092454619345</v>
      </c>
      <c r="BU18" s="333" t="s">
        <v>49</v>
      </c>
      <c r="BV18" s="1187"/>
    </row>
    <row r="19" spans="2:74" ht="17" thickBot="1" x14ac:dyDescent="0.25">
      <c r="B19" s="1220"/>
      <c r="C19" s="1231"/>
      <c r="D19" s="1185"/>
      <c r="E19" s="342"/>
      <c r="F19" s="342"/>
      <c r="G19" s="342"/>
      <c r="H19" s="342"/>
      <c r="I19" s="342"/>
      <c r="J19" s="342"/>
      <c r="K19" s="342"/>
      <c r="L19" s="342"/>
      <c r="M19" s="342"/>
      <c r="N19" s="1188"/>
      <c r="P19" s="1185"/>
      <c r="Q19" s="342"/>
      <c r="R19" s="342"/>
      <c r="S19" s="342"/>
      <c r="T19" s="342"/>
      <c r="U19" s="342"/>
      <c r="V19" s="342"/>
      <c r="W19" s="342"/>
      <c r="X19" s="342"/>
      <c r="Y19" s="342"/>
      <c r="Z19" s="1188"/>
      <c r="AB19" s="1185"/>
      <c r="AC19" s="342"/>
      <c r="AD19" s="342"/>
      <c r="AE19" s="342"/>
      <c r="AF19" s="342"/>
      <c r="AG19" s="342"/>
      <c r="AH19" s="342"/>
      <c r="AI19" s="342"/>
      <c r="AJ19" s="342"/>
      <c r="AK19" s="342"/>
      <c r="AL19" s="1188"/>
      <c r="AN19" s="1185"/>
      <c r="AO19" s="342"/>
      <c r="AP19" s="342"/>
      <c r="AQ19" s="342"/>
      <c r="AR19" s="342"/>
      <c r="AS19" s="342"/>
      <c r="AT19" s="342"/>
      <c r="AU19" s="342"/>
      <c r="AV19" s="342"/>
      <c r="AW19" s="342"/>
      <c r="AX19" s="1188"/>
      <c r="AZ19" s="1185"/>
      <c r="BA19" s="342"/>
      <c r="BB19" s="342"/>
      <c r="BC19" s="342"/>
      <c r="BD19" s="342"/>
      <c r="BE19" s="342"/>
      <c r="BF19" s="342"/>
      <c r="BG19" s="342"/>
      <c r="BH19" s="342"/>
      <c r="BI19" s="342"/>
      <c r="BJ19" s="1188"/>
      <c r="BL19" s="1185"/>
      <c r="BM19" s="342"/>
      <c r="BN19" s="342"/>
      <c r="BO19" s="342"/>
      <c r="BP19" s="342"/>
      <c r="BQ19" s="342"/>
      <c r="BR19" s="342"/>
      <c r="BS19" s="342"/>
      <c r="BT19" s="342"/>
      <c r="BU19" s="342"/>
      <c r="BV19" s="1188"/>
    </row>
    <row r="20" spans="2:74" ht="5" customHeight="1" thickTop="1" thickBot="1" x14ac:dyDescent="0.2">
      <c r="B20" s="1220"/>
      <c r="C20" s="209"/>
    </row>
    <row r="21" spans="2:74" ht="17" thickTop="1" x14ac:dyDescent="0.2">
      <c r="B21" s="1220"/>
      <c r="C21" s="1231"/>
      <c r="D21" s="1183" t="s">
        <v>42</v>
      </c>
      <c r="E21" s="331"/>
      <c r="F21" s="331"/>
      <c r="G21" s="331"/>
      <c r="H21" s="331"/>
      <c r="I21" s="331"/>
      <c r="J21" s="331"/>
      <c r="K21" s="331"/>
      <c r="L21" s="331"/>
      <c r="M21" s="331"/>
      <c r="N21" s="1186" t="s">
        <v>43</v>
      </c>
      <c r="P21" s="1183" t="s">
        <v>42</v>
      </c>
      <c r="Q21" s="331"/>
      <c r="R21" s="331"/>
      <c r="S21" s="331"/>
      <c r="T21" s="331"/>
      <c r="U21" s="331"/>
      <c r="V21" s="331"/>
      <c r="W21" s="331"/>
      <c r="X21" s="331"/>
      <c r="Y21" s="331"/>
      <c r="Z21" s="1186" t="s">
        <v>43</v>
      </c>
      <c r="AB21" s="1183" t="s">
        <v>42</v>
      </c>
      <c r="AC21" s="331"/>
      <c r="AD21" s="331"/>
      <c r="AE21" s="331"/>
      <c r="AF21" s="331"/>
      <c r="AG21" s="331"/>
      <c r="AH21" s="331"/>
      <c r="AI21" s="331"/>
      <c r="AJ21" s="331"/>
      <c r="AK21" s="331"/>
      <c r="AL21" s="1186" t="s">
        <v>43</v>
      </c>
      <c r="AN21" s="1183" t="s">
        <v>42</v>
      </c>
      <c r="AO21" s="331"/>
      <c r="AP21" s="331"/>
      <c r="AQ21" s="331"/>
      <c r="AR21" s="331"/>
      <c r="AS21" s="331"/>
      <c r="AT21" s="331"/>
      <c r="AU21" s="331"/>
      <c r="AV21" s="331"/>
      <c r="AW21" s="331"/>
      <c r="AX21" s="1186" t="s">
        <v>43</v>
      </c>
      <c r="AZ21" s="1183" t="s">
        <v>42</v>
      </c>
      <c r="BA21" s="331"/>
      <c r="BB21" s="331"/>
      <c r="BC21" s="331"/>
      <c r="BD21" s="331"/>
      <c r="BE21" s="331"/>
      <c r="BF21" s="331"/>
      <c r="BG21" s="331"/>
      <c r="BH21" s="331"/>
      <c r="BI21" s="331"/>
      <c r="BJ21" s="1186" t="s">
        <v>43</v>
      </c>
      <c r="BL21" s="1183" t="s">
        <v>42</v>
      </c>
      <c r="BM21" s="331"/>
      <c r="BN21" s="331"/>
      <c r="BO21" s="331"/>
      <c r="BP21" s="331"/>
      <c r="BQ21" s="331"/>
      <c r="BR21" s="331"/>
      <c r="BS21" s="331"/>
      <c r="BT21" s="331"/>
      <c r="BU21" s="331"/>
      <c r="BV21" s="1186" t="s">
        <v>43</v>
      </c>
    </row>
    <row r="22" spans="2:74" ht="16" x14ac:dyDescent="0.2">
      <c r="B22" s="1220"/>
      <c r="C22" s="1231"/>
      <c r="D22" s="1184"/>
      <c r="E22" s="332"/>
      <c r="F22" s="332"/>
      <c r="G22" s="332"/>
      <c r="H22" s="332"/>
      <c r="I22" s="332"/>
      <c r="J22" s="332"/>
      <c r="K22" s="332"/>
      <c r="L22" s="332"/>
      <c r="M22" s="332"/>
      <c r="N22" s="1187"/>
      <c r="P22" s="1184"/>
      <c r="Q22" s="332"/>
      <c r="R22" s="332"/>
      <c r="S22" s="332"/>
      <c r="T22" s="332"/>
      <c r="U22" s="332"/>
      <c r="V22" s="332"/>
      <c r="W22" s="332"/>
      <c r="X22" s="332"/>
      <c r="Y22" s="332"/>
      <c r="Z22" s="1187"/>
      <c r="AB22" s="1184"/>
      <c r="AC22" s="332"/>
      <c r="AD22" s="332"/>
      <c r="AE22" s="332"/>
      <c r="AF22" s="332"/>
      <c r="AG22" s="332"/>
      <c r="AH22" s="332"/>
      <c r="AI22" s="332"/>
      <c r="AJ22" s="332"/>
      <c r="AK22" s="332"/>
      <c r="AL22" s="1187"/>
      <c r="AN22" s="1184"/>
      <c r="AO22" s="332"/>
      <c r="AP22" s="332"/>
      <c r="AQ22" s="332"/>
      <c r="AR22" s="332"/>
      <c r="AS22" s="332"/>
      <c r="AT22" s="332"/>
      <c r="AU22" s="332"/>
      <c r="AV22" s="332"/>
      <c r="AW22" s="332"/>
      <c r="AX22" s="1187"/>
      <c r="AZ22" s="1184"/>
      <c r="BA22" s="332"/>
      <c r="BB22" s="332"/>
      <c r="BC22" s="332"/>
      <c r="BD22" s="332"/>
      <c r="BE22" s="332"/>
      <c r="BF22" s="332"/>
      <c r="BG22" s="332"/>
      <c r="BH22" s="332"/>
      <c r="BI22" s="332"/>
      <c r="BJ22" s="1187"/>
      <c r="BL22" s="1184"/>
      <c r="BM22" s="332"/>
      <c r="BN22" s="332"/>
      <c r="BO22" s="332"/>
      <c r="BP22" s="332"/>
      <c r="BQ22" s="332"/>
      <c r="BR22" s="332"/>
      <c r="BS22" s="332"/>
      <c r="BT22" s="332"/>
      <c r="BU22" s="332"/>
      <c r="BV22" s="1187"/>
    </row>
    <row r="23" spans="2:74" ht="21" x14ac:dyDescent="0.25">
      <c r="B23" s="1220"/>
      <c r="C23" s="1231"/>
      <c r="D23" s="1184"/>
      <c r="E23" s="333" t="str">
        <f>E15</f>
        <v>Demande mensuelle</v>
      </c>
      <c r="F23" s="333" t="s">
        <v>44</v>
      </c>
      <c r="G23" s="333" t="str">
        <f>+G15</f>
        <v>Achalandage mensuel</v>
      </c>
      <c r="H23" s="333" t="s">
        <v>45</v>
      </c>
      <c r="I23" s="333" t="s">
        <v>46</v>
      </c>
      <c r="J23" s="333" t="str">
        <f>J15</f>
        <v>Um/A</v>
      </c>
      <c r="K23" s="333" t="s">
        <v>45</v>
      </c>
      <c r="L23" s="333" t="str">
        <f>L15</f>
        <v>PmO</v>
      </c>
      <c r="M23" s="333" t="s">
        <v>49</v>
      </c>
      <c r="N23" s="1187"/>
      <c r="P23" s="1184"/>
      <c r="Q23" s="333" t="str">
        <f>Q15</f>
        <v>Demande mensuelle</v>
      </c>
      <c r="R23" s="333" t="s">
        <v>44</v>
      </c>
      <c r="S23" s="333" t="str">
        <f>+S15</f>
        <v>Achalandage mensuel</v>
      </c>
      <c r="T23" s="333" t="s">
        <v>45</v>
      </c>
      <c r="U23" s="333" t="s">
        <v>46</v>
      </c>
      <c r="V23" s="333" t="str">
        <f>V15</f>
        <v>Um/A</v>
      </c>
      <c r="W23" s="333" t="s">
        <v>45</v>
      </c>
      <c r="X23" s="333" t="str">
        <f>X15</f>
        <v>PmO</v>
      </c>
      <c r="Y23" s="333" t="s">
        <v>49</v>
      </c>
      <c r="Z23" s="1187"/>
      <c r="AB23" s="1184"/>
      <c r="AC23" s="333" t="str">
        <f>AC15</f>
        <v>Demande mensuelle</v>
      </c>
      <c r="AD23" s="333" t="s">
        <v>44</v>
      </c>
      <c r="AE23" s="333" t="str">
        <f>AE15</f>
        <v>Achalandage mensuel</v>
      </c>
      <c r="AF23" s="333" t="s">
        <v>45</v>
      </c>
      <c r="AG23" s="333" t="s">
        <v>46</v>
      </c>
      <c r="AH23" s="333" t="str">
        <f>AH15</f>
        <v>Um/A</v>
      </c>
      <c r="AI23" s="333" t="s">
        <v>45</v>
      </c>
      <c r="AJ23" s="333" t="str">
        <f>AJ15</f>
        <v>PmO</v>
      </c>
      <c r="AK23" s="333" t="s">
        <v>49</v>
      </c>
      <c r="AL23" s="1187"/>
      <c r="AN23" s="1184"/>
      <c r="AO23" s="333" t="str">
        <f>AO15</f>
        <v>Demande mensuelle</v>
      </c>
      <c r="AP23" s="333" t="s">
        <v>44</v>
      </c>
      <c r="AQ23" s="333" t="str">
        <f>AQ15</f>
        <v>Achalandage mensuel</v>
      </c>
      <c r="AR23" s="333" t="s">
        <v>45</v>
      </c>
      <c r="AS23" s="333" t="s">
        <v>46</v>
      </c>
      <c r="AT23" s="333" t="str">
        <f>AT15</f>
        <v>Um/A</v>
      </c>
      <c r="AU23" s="333" t="s">
        <v>45</v>
      </c>
      <c r="AV23" s="333" t="str">
        <f>AV15</f>
        <v>PmO</v>
      </c>
      <c r="AW23" s="333" t="s">
        <v>49</v>
      </c>
      <c r="AX23" s="1187"/>
      <c r="AZ23" s="1184"/>
      <c r="BA23" s="333" t="str">
        <f>BA15</f>
        <v>Coût mensuel</v>
      </c>
      <c r="BB23" s="333" t="s">
        <v>44</v>
      </c>
      <c r="BC23" s="333" t="str">
        <f>G23</f>
        <v>Achalandage mensuel</v>
      </c>
      <c r="BD23" s="333" t="s">
        <v>45</v>
      </c>
      <c r="BE23" s="333" t="s">
        <v>46</v>
      </c>
      <c r="BF23" s="333" t="str">
        <f>J23</f>
        <v>Um/A</v>
      </c>
      <c r="BG23" s="333" t="s">
        <v>45</v>
      </c>
      <c r="BH23" s="333" t="str">
        <f>BH15</f>
        <v>CmO</v>
      </c>
      <c r="BI23" s="333" t="s">
        <v>49</v>
      </c>
      <c r="BJ23" s="1187"/>
      <c r="BL23" s="1184"/>
      <c r="BM23" s="333" t="str">
        <f>BM15</f>
        <v>Bénéfice mensuel</v>
      </c>
      <c r="BN23" s="333" t="s">
        <v>44</v>
      </c>
      <c r="BO23" s="333" t="str">
        <f>S23</f>
        <v>Achalandage mensuel</v>
      </c>
      <c r="BP23" s="333" t="s">
        <v>45</v>
      </c>
      <c r="BQ23" s="333" t="s">
        <v>46</v>
      </c>
      <c r="BR23" s="333" t="str">
        <f>V23</f>
        <v>Um/A</v>
      </c>
      <c r="BS23" s="333" t="s">
        <v>45</v>
      </c>
      <c r="BT23" s="333" t="str">
        <f>BT15</f>
        <v>BmO</v>
      </c>
      <c r="BU23" s="333" t="s">
        <v>49</v>
      </c>
      <c r="BV23" s="1187"/>
    </row>
    <row r="24" spans="2:74" ht="19" x14ac:dyDescent="0.25">
      <c r="B24" s="1220"/>
      <c r="C24" s="1231"/>
      <c r="D24" s="1184"/>
      <c r="E24" s="334" t="s">
        <v>2</v>
      </c>
      <c r="F24" s="335"/>
      <c r="G24" s="334"/>
      <c r="H24" s="335"/>
      <c r="I24" s="335"/>
      <c r="J24" s="335"/>
      <c r="K24" s="335"/>
      <c r="L24" s="335"/>
      <c r="M24" s="335"/>
      <c r="N24" s="1187"/>
      <c r="P24" s="1184"/>
      <c r="Q24" s="334" t="s">
        <v>2</v>
      </c>
      <c r="R24" s="335"/>
      <c r="S24" s="334"/>
      <c r="T24" s="335"/>
      <c r="U24" s="335"/>
      <c r="V24" s="335"/>
      <c r="W24" s="335"/>
      <c r="X24" s="335"/>
      <c r="Y24" s="335"/>
      <c r="Z24" s="1187"/>
      <c r="AB24" s="1184"/>
      <c r="AC24" s="334" t="s">
        <v>2</v>
      </c>
      <c r="AD24" s="335"/>
      <c r="AE24" s="334"/>
      <c r="AF24" s="335"/>
      <c r="AG24" s="335"/>
      <c r="AH24" s="335"/>
      <c r="AI24" s="335"/>
      <c r="AJ24" s="335"/>
      <c r="AK24" s="335"/>
      <c r="AL24" s="1187"/>
      <c r="AN24" s="1184"/>
      <c r="AO24" s="334" t="s">
        <v>2</v>
      </c>
      <c r="AP24" s="335"/>
      <c r="AQ24" s="334"/>
      <c r="AR24" s="335"/>
      <c r="AS24" s="335"/>
      <c r="AT24" s="335"/>
      <c r="AU24" s="335"/>
      <c r="AV24" s="335"/>
      <c r="AW24" s="335"/>
      <c r="AX24" s="1187"/>
      <c r="AZ24" s="1184"/>
      <c r="BA24" s="334" t="s">
        <v>2</v>
      </c>
      <c r="BB24" s="335"/>
      <c r="BC24" s="334"/>
      <c r="BD24" s="335"/>
      <c r="BE24" s="335"/>
      <c r="BF24" s="335"/>
      <c r="BG24" s="335"/>
      <c r="BH24" s="335"/>
      <c r="BI24" s="335"/>
      <c r="BJ24" s="1187"/>
      <c r="BL24" s="1184"/>
      <c r="BM24" s="334" t="s">
        <v>2</v>
      </c>
      <c r="BN24" s="335"/>
      <c r="BO24" s="334"/>
      <c r="BP24" s="335"/>
      <c r="BQ24" s="335"/>
      <c r="BR24" s="335"/>
      <c r="BS24" s="335"/>
      <c r="BT24" s="335"/>
      <c r="BU24" s="335"/>
      <c r="BV24" s="1187"/>
    </row>
    <row r="25" spans="2:74" ht="26" x14ac:dyDescent="0.3">
      <c r="B25" s="1220"/>
      <c r="C25" s="1231"/>
      <c r="D25" s="1184"/>
      <c r="E25" s="336" t="str">
        <f>E17</f>
        <v>D</v>
      </c>
      <c r="F25" s="337"/>
      <c r="G25" s="336" t="str">
        <f>G17</f>
        <v>A</v>
      </c>
      <c r="H25" s="337"/>
      <c r="I25" s="337"/>
      <c r="J25" s="336" t="str">
        <f>+J23</f>
        <v>Um/A</v>
      </c>
      <c r="K25" s="337"/>
      <c r="L25" s="336" t="str">
        <f>+L23</f>
        <v>PmO</v>
      </c>
      <c r="M25" s="337"/>
      <c r="N25" s="1187"/>
      <c r="P25" s="1184"/>
      <c r="Q25" s="336" t="str">
        <f>Q17</f>
        <v>D</v>
      </c>
      <c r="R25" s="337"/>
      <c r="S25" s="336" t="str">
        <f>S17</f>
        <v>A</v>
      </c>
      <c r="T25" s="337"/>
      <c r="U25" s="337"/>
      <c r="V25" s="336" t="str">
        <f>+V23</f>
        <v>Um/A</v>
      </c>
      <c r="W25" s="337"/>
      <c r="X25" s="336" t="str">
        <f>+X23</f>
        <v>PmO</v>
      </c>
      <c r="Y25" s="337"/>
      <c r="Z25" s="1187"/>
      <c r="AB25" s="1184"/>
      <c r="AC25" s="336" t="str">
        <f>AC17</f>
        <v>D</v>
      </c>
      <c r="AD25" s="337"/>
      <c r="AE25" s="336" t="str">
        <f>AE17</f>
        <v>A</v>
      </c>
      <c r="AF25" s="337"/>
      <c r="AG25" s="337"/>
      <c r="AH25" s="336" t="str">
        <f>+AH23</f>
        <v>Um/A</v>
      </c>
      <c r="AI25" s="337"/>
      <c r="AJ25" s="336" t="str">
        <f>+AJ23</f>
        <v>PmO</v>
      </c>
      <c r="AK25" s="337"/>
      <c r="AL25" s="1187"/>
      <c r="AN25" s="1184"/>
      <c r="AO25" s="336" t="str">
        <f>AO17</f>
        <v>D</v>
      </c>
      <c r="AP25" s="337"/>
      <c r="AQ25" s="336" t="str">
        <f>AQ17</f>
        <v>A</v>
      </c>
      <c r="AR25" s="337"/>
      <c r="AS25" s="337"/>
      <c r="AT25" s="336" t="str">
        <f>+AT23</f>
        <v>Um/A</v>
      </c>
      <c r="AU25" s="337"/>
      <c r="AV25" s="336" t="str">
        <f>+AV23</f>
        <v>PmO</v>
      </c>
      <c r="AW25" s="337"/>
      <c r="AX25" s="1187"/>
      <c r="AZ25" s="1184"/>
      <c r="BA25" s="336" t="str">
        <f>BA17</f>
        <v xml:space="preserve">C </v>
      </c>
      <c r="BB25" s="337"/>
      <c r="BC25" s="336" t="str">
        <f>G25</f>
        <v>A</v>
      </c>
      <c r="BD25" s="337"/>
      <c r="BE25" s="337"/>
      <c r="BF25" s="336" t="str">
        <f>BF23</f>
        <v>Um/A</v>
      </c>
      <c r="BG25" s="337"/>
      <c r="BH25" s="336" t="str">
        <f>BH23</f>
        <v>CmO</v>
      </c>
      <c r="BI25" s="337"/>
      <c r="BJ25" s="1187"/>
      <c r="BL25" s="1184"/>
      <c r="BM25" s="336" t="str">
        <f>BM17</f>
        <v xml:space="preserve">B </v>
      </c>
      <c r="BN25" s="337"/>
      <c r="BO25" s="336" t="str">
        <f>S25</f>
        <v>A</v>
      </c>
      <c r="BP25" s="337"/>
      <c r="BQ25" s="337"/>
      <c r="BR25" s="336" t="str">
        <f>BR23</f>
        <v>Um/A</v>
      </c>
      <c r="BS25" s="337"/>
      <c r="BT25" s="336" t="str">
        <f>BT23</f>
        <v>BmO</v>
      </c>
      <c r="BU25" s="337"/>
      <c r="BV25" s="1187"/>
    </row>
    <row r="26" spans="2:74" ht="21" x14ac:dyDescent="0.25">
      <c r="B26" s="1220"/>
      <c r="C26" s="1231"/>
      <c r="D26" s="1184"/>
      <c r="E26" s="338">
        <f>+Q26+AC26+AO26</f>
        <v>39416.25</v>
      </c>
      <c r="F26" s="333" t="s">
        <v>44</v>
      </c>
      <c r="G26" s="339">
        <f>'% Occupation'!F19</f>
        <v>4113</v>
      </c>
      <c r="H26" s="333" t="s">
        <v>45</v>
      </c>
      <c r="I26" s="333" t="s">
        <v>46</v>
      </c>
      <c r="J26" s="340">
        <f>+V26+AH26+AT26</f>
        <v>2</v>
      </c>
      <c r="K26" s="333" t="s">
        <v>45</v>
      </c>
      <c r="L26" s="341">
        <f>E26/G26/J26</f>
        <v>4.791666666666667</v>
      </c>
      <c r="M26" s="333" t="s">
        <v>49</v>
      </c>
      <c r="N26" s="1187"/>
      <c r="P26" s="1184"/>
      <c r="Q26" s="338">
        <f>+S26*(V26*X26)</f>
        <v>19810.950000000004</v>
      </c>
      <c r="R26" s="333" t="s">
        <v>44</v>
      </c>
      <c r="S26" s="339">
        <f>G26</f>
        <v>4113</v>
      </c>
      <c r="T26" s="333" t="s">
        <v>45</v>
      </c>
      <c r="U26" s="333" t="s">
        <v>46</v>
      </c>
      <c r="V26" s="376">
        <f>V18</f>
        <v>1</v>
      </c>
      <c r="W26" s="333" t="s">
        <v>45</v>
      </c>
      <c r="X26" s="377">
        <f>'Calcul CmO et PmO'!F107</f>
        <v>4.8166666666666673</v>
      </c>
      <c r="Y26" s="333" t="s">
        <v>49</v>
      </c>
      <c r="Z26" s="1187"/>
      <c r="AB26" s="1184"/>
      <c r="AC26" s="338">
        <f>+AE26*(AH26*AJ26)</f>
        <v>19605.3</v>
      </c>
      <c r="AD26" s="333" t="s">
        <v>44</v>
      </c>
      <c r="AE26" s="339">
        <f>S26</f>
        <v>4113</v>
      </c>
      <c r="AF26" s="333" t="s">
        <v>45</v>
      </c>
      <c r="AG26" s="333" t="s">
        <v>46</v>
      </c>
      <c r="AH26" s="376">
        <f>AH18</f>
        <v>1</v>
      </c>
      <c r="AI26" s="333" t="s">
        <v>45</v>
      </c>
      <c r="AJ26" s="377">
        <f>'Calcul CmO et PmO'!F122</f>
        <v>4.7666666666666666</v>
      </c>
      <c r="AK26" s="333" t="s">
        <v>49</v>
      </c>
      <c r="AL26" s="1187"/>
      <c r="AN26" s="1184"/>
      <c r="AO26" s="338">
        <f>+AQ26*(AT26*AV26)</f>
        <v>0</v>
      </c>
      <c r="AP26" s="333" t="s">
        <v>44</v>
      </c>
      <c r="AQ26" s="339">
        <f>AE26</f>
        <v>4113</v>
      </c>
      <c r="AR26" s="333" t="s">
        <v>45</v>
      </c>
      <c r="AS26" s="333" t="s">
        <v>46</v>
      </c>
      <c r="AT26" s="376">
        <f>AT18</f>
        <v>0</v>
      </c>
      <c r="AU26" s="333" t="s">
        <v>45</v>
      </c>
      <c r="AV26" s="377">
        <f>AV18</f>
        <v>0</v>
      </c>
      <c r="AW26" s="333" t="s">
        <v>49</v>
      </c>
      <c r="AX26" s="1187"/>
      <c r="AZ26" s="1184"/>
      <c r="BA26" s="338">
        <f>'État des Résultats'!K14-'État des Résultats'!K45</f>
        <v>28952.222249999999</v>
      </c>
      <c r="BB26" s="333" t="s">
        <v>44</v>
      </c>
      <c r="BC26" s="339">
        <f>G26</f>
        <v>4113</v>
      </c>
      <c r="BD26" s="333" t="s">
        <v>45</v>
      </c>
      <c r="BE26" s="333" t="s">
        <v>46</v>
      </c>
      <c r="BF26" s="340">
        <f>J26</f>
        <v>2</v>
      </c>
      <c r="BG26" s="333" t="s">
        <v>45</v>
      </c>
      <c r="BH26" s="341">
        <f>BA26/BC26/BF26</f>
        <v>3.5195991064916119</v>
      </c>
      <c r="BI26" s="333" t="s">
        <v>49</v>
      </c>
      <c r="BJ26" s="1187"/>
      <c r="BL26" s="1184"/>
      <c r="BM26" s="338">
        <f>'État des Résultats'!K45</f>
        <v>10464.027750000001</v>
      </c>
      <c r="BN26" s="333" t="s">
        <v>44</v>
      </c>
      <c r="BO26" s="339">
        <f>S26</f>
        <v>4113</v>
      </c>
      <c r="BP26" s="333" t="s">
        <v>45</v>
      </c>
      <c r="BQ26" s="333" t="s">
        <v>46</v>
      </c>
      <c r="BR26" s="340">
        <f>J26</f>
        <v>2</v>
      </c>
      <c r="BS26" s="333" t="s">
        <v>45</v>
      </c>
      <c r="BT26" s="341">
        <f>BM26/BO26/BR26</f>
        <v>1.2720675601750548</v>
      </c>
      <c r="BU26" s="333" t="s">
        <v>49</v>
      </c>
      <c r="BV26" s="1187"/>
    </row>
    <row r="27" spans="2:74" ht="17" thickBot="1" x14ac:dyDescent="0.25">
      <c r="B27" s="1221"/>
      <c r="C27" s="1231"/>
      <c r="D27" s="1185"/>
      <c r="E27" s="342"/>
      <c r="F27" s="342"/>
      <c r="G27" s="342"/>
      <c r="H27" s="342"/>
      <c r="I27" s="342"/>
      <c r="J27" s="342"/>
      <c r="K27" s="342"/>
      <c r="L27" s="342"/>
      <c r="M27" s="342"/>
      <c r="N27" s="1188"/>
      <c r="P27" s="1185"/>
      <c r="Q27" s="342"/>
      <c r="R27" s="342"/>
      <c r="S27" s="342"/>
      <c r="T27" s="342"/>
      <c r="U27" s="342"/>
      <c r="V27" s="342"/>
      <c r="W27" s="342"/>
      <c r="X27" s="342"/>
      <c r="Y27" s="342"/>
      <c r="Z27" s="1188"/>
      <c r="AB27" s="1185"/>
      <c r="AC27" s="342"/>
      <c r="AD27" s="342"/>
      <c r="AE27" s="342"/>
      <c r="AF27" s="342"/>
      <c r="AG27" s="342"/>
      <c r="AH27" s="342"/>
      <c r="AI27" s="342"/>
      <c r="AJ27" s="342"/>
      <c r="AK27" s="342"/>
      <c r="AL27" s="1188"/>
      <c r="AN27" s="1185"/>
      <c r="AO27" s="342"/>
      <c r="AP27" s="342"/>
      <c r="AQ27" s="342"/>
      <c r="AR27" s="342"/>
      <c r="AS27" s="342"/>
      <c r="AT27" s="342"/>
      <c r="AU27" s="342"/>
      <c r="AV27" s="342"/>
      <c r="AW27" s="342"/>
      <c r="AX27" s="1188"/>
      <c r="AZ27" s="1185"/>
      <c r="BA27" s="342"/>
      <c r="BB27" s="342"/>
      <c r="BC27" s="342"/>
      <c r="BD27" s="342"/>
      <c r="BE27" s="342"/>
      <c r="BF27" s="342"/>
      <c r="BG27" s="342"/>
      <c r="BH27" s="342"/>
      <c r="BI27" s="342"/>
      <c r="BJ27" s="1188"/>
      <c r="BL27" s="1185"/>
      <c r="BM27" s="342"/>
      <c r="BN27" s="342"/>
      <c r="BO27" s="342"/>
      <c r="BP27" s="342"/>
      <c r="BQ27" s="342"/>
      <c r="BR27" s="342"/>
      <c r="BS27" s="342"/>
      <c r="BT27" s="342"/>
      <c r="BU27" s="342"/>
      <c r="BV27" s="1188"/>
    </row>
    <row r="28" spans="2:74" ht="10" customHeight="1" thickBot="1" x14ac:dyDescent="0.25">
      <c r="C28" s="209"/>
      <c r="P28" s="162" t="s">
        <v>2</v>
      </c>
      <c r="AB28" s="162" t="s">
        <v>2</v>
      </c>
      <c r="AN28" s="162" t="s">
        <v>2</v>
      </c>
    </row>
    <row r="29" spans="2:74" ht="17" thickTop="1" x14ac:dyDescent="0.2">
      <c r="B29" s="1222">
        <v>2</v>
      </c>
      <c r="C29" s="1231"/>
      <c r="D29" s="1189" t="s">
        <v>42</v>
      </c>
      <c r="E29" s="343"/>
      <c r="F29" s="343"/>
      <c r="G29" s="343"/>
      <c r="H29" s="343"/>
      <c r="I29" s="343"/>
      <c r="J29" s="343"/>
      <c r="K29" s="343"/>
      <c r="L29" s="343"/>
      <c r="M29" s="343"/>
      <c r="N29" s="1192" t="s">
        <v>43</v>
      </c>
      <c r="P29" s="1189" t="s">
        <v>42</v>
      </c>
      <c r="Q29" s="343"/>
      <c r="R29" s="343"/>
      <c r="S29" s="343"/>
      <c r="T29" s="343"/>
      <c r="U29" s="343"/>
      <c r="V29" s="343"/>
      <c r="W29" s="343"/>
      <c r="X29" s="343"/>
      <c r="Y29" s="343"/>
      <c r="Z29" s="1192" t="s">
        <v>43</v>
      </c>
      <c r="AB29" s="1189" t="s">
        <v>42</v>
      </c>
      <c r="AC29" s="343"/>
      <c r="AD29" s="343"/>
      <c r="AE29" s="343"/>
      <c r="AF29" s="343"/>
      <c r="AG29" s="343"/>
      <c r="AH29" s="343"/>
      <c r="AI29" s="343"/>
      <c r="AJ29" s="343"/>
      <c r="AK29" s="343"/>
      <c r="AL29" s="1192" t="s">
        <v>43</v>
      </c>
      <c r="AN29" s="1189" t="s">
        <v>42</v>
      </c>
      <c r="AO29" s="343"/>
      <c r="AP29" s="343"/>
      <c r="AQ29" s="343"/>
      <c r="AR29" s="343"/>
      <c r="AS29" s="343"/>
      <c r="AT29" s="343"/>
      <c r="AU29" s="343"/>
      <c r="AV29" s="343"/>
      <c r="AW29" s="343"/>
      <c r="AX29" s="1192" t="s">
        <v>43</v>
      </c>
      <c r="AZ29" s="1189" t="s">
        <v>42</v>
      </c>
      <c r="BA29" s="343"/>
      <c r="BB29" s="343"/>
      <c r="BC29" s="343"/>
      <c r="BD29" s="343"/>
      <c r="BE29" s="343"/>
      <c r="BF29" s="343"/>
      <c r="BG29" s="343"/>
      <c r="BH29" s="343"/>
      <c r="BI29" s="343"/>
      <c r="BJ29" s="1192" t="s">
        <v>43</v>
      </c>
      <c r="BL29" s="1189" t="s">
        <v>42</v>
      </c>
      <c r="BM29" s="343"/>
      <c r="BN29" s="343"/>
      <c r="BO29" s="343"/>
      <c r="BP29" s="343"/>
      <c r="BQ29" s="343"/>
      <c r="BR29" s="343"/>
      <c r="BS29" s="343"/>
      <c r="BT29" s="343"/>
      <c r="BU29" s="343"/>
      <c r="BV29" s="1192" t="s">
        <v>43</v>
      </c>
    </row>
    <row r="30" spans="2:74" ht="16" x14ac:dyDescent="0.2">
      <c r="B30" s="1223"/>
      <c r="C30" s="1231"/>
      <c r="D30" s="1190"/>
      <c r="E30" s="344"/>
      <c r="F30" s="344"/>
      <c r="G30" s="344"/>
      <c r="H30" s="344"/>
      <c r="I30" s="344"/>
      <c r="J30" s="344"/>
      <c r="K30" s="344"/>
      <c r="L30" s="344"/>
      <c r="M30" s="344"/>
      <c r="N30" s="1193"/>
      <c r="P30" s="1190"/>
      <c r="Q30" s="344"/>
      <c r="R30" s="344"/>
      <c r="S30" s="344"/>
      <c r="T30" s="344"/>
      <c r="U30" s="344"/>
      <c r="V30" s="344"/>
      <c r="W30" s="344"/>
      <c r="X30" s="344"/>
      <c r="Y30" s="344"/>
      <c r="Z30" s="1193"/>
      <c r="AB30" s="1190"/>
      <c r="AC30" s="344"/>
      <c r="AD30" s="344"/>
      <c r="AE30" s="344"/>
      <c r="AF30" s="344"/>
      <c r="AG30" s="344"/>
      <c r="AH30" s="344"/>
      <c r="AI30" s="344"/>
      <c r="AJ30" s="344"/>
      <c r="AK30" s="344"/>
      <c r="AL30" s="1193"/>
      <c r="AN30" s="1190"/>
      <c r="AO30" s="344"/>
      <c r="AP30" s="344"/>
      <c r="AQ30" s="344"/>
      <c r="AR30" s="344"/>
      <c r="AS30" s="344"/>
      <c r="AT30" s="344"/>
      <c r="AU30" s="344"/>
      <c r="AV30" s="344"/>
      <c r="AW30" s="344"/>
      <c r="AX30" s="1193"/>
      <c r="AZ30" s="1190"/>
      <c r="BA30" s="344"/>
      <c r="BB30" s="344"/>
      <c r="BC30" s="344"/>
      <c r="BD30" s="344"/>
      <c r="BE30" s="344"/>
      <c r="BF30" s="344"/>
      <c r="BG30" s="344"/>
      <c r="BH30" s="344"/>
      <c r="BI30" s="344"/>
      <c r="BJ30" s="1193"/>
      <c r="BL30" s="1190"/>
      <c r="BM30" s="344"/>
      <c r="BN30" s="344"/>
      <c r="BO30" s="344"/>
      <c r="BP30" s="344"/>
      <c r="BQ30" s="344"/>
      <c r="BR30" s="344"/>
      <c r="BS30" s="344"/>
      <c r="BT30" s="344"/>
      <c r="BU30" s="344"/>
      <c r="BV30" s="1193"/>
    </row>
    <row r="31" spans="2:74" ht="21" x14ac:dyDescent="0.25">
      <c r="B31" s="1223"/>
      <c r="C31" s="1231"/>
      <c r="D31" s="1190"/>
      <c r="E31" s="345" t="str">
        <f>E23</f>
        <v>Demande mensuelle</v>
      </c>
      <c r="F31" s="345" t="s">
        <v>44</v>
      </c>
      <c r="G31" s="345" t="str">
        <f>G23</f>
        <v>Achalandage mensuel</v>
      </c>
      <c r="H31" s="345" t="s">
        <v>45</v>
      </c>
      <c r="I31" s="345" t="s">
        <v>46</v>
      </c>
      <c r="J31" s="345" t="str">
        <f>J23</f>
        <v>Um/A</v>
      </c>
      <c r="K31" s="345" t="s">
        <v>45</v>
      </c>
      <c r="L31" s="345" t="str">
        <f>L23</f>
        <v>PmO</v>
      </c>
      <c r="M31" s="345" t="s">
        <v>49</v>
      </c>
      <c r="N31" s="1193"/>
      <c r="P31" s="1190"/>
      <c r="Q31" s="345" t="str">
        <f>Q23</f>
        <v>Demande mensuelle</v>
      </c>
      <c r="R31" s="345" t="s">
        <v>44</v>
      </c>
      <c r="S31" s="345" t="str">
        <f>S23</f>
        <v>Achalandage mensuel</v>
      </c>
      <c r="T31" s="345" t="s">
        <v>45</v>
      </c>
      <c r="U31" s="345" t="s">
        <v>46</v>
      </c>
      <c r="V31" s="345" t="str">
        <f>V23</f>
        <v>Um/A</v>
      </c>
      <c r="W31" s="345" t="s">
        <v>45</v>
      </c>
      <c r="X31" s="345" t="str">
        <f>X23</f>
        <v>PmO</v>
      </c>
      <c r="Y31" s="345" t="s">
        <v>49</v>
      </c>
      <c r="Z31" s="1193"/>
      <c r="AB31" s="1190"/>
      <c r="AC31" s="345" t="str">
        <f>AC23</f>
        <v>Demande mensuelle</v>
      </c>
      <c r="AD31" s="345" t="s">
        <v>44</v>
      </c>
      <c r="AE31" s="345" t="str">
        <f>AE23</f>
        <v>Achalandage mensuel</v>
      </c>
      <c r="AF31" s="345" t="s">
        <v>45</v>
      </c>
      <c r="AG31" s="345" t="s">
        <v>46</v>
      </c>
      <c r="AH31" s="345" t="str">
        <f>AH23</f>
        <v>Um/A</v>
      </c>
      <c r="AI31" s="345" t="s">
        <v>45</v>
      </c>
      <c r="AJ31" s="345" t="str">
        <f>AJ23</f>
        <v>PmO</v>
      </c>
      <c r="AK31" s="345" t="s">
        <v>49</v>
      </c>
      <c r="AL31" s="1193"/>
      <c r="AN31" s="1190"/>
      <c r="AO31" s="345" t="str">
        <f>AO23</f>
        <v>Demande mensuelle</v>
      </c>
      <c r="AP31" s="345" t="s">
        <v>44</v>
      </c>
      <c r="AQ31" s="345" t="str">
        <f>AQ23</f>
        <v>Achalandage mensuel</v>
      </c>
      <c r="AR31" s="345" t="s">
        <v>45</v>
      </c>
      <c r="AS31" s="345" t="s">
        <v>46</v>
      </c>
      <c r="AT31" s="345" t="str">
        <f>AT23</f>
        <v>Um/A</v>
      </c>
      <c r="AU31" s="345" t="s">
        <v>45</v>
      </c>
      <c r="AV31" s="345" t="str">
        <f>AV23</f>
        <v>PmO</v>
      </c>
      <c r="AW31" s="345" t="s">
        <v>49</v>
      </c>
      <c r="AX31" s="1193"/>
      <c r="AZ31" s="1190"/>
      <c r="BA31" s="345" t="str">
        <f>BA23</f>
        <v>Coût mensuel</v>
      </c>
      <c r="BB31" s="345" t="s">
        <v>44</v>
      </c>
      <c r="BC31" s="345" t="str">
        <f>BC23</f>
        <v>Achalandage mensuel</v>
      </c>
      <c r="BD31" s="345" t="s">
        <v>45</v>
      </c>
      <c r="BE31" s="345" t="s">
        <v>46</v>
      </c>
      <c r="BF31" s="345" t="str">
        <f>BF23</f>
        <v>Um/A</v>
      </c>
      <c r="BG31" s="345" t="s">
        <v>45</v>
      </c>
      <c r="BH31" s="345" t="str">
        <f>BH23</f>
        <v>CmO</v>
      </c>
      <c r="BI31" s="345" t="s">
        <v>49</v>
      </c>
      <c r="BJ31" s="1193"/>
      <c r="BL31" s="1190"/>
      <c r="BM31" s="345" t="str">
        <f>BM23</f>
        <v>Bénéfice mensuel</v>
      </c>
      <c r="BN31" s="345" t="s">
        <v>44</v>
      </c>
      <c r="BO31" s="345" t="str">
        <f>BO23</f>
        <v>Achalandage mensuel</v>
      </c>
      <c r="BP31" s="345" t="s">
        <v>45</v>
      </c>
      <c r="BQ31" s="345" t="s">
        <v>46</v>
      </c>
      <c r="BR31" s="345" t="str">
        <f>BR23</f>
        <v>Um/A</v>
      </c>
      <c r="BS31" s="345" t="s">
        <v>45</v>
      </c>
      <c r="BT31" s="345" t="str">
        <f>BT23</f>
        <v>BmO</v>
      </c>
      <c r="BU31" s="345" t="s">
        <v>49</v>
      </c>
      <c r="BV31" s="1193"/>
    </row>
    <row r="32" spans="2:74" ht="19" x14ac:dyDescent="0.25">
      <c r="B32" s="1223"/>
      <c r="C32" s="1231"/>
      <c r="D32" s="1190"/>
      <c r="E32" s="346" t="s">
        <v>2</v>
      </c>
      <c r="F32" s="347"/>
      <c r="G32" s="346"/>
      <c r="H32" s="347"/>
      <c r="I32" s="347"/>
      <c r="J32" s="347"/>
      <c r="K32" s="347"/>
      <c r="L32" s="347"/>
      <c r="M32" s="347"/>
      <c r="N32" s="1193"/>
      <c r="P32" s="1190"/>
      <c r="Q32" s="346" t="s">
        <v>2</v>
      </c>
      <c r="R32" s="347"/>
      <c r="S32" s="346"/>
      <c r="T32" s="347"/>
      <c r="U32" s="347"/>
      <c r="V32" s="347"/>
      <c r="W32" s="347"/>
      <c r="X32" s="347"/>
      <c r="Y32" s="347"/>
      <c r="Z32" s="1193"/>
      <c r="AB32" s="1190"/>
      <c r="AC32" s="346" t="s">
        <v>2</v>
      </c>
      <c r="AD32" s="347"/>
      <c r="AE32" s="346"/>
      <c r="AF32" s="347"/>
      <c r="AG32" s="347"/>
      <c r="AH32" s="347"/>
      <c r="AI32" s="347"/>
      <c r="AJ32" s="347"/>
      <c r="AK32" s="347"/>
      <c r="AL32" s="1193"/>
      <c r="AN32" s="1190"/>
      <c r="AO32" s="346" t="s">
        <v>2</v>
      </c>
      <c r="AP32" s="347"/>
      <c r="AQ32" s="346"/>
      <c r="AR32" s="347"/>
      <c r="AS32" s="347"/>
      <c r="AT32" s="347"/>
      <c r="AU32" s="347"/>
      <c r="AV32" s="347"/>
      <c r="AW32" s="347"/>
      <c r="AX32" s="1193"/>
      <c r="AZ32" s="1190"/>
      <c r="BA32" s="346" t="s">
        <v>2</v>
      </c>
      <c r="BB32" s="347"/>
      <c r="BC32" s="346"/>
      <c r="BD32" s="347"/>
      <c r="BE32" s="347"/>
      <c r="BF32" s="347"/>
      <c r="BG32" s="347"/>
      <c r="BH32" s="347"/>
      <c r="BI32" s="347"/>
      <c r="BJ32" s="1193"/>
      <c r="BL32" s="1190"/>
      <c r="BM32" s="346" t="s">
        <v>2</v>
      </c>
      <c r="BN32" s="347"/>
      <c r="BO32" s="346"/>
      <c r="BP32" s="347"/>
      <c r="BQ32" s="347"/>
      <c r="BR32" s="347"/>
      <c r="BS32" s="347"/>
      <c r="BT32" s="347"/>
      <c r="BU32" s="347"/>
      <c r="BV32" s="1193"/>
    </row>
    <row r="33" spans="2:74" ht="26" x14ac:dyDescent="0.3">
      <c r="B33" s="1223"/>
      <c r="C33" s="1231"/>
      <c r="D33" s="1190"/>
      <c r="E33" s="348" t="str">
        <f>E25</f>
        <v>D</v>
      </c>
      <c r="F33" s="349"/>
      <c r="G33" s="348" t="str">
        <f>G25</f>
        <v>A</v>
      </c>
      <c r="H33" s="349"/>
      <c r="I33" s="349"/>
      <c r="J33" s="348" t="str">
        <f>+J31</f>
        <v>Um/A</v>
      </c>
      <c r="K33" s="349"/>
      <c r="L33" s="348" t="str">
        <f>+L31</f>
        <v>PmO</v>
      </c>
      <c r="M33" s="349"/>
      <c r="N33" s="1193"/>
      <c r="P33" s="1190"/>
      <c r="Q33" s="348" t="str">
        <f>Q25</f>
        <v>D</v>
      </c>
      <c r="R33" s="349"/>
      <c r="S33" s="348" t="str">
        <f>S25</f>
        <v>A</v>
      </c>
      <c r="T33" s="349"/>
      <c r="U33" s="349"/>
      <c r="V33" s="348" t="str">
        <f>+V31</f>
        <v>Um/A</v>
      </c>
      <c r="W33" s="349"/>
      <c r="X33" s="348" t="str">
        <f>+X31</f>
        <v>PmO</v>
      </c>
      <c r="Y33" s="349"/>
      <c r="Z33" s="1193"/>
      <c r="AB33" s="1190"/>
      <c r="AC33" s="348" t="str">
        <f>AC25</f>
        <v>D</v>
      </c>
      <c r="AD33" s="349"/>
      <c r="AE33" s="348" t="str">
        <f>AE25</f>
        <v>A</v>
      </c>
      <c r="AF33" s="349"/>
      <c r="AG33" s="349"/>
      <c r="AH33" s="348" t="str">
        <f>+AH31</f>
        <v>Um/A</v>
      </c>
      <c r="AI33" s="349"/>
      <c r="AJ33" s="348" t="str">
        <f>+AJ31</f>
        <v>PmO</v>
      </c>
      <c r="AK33" s="349"/>
      <c r="AL33" s="1193"/>
      <c r="AN33" s="1190"/>
      <c r="AO33" s="348" t="str">
        <f>AO25</f>
        <v>D</v>
      </c>
      <c r="AP33" s="349"/>
      <c r="AQ33" s="348" t="str">
        <f>AQ25</f>
        <v>A</v>
      </c>
      <c r="AR33" s="349"/>
      <c r="AS33" s="349"/>
      <c r="AT33" s="348" t="str">
        <f>+AT31</f>
        <v>Um/A</v>
      </c>
      <c r="AU33" s="349"/>
      <c r="AV33" s="348" t="str">
        <f>+AV31</f>
        <v>PmO</v>
      </c>
      <c r="AW33" s="349"/>
      <c r="AX33" s="1193"/>
      <c r="AZ33" s="1190"/>
      <c r="BA33" s="348" t="str">
        <f>BA25</f>
        <v xml:space="preserve">C </v>
      </c>
      <c r="BB33" s="349"/>
      <c r="BC33" s="348" t="str">
        <f>BC25</f>
        <v>A</v>
      </c>
      <c r="BD33" s="349"/>
      <c r="BE33" s="349"/>
      <c r="BF33" s="348" t="str">
        <f>+BF31</f>
        <v>Um/A</v>
      </c>
      <c r="BG33" s="349"/>
      <c r="BH33" s="348" t="str">
        <f>+BH31</f>
        <v>CmO</v>
      </c>
      <c r="BI33" s="349"/>
      <c r="BJ33" s="1193"/>
      <c r="BL33" s="1190"/>
      <c r="BM33" s="348" t="str">
        <f>BM25</f>
        <v xml:space="preserve">B </v>
      </c>
      <c r="BN33" s="349"/>
      <c r="BO33" s="348" t="str">
        <f>BO25</f>
        <v>A</v>
      </c>
      <c r="BP33" s="349"/>
      <c r="BQ33" s="349"/>
      <c r="BR33" s="348" t="str">
        <f>+BR31</f>
        <v>Um/A</v>
      </c>
      <c r="BS33" s="349"/>
      <c r="BT33" s="348" t="str">
        <f>+BT31</f>
        <v>BmO</v>
      </c>
      <c r="BU33" s="349"/>
      <c r="BV33" s="1193"/>
    </row>
    <row r="34" spans="2:74" ht="21" x14ac:dyDescent="0.25">
      <c r="B34" s="1223"/>
      <c r="C34" s="1231"/>
      <c r="D34" s="1190"/>
      <c r="E34" s="338">
        <f>+Q34+AC34+AO34</f>
        <v>39876.25</v>
      </c>
      <c r="F34" s="345" t="s">
        <v>44</v>
      </c>
      <c r="G34" s="339">
        <f>'% Occupation'!G19</f>
        <v>4161</v>
      </c>
      <c r="H34" s="345" t="s">
        <v>45</v>
      </c>
      <c r="I34" s="345" t="s">
        <v>46</v>
      </c>
      <c r="J34" s="340">
        <f>+V34+AH34+AT34</f>
        <v>2</v>
      </c>
      <c r="K34" s="345" t="s">
        <v>45</v>
      </c>
      <c r="L34" s="341">
        <f>E34/G34/J34</f>
        <v>4.791666666666667</v>
      </c>
      <c r="M34" s="345" t="s">
        <v>49</v>
      </c>
      <c r="N34" s="1193"/>
      <c r="P34" s="1190"/>
      <c r="Q34" s="338">
        <f>+S34*(V34*X34)</f>
        <v>20042.150000000001</v>
      </c>
      <c r="R34" s="345" t="s">
        <v>44</v>
      </c>
      <c r="S34" s="339">
        <f>G34</f>
        <v>4161</v>
      </c>
      <c r="T34" s="345" t="s">
        <v>45</v>
      </c>
      <c r="U34" s="345" t="s">
        <v>46</v>
      </c>
      <c r="V34" s="376">
        <f>V26</f>
        <v>1</v>
      </c>
      <c r="W34" s="345" t="s">
        <v>45</v>
      </c>
      <c r="X34" s="377">
        <f>'Calcul CmO et PmO'!F150</f>
        <v>4.8166666666666673</v>
      </c>
      <c r="Y34" s="345" t="s">
        <v>49</v>
      </c>
      <c r="Z34" s="1193"/>
      <c r="AB34" s="1190"/>
      <c r="AC34" s="338">
        <f>+AE34*(AH34*AJ34)</f>
        <v>19834.099999999999</v>
      </c>
      <c r="AD34" s="345" t="s">
        <v>44</v>
      </c>
      <c r="AE34" s="339">
        <f>S34</f>
        <v>4161</v>
      </c>
      <c r="AF34" s="345" t="s">
        <v>45</v>
      </c>
      <c r="AG34" s="345" t="s">
        <v>46</v>
      </c>
      <c r="AH34" s="376">
        <f>AH26</f>
        <v>1</v>
      </c>
      <c r="AI34" s="345" t="s">
        <v>45</v>
      </c>
      <c r="AJ34" s="377">
        <f>'Calcul CmO et PmO'!F165</f>
        <v>4.7666666666666666</v>
      </c>
      <c r="AK34" s="345" t="s">
        <v>49</v>
      </c>
      <c r="AL34" s="1193"/>
      <c r="AN34" s="1190"/>
      <c r="AO34" s="338">
        <f>+AQ34*(AT34*AV34)</f>
        <v>0</v>
      </c>
      <c r="AP34" s="345" t="s">
        <v>44</v>
      </c>
      <c r="AQ34" s="339">
        <f>AE34</f>
        <v>4161</v>
      </c>
      <c r="AR34" s="345" t="s">
        <v>45</v>
      </c>
      <c r="AS34" s="345" t="s">
        <v>46</v>
      </c>
      <c r="AT34" s="376">
        <f>AT26</f>
        <v>0</v>
      </c>
      <c r="AU34" s="345" t="s">
        <v>45</v>
      </c>
      <c r="AV34" s="377">
        <f>AV26</f>
        <v>0</v>
      </c>
      <c r="AW34" s="345" t="s">
        <v>49</v>
      </c>
      <c r="AX34" s="1193"/>
      <c r="AZ34" s="1190"/>
      <c r="BA34" s="338">
        <f>'État des Résultats'!N14-'État des Résultats'!N45</f>
        <v>29135.893450000003</v>
      </c>
      <c r="BB34" s="345" t="s">
        <v>44</v>
      </c>
      <c r="BC34" s="339">
        <f>G34</f>
        <v>4161</v>
      </c>
      <c r="BD34" s="345" t="s">
        <v>45</v>
      </c>
      <c r="BE34" s="345" t="s">
        <v>46</v>
      </c>
      <c r="BF34" s="340">
        <f>J34</f>
        <v>2</v>
      </c>
      <c r="BG34" s="345" t="s">
        <v>45</v>
      </c>
      <c r="BH34" s="341">
        <f>BA34/BC34/BF34</f>
        <v>3.5010686673876474</v>
      </c>
      <c r="BI34" s="345" t="s">
        <v>49</v>
      </c>
      <c r="BJ34" s="1193"/>
      <c r="BL34" s="1190"/>
      <c r="BM34" s="338">
        <f>'État des Résultats'!N45</f>
        <v>10740.356549999997</v>
      </c>
      <c r="BN34" s="345" t="s">
        <v>44</v>
      </c>
      <c r="BO34" s="339">
        <f>S34</f>
        <v>4161</v>
      </c>
      <c r="BP34" s="345" t="s">
        <v>45</v>
      </c>
      <c r="BQ34" s="345" t="s">
        <v>46</v>
      </c>
      <c r="BR34" s="340">
        <f>J34</f>
        <v>2</v>
      </c>
      <c r="BS34" s="345" t="s">
        <v>45</v>
      </c>
      <c r="BT34" s="341">
        <f>BM34/BO34/BR34</f>
        <v>1.2905979992790191</v>
      </c>
      <c r="BU34" s="345" t="s">
        <v>49</v>
      </c>
      <c r="BV34" s="1193"/>
    </row>
    <row r="35" spans="2:74" ht="17" thickBot="1" x14ac:dyDescent="0.25">
      <c r="B35" s="1223"/>
      <c r="C35" s="1231"/>
      <c r="D35" s="1191"/>
      <c r="E35" s="350"/>
      <c r="F35" s="350"/>
      <c r="G35" s="350"/>
      <c r="H35" s="350"/>
      <c r="I35" s="350"/>
      <c r="J35" s="350"/>
      <c r="K35" s="350"/>
      <c r="L35" s="350"/>
      <c r="M35" s="350"/>
      <c r="N35" s="1194"/>
      <c r="P35" s="1191"/>
      <c r="Q35" s="350"/>
      <c r="R35" s="350"/>
      <c r="S35" s="350"/>
      <c r="T35" s="350"/>
      <c r="U35" s="350"/>
      <c r="V35" s="350"/>
      <c r="W35" s="350"/>
      <c r="X35" s="350"/>
      <c r="Y35" s="350"/>
      <c r="Z35" s="1194"/>
      <c r="AB35" s="1191"/>
      <c r="AC35" s="350"/>
      <c r="AD35" s="350"/>
      <c r="AE35" s="350"/>
      <c r="AF35" s="350"/>
      <c r="AG35" s="350"/>
      <c r="AH35" s="350"/>
      <c r="AI35" s="350"/>
      <c r="AJ35" s="350"/>
      <c r="AK35" s="350"/>
      <c r="AL35" s="1194"/>
      <c r="AN35" s="1191"/>
      <c r="AO35" s="350"/>
      <c r="AP35" s="350"/>
      <c r="AQ35" s="350"/>
      <c r="AR35" s="350"/>
      <c r="AS35" s="350"/>
      <c r="AT35" s="350"/>
      <c r="AU35" s="350"/>
      <c r="AV35" s="350"/>
      <c r="AW35" s="350"/>
      <c r="AX35" s="1194"/>
      <c r="AZ35" s="1191"/>
      <c r="BA35" s="350"/>
      <c r="BB35" s="350"/>
      <c r="BC35" s="350"/>
      <c r="BD35" s="350"/>
      <c r="BE35" s="350"/>
      <c r="BF35" s="350"/>
      <c r="BG35" s="350"/>
      <c r="BH35" s="350"/>
      <c r="BI35" s="350"/>
      <c r="BJ35" s="1194"/>
      <c r="BL35" s="1191"/>
      <c r="BM35" s="350"/>
      <c r="BN35" s="350"/>
      <c r="BO35" s="350"/>
      <c r="BP35" s="350"/>
      <c r="BQ35" s="350"/>
      <c r="BR35" s="350"/>
      <c r="BS35" s="350"/>
      <c r="BT35" s="350"/>
      <c r="BU35" s="350"/>
      <c r="BV35" s="1194"/>
    </row>
    <row r="36" spans="2:74" ht="5" customHeight="1" thickTop="1" thickBot="1" x14ac:dyDescent="0.2">
      <c r="B36" s="1223"/>
      <c r="C36" s="209"/>
    </row>
    <row r="37" spans="2:74" ht="17" thickTop="1" x14ac:dyDescent="0.2">
      <c r="B37" s="1223"/>
      <c r="C37" s="1231"/>
      <c r="D37" s="1189" t="s">
        <v>42</v>
      </c>
      <c r="E37" s="343"/>
      <c r="F37" s="343"/>
      <c r="G37" s="343"/>
      <c r="H37" s="343"/>
      <c r="I37" s="343"/>
      <c r="J37" s="343"/>
      <c r="K37" s="343"/>
      <c r="L37" s="343"/>
      <c r="M37" s="343"/>
      <c r="N37" s="1192" t="s">
        <v>43</v>
      </c>
      <c r="P37" s="1189" t="s">
        <v>42</v>
      </c>
      <c r="Q37" s="343"/>
      <c r="R37" s="343"/>
      <c r="S37" s="343"/>
      <c r="T37" s="343"/>
      <c r="U37" s="343"/>
      <c r="V37" s="343"/>
      <c r="W37" s="343"/>
      <c r="X37" s="343"/>
      <c r="Y37" s="343"/>
      <c r="Z37" s="1192" t="s">
        <v>43</v>
      </c>
      <c r="AB37" s="1189" t="s">
        <v>42</v>
      </c>
      <c r="AC37" s="343"/>
      <c r="AD37" s="343"/>
      <c r="AE37" s="343"/>
      <c r="AF37" s="343"/>
      <c r="AG37" s="343"/>
      <c r="AH37" s="343"/>
      <c r="AI37" s="343"/>
      <c r="AJ37" s="343"/>
      <c r="AK37" s="343"/>
      <c r="AL37" s="1192" t="s">
        <v>43</v>
      </c>
      <c r="AN37" s="1189" t="s">
        <v>42</v>
      </c>
      <c r="AO37" s="343"/>
      <c r="AP37" s="343"/>
      <c r="AQ37" s="343"/>
      <c r="AR37" s="343"/>
      <c r="AS37" s="343"/>
      <c r="AT37" s="343"/>
      <c r="AU37" s="343"/>
      <c r="AV37" s="343"/>
      <c r="AW37" s="343"/>
      <c r="AX37" s="1192" t="s">
        <v>43</v>
      </c>
      <c r="AZ37" s="1189" t="s">
        <v>42</v>
      </c>
      <c r="BA37" s="343"/>
      <c r="BB37" s="343"/>
      <c r="BC37" s="343"/>
      <c r="BD37" s="343"/>
      <c r="BE37" s="343"/>
      <c r="BF37" s="343"/>
      <c r="BG37" s="343"/>
      <c r="BH37" s="343"/>
      <c r="BI37" s="343"/>
      <c r="BJ37" s="1192" t="s">
        <v>43</v>
      </c>
      <c r="BL37" s="1189" t="s">
        <v>42</v>
      </c>
      <c r="BM37" s="343"/>
      <c r="BN37" s="343"/>
      <c r="BO37" s="343"/>
      <c r="BP37" s="343"/>
      <c r="BQ37" s="343"/>
      <c r="BR37" s="343"/>
      <c r="BS37" s="343"/>
      <c r="BT37" s="343"/>
      <c r="BU37" s="343"/>
      <c r="BV37" s="1192" t="s">
        <v>43</v>
      </c>
    </row>
    <row r="38" spans="2:74" ht="16" x14ac:dyDescent="0.2">
      <c r="B38" s="1223"/>
      <c r="C38" s="1231"/>
      <c r="D38" s="1190"/>
      <c r="E38" s="344"/>
      <c r="F38" s="344"/>
      <c r="G38" s="344"/>
      <c r="H38" s="344"/>
      <c r="I38" s="344"/>
      <c r="J38" s="344"/>
      <c r="K38" s="344"/>
      <c r="L38" s="344"/>
      <c r="M38" s="344"/>
      <c r="N38" s="1193"/>
      <c r="P38" s="1190"/>
      <c r="Q38" s="344"/>
      <c r="R38" s="344"/>
      <c r="S38" s="344"/>
      <c r="T38" s="344"/>
      <c r="U38" s="344"/>
      <c r="V38" s="344"/>
      <c r="W38" s="344"/>
      <c r="X38" s="344"/>
      <c r="Y38" s="344"/>
      <c r="Z38" s="1193"/>
      <c r="AB38" s="1190"/>
      <c r="AC38" s="344"/>
      <c r="AD38" s="344"/>
      <c r="AE38" s="344"/>
      <c r="AF38" s="344"/>
      <c r="AG38" s="344"/>
      <c r="AH38" s="344"/>
      <c r="AI38" s="344"/>
      <c r="AJ38" s="344"/>
      <c r="AK38" s="344"/>
      <c r="AL38" s="1193"/>
      <c r="AN38" s="1190"/>
      <c r="AO38" s="344"/>
      <c r="AP38" s="344"/>
      <c r="AQ38" s="344"/>
      <c r="AR38" s="344"/>
      <c r="AS38" s="344"/>
      <c r="AT38" s="344"/>
      <c r="AU38" s="344"/>
      <c r="AV38" s="344"/>
      <c r="AW38" s="344"/>
      <c r="AX38" s="1193"/>
      <c r="AZ38" s="1190"/>
      <c r="BA38" s="344"/>
      <c r="BB38" s="344"/>
      <c r="BC38" s="344"/>
      <c r="BD38" s="344"/>
      <c r="BE38" s="344"/>
      <c r="BF38" s="344"/>
      <c r="BG38" s="344"/>
      <c r="BH38" s="344"/>
      <c r="BI38" s="344"/>
      <c r="BJ38" s="1193"/>
      <c r="BL38" s="1190"/>
      <c r="BM38" s="344"/>
      <c r="BN38" s="344"/>
      <c r="BO38" s="344"/>
      <c r="BP38" s="344"/>
      <c r="BQ38" s="344"/>
      <c r="BR38" s="344"/>
      <c r="BS38" s="344"/>
      <c r="BT38" s="344"/>
      <c r="BU38" s="344"/>
      <c r="BV38" s="1193"/>
    </row>
    <row r="39" spans="2:74" ht="21" x14ac:dyDescent="0.25">
      <c r="B39" s="1223"/>
      <c r="C39" s="1231"/>
      <c r="D39" s="1190"/>
      <c r="E39" s="345" t="str">
        <f>E31</f>
        <v>Demande mensuelle</v>
      </c>
      <c r="F39" s="345" t="s">
        <v>44</v>
      </c>
      <c r="G39" s="345" t="str">
        <f>G31</f>
        <v>Achalandage mensuel</v>
      </c>
      <c r="H39" s="345" t="s">
        <v>45</v>
      </c>
      <c r="I39" s="345" t="s">
        <v>46</v>
      </c>
      <c r="J39" s="345" t="str">
        <f>J31</f>
        <v>Um/A</v>
      </c>
      <c r="K39" s="345" t="s">
        <v>45</v>
      </c>
      <c r="L39" s="345" t="str">
        <f>L31</f>
        <v>PmO</v>
      </c>
      <c r="M39" s="345" t="s">
        <v>49</v>
      </c>
      <c r="N39" s="1193"/>
      <c r="P39" s="1190"/>
      <c r="Q39" s="345" t="str">
        <f>Q31</f>
        <v>Demande mensuelle</v>
      </c>
      <c r="R39" s="345" t="s">
        <v>44</v>
      </c>
      <c r="S39" s="345" t="str">
        <f>S31</f>
        <v>Achalandage mensuel</v>
      </c>
      <c r="T39" s="345" t="s">
        <v>45</v>
      </c>
      <c r="U39" s="345" t="s">
        <v>46</v>
      </c>
      <c r="V39" s="345" t="str">
        <f>V31</f>
        <v>Um/A</v>
      </c>
      <c r="W39" s="345" t="s">
        <v>45</v>
      </c>
      <c r="X39" s="345" t="str">
        <f>X31</f>
        <v>PmO</v>
      </c>
      <c r="Y39" s="345" t="s">
        <v>49</v>
      </c>
      <c r="Z39" s="1193"/>
      <c r="AB39" s="1190"/>
      <c r="AC39" s="345" t="str">
        <f>AC31</f>
        <v>Demande mensuelle</v>
      </c>
      <c r="AD39" s="345" t="s">
        <v>44</v>
      </c>
      <c r="AE39" s="345" t="str">
        <f>AE31</f>
        <v>Achalandage mensuel</v>
      </c>
      <c r="AF39" s="345" t="s">
        <v>45</v>
      </c>
      <c r="AG39" s="345" t="s">
        <v>46</v>
      </c>
      <c r="AH39" s="345" t="str">
        <f>AH31</f>
        <v>Um/A</v>
      </c>
      <c r="AI39" s="345" t="s">
        <v>45</v>
      </c>
      <c r="AJ39" s="345" t="str">
        <f>AJ31</f>
        <v>PmO</v>
      </c>
      <c r="AK39" s="345" t="s">
        <v>49</v>
      </c>
      <c r="AL39" s="1193"/>
      <c r="AN39" s="1190"/>
      <c r="AO39" s="345" t="str">
        <f>AO31</f>
        <v>Demande mensuelle</v>
      </c>
      <c r="AP39" s="345" t="s">
        <v>44</v>
      </c>
      <c r="AQ39" s="345" t="str">
        <f>AQ31</f>
        <v>Achalandage mensuel</v>
      </c>
      <c r="AR39" s="345" t="s">
        <v>45</v>
      </c>
      <c r="AS39" s="345" t="s">
        <v>46</v>
      </c>
      <c r="AT39" s="345" t="str">
        <f>AT31</f>
        <v>Um/A</v>
      </c>
      <c r="AU39" s="345" t="s">
        <v>45</v>
      </c>
      <c r="AV39" s="345" t="str">
        <f>AV31</f>
        <v>PmO</v>
      </c>
      <c r="AW39" s="345" t="s">
        <v>49</v>
      </c>
      <c r="AX39" s="1193"/>
      <c r="AZ39" s="1190"/>
      <c r="BA39" s="345" t="str">
        <f>BA31</f>
        <v>Coût mensuel</v>
      </c>
      <c r="BB39" s="345" t="s">
        <v>44</v>
      </c>
      <c r="BC39" s="345" t="str">
        <f>BC31</f>
        <v>Achalandage mensuel</v>
      </c>
      <c r="BD39" s="345" t="s">
        <v>45</v>
      </c>
      <c r="BE39" s="345" t="s">
        <v>46</v>
      </c>
      <c r="BF39" s="345" t="str">
        <f>BF31</f>
        <v>Um/A</v>
      </c>
      <c r="BG39" s="345" t="s">
        <v>45</v>
      </c>
      <c r="BH39" s="345" t="str">
        <f>BH31</f>
        <v>CmO</v>
      </c>
      <c r="BI39" s="345" t="s">
        <v>49</v>
      </c>
      <c r="BJ39" s="1193"/>
      <c r="BL39" s="1190"/>
      <c r="BM39" s="345" t="str">
        <f>BM31</f>
        <v>Bénéfice mensuel</v>
      </c>
      <c r="BN39" s="345" t="s">
        <v>44</v>
      </c>
      <c r="BO39" s="345" t="str">
        <f>BO31</f>
        <v>Achalandage mensuel</v>
      </c>
      <c r="BP39" s="345" t="s">
        <v>45</v>
      </c>
      <c r="BQ39" s="345" t="s">
        <v>46</v>
      </c>
      <c r="BR39" s="345" t="str">
        <f>BR31</f>
        <v>Um/A</v>
      </c>
      <c r="BS39" s="345" t="s">
        <v>45</v>
      </c>
      <c r="BT39" s="345" t="str">
        <f>BT31</f>
        <v>BmO</v>
      </c>
      <c r="BU39" s="345" t="s">
        <v>49</v>
      </c>
      <c r="BV39" s="1193"/>
    </row>
    <row r="40" spans="2:74" ht="19" x14ac:dyDescent="0.25">
      <c r="B40" s="1223"/>
      <c r="C40" s="1231"/>
      <c r="D40" s="1190"/>
      <c r="E40" s="346" t="s">
        <v>2</v>
      </c>
      <c r="F40" s="347"/>
      <c r="G40" s="346"/>
      <c r="H40" s="347"/>
      <c r="I40" s="347"/>
      <c r="J40" s="347"/>
      <c r="K40" s="347"/>
      <c r="L40" s="347"/>
      <c r="M40" s="347"/>
      <c r="N40" s="1193"/>
      <c r="P40" s="1190"/>
      <c r="Q40" s="346" t="s">
        <v>2</v>
      </c>
      <c r="R40" s="347"/>
      <c r="S40" s="346"/>
      <c r="T40" s="347"/>
      <c r="U40" s="347"/>
      <c r="V40" s="347"/>
      <c r="W40" s="347"/>
      <c r="X40" s="347"/>
      <c r="Y40" s="347"/>
      <c r="Z40" s="1193"/>
      <c r="AB40" s="1190"/>
      <c r="AC40" s="346" t="s">
        <v>2</v>
      </c>
      <c r="AD40" s="347"/>
      <c r="AE40" s="346"/>
      <c r="AF40" s="347"/>
      <c r="AG40" s="347"/>
      <c r="AH40" s="347"/>
      <c r="AI40" s="347"/>
      <c r="AJ40" s="347"/>
      <c r="AK40" s="347"/>
      <c r="AL40" s="1193"/>
      <c r="AN40" s="1190"/>
      <c r="AO40" s="346" t="s">
        <v>2</v>
      </c>
      <c r="AP40" s="347"/>
      <c r="AQ40" s="346"/>
      <c r="AR40" s="347"/>
      <c r="AS40" s="347"/>
      <c r="AT40" s="347"/>
      <c r="AU40" s="347"/>
      <c r="AV40" s="347"/>
      <c r="AW40" s="347"/>
      <c r="AX40" s="1193"/>
      <c r="AZ40" s="1190"/>
      <c r="BA40" s="346" t="s">
        <v>2</v>
      </c>
      <c r="BB40" s="347"/>
      <c r="BC40" s="346"/>
      <c r="BD40" s="347"/>
      <c r="BE40" s="347"/>
      <c r="BF40" s="347"/>
      <c r="BG40" s="347"/>
      <c r="BH40" s="347"/>
      <c r="BI40" s="347"/>
      <c r="BJ40" s="1193"/>
      <c r="BL40" s="1190"/>
      <c r="BM40" s="346" t="s">
        <v>2</v>
      </c>
      <c r="BN40" s="347"/>
      <c r="BO40" s="346"/>
      <c r="BP40" s="347"/>
      <c r="BQ40" s="347"/>
      <c r="BR40" s="347"/>
      <c r="BS40" s="347"/>
      <c r="BT40" s="347"/>
      <c r="BU40" s="347"/>
      <c r="BV40" s="1193"/>
    </row>
    <row r="41" spans="2:74" ht="26" x14ac:dyDescent="0.3">
      <c r="B41" s="1223"/>
      <c r="C41" s="1231"/>
      <c r="D41" s="1190"/>
      <c r="E41" s="348" t="str">
        <f>E33</f>
        <v>D</v>
      </c>
      <c r="F41" s="349"/>
      <c r="G41" s="348" t="str">
        <f>G33</f>
        <v>A</v>
      </c>
      <c r="H41" s="349"/>
      <c r="I41" s="349"/>
      <c r="J41" s="348" t="str">
        <f>+J39</f>
        <v>Um/A</v>
      </c>
      <c r="K41" s="349"/>
      <c r="L41" s="348" t="str">
        <f>+L39</f>
        <v>PmO</v>
      </c>
      <c r="M41" s="349"/>
      <c r="N41" s="1193"/>
      <c r="P41" s="1190"/>
      <c r="Q41" s="348" t="str">
        <f>Q33</f>
        <v>D</v>
      </c>
      <c r="R41" s="349"/>
      <c r="S41" s="348" t="str">
        <f>S33</f>
        <v>A</v>
      </c>
      <c r="T41" s="349"/>
      <c r="U41" s="349"/>
      <c r="V41" s="348" t="str">
        <f>+V39</f>
        <v>Um/A</v>
      </c>
      <c r="W41" s="349"/>
      <c r="X41" s="348" t="str">
        <f>+X39</f>
        <v>PmO</v>
      </c>
      <c r="Y41" s="349"/>
      <c r="Z41" s="1193"/>
      <c r="AB41" s="1190"/>
      <c r="AC41" s="348" t="str">
        <f>AC33</f>
        <v>D</v>
      </c>
      <c r="AD41" s="349"/>
      <c r="AE41" s="348" t="str">
        <f>AE33</f>
        <v>A</v>
      </c>
      <c r="AF41" s="349"/>
      <c r="AG41" s="349"/>
      <c r="AH41" s="348" t="str">
        <f>+AH39</f>
        <v>Um/A</v>
      </c>
      <c r="AI41" s="349"/>
      <c r="AJ41" s="348" t="str">
        <f>+AJ39</f>
        <v>PmO</v>
      </c>
      <c r="AK41" s="349"/>
      <c r="AL41" s="1193"/>
      <c r="AN41" s="1190"/>
      <c r="AO41" s="348" t="str">
        <f>AO33</f>
        <v>D</v>
      </c>
      <c r="AP41" s="349"/>
      <c r="AQ41" s="348" t="str">
        <f>AQ33</f>
        <v>A</v>
      </c>
      <c r="AR41" s="349"/>
      <c r="AS41" s="349"/>
      <c r="AT41" s="348" t="str">
        <f>+AT39</f>
        <v>Um/A</v>
      </c>
      <c r="AU41" s="349"/>
      <c r="AV41" s="348" t="str">
        <f>+AV39</f>
        <v>PmO</v>
      </c>
      <c r="AW41" s="349"/>
      <c r="AX41" s="1193"/>
      <c r="AZ41" s="1190"/>
      <c r="BA41" s="348" t="str">
        <f>BA33</f>
        <v xml:space="preserve">C </v>
      </c>
      <c r="BB41" s="349"/>
      <c r="BC41" s="348" t="str">
        <f>BC33</f>
        <v>A</v>
      </c>
      <c r="BD41" s="349"/>
      <c r="BE41" s="349"/>
      <c r="BF41" s="348" t="str">
        <f>+BF39</f>
        <v>Um/A</v>
      </c>
      <c r="BG41" s="349"/>
      <c r="BH41" s="348" t="str">
        <f>+BH39</f>
        <v>CmO</v>
      </c>
      <c r="BI41" s="349"/>
      <c r="BJ41" s="1193"/>
      <c r="BL41" s="1190"/>
      <c r="BM41" s="348" t="str">
        <f>BM33</f>
        <v xml:space="preserve">B </v>
      </c>
      <c r="BN41" s="349"/>
      <c r="BO41" s="348" t="str">
        <f>BO33</f>
        <v>A</v>
      </c>
      <c r="BP41" s="349"/>
      <c r="BQ41" s="349"/>
      <c r="BR41" s="348" t="str">
        <f>+BR39</f>
        <v>Um/A</v>
      </c>
      <c r="BS41" s="349"/>
      <c r="BT41" s="348" t="str">
        <f>+BT39</f>
        <v>BmO</v>
      </c>
      <c r="BU41" s="349"/>
      <c r="BV41" s="1193"/>
    </row>
    <row r="42" spans="2:74" ht="21" x14ac:dyDescent="0.25">
      <c r="B42" s="1223"/>
      <c r="C42" s="1231"/>
      <c r="D42" s="1190"/>
      <c r="E42" s="338">
        <f>+Q42+AC42+AO42</f>
        <v>42933.333333333336</v>
      </c>
      <c r="F42" s="345" t="s">
        <v>44</v>
      </c>
      <c r="G42" s="339">
        <f>'% Occupation'!H19</f>
        <v>4480</v>
      </c>
      <c r="H42" s="345" t="s">
        <v>45</v>
      </c>
      <c r="I42" s="345" t="s">
        <v>46</v>
      </c>
      <c r="J42" s="340">
        <f>+V42+AH42+AT42</f>
        <v>2</v>
      </c>
      <c r="K42" s="345" t="s">
        <v>45</v>
      </c>
      <c r="L42" s="341">
        <f>E42/G42/J42</f>
        <v>4.791666666666667</v>
      </c>
      <c r="M42" s="345" t="s">
        <v>49</v>
      </c>
      <c r="N42" s="1193"/>
      <c r="P42" s="1190"/>
      <c r="Q42" s="338">
        <f>+S42*(V42*X42)</f>
        <v>21578.666666666668</v>
      </c>
      <c r="R42" s="345" t="s">
        <v>44</v>
      </c>
      <c r="S42" s="339">
        <f>G42</f>
        <v>4480</v>
      </c>
      <c r="T42" s="345" t="s">
        <v>45</v>
      </c>
      <c r="U42" s="345" t="s">
        <v>46</v>
      </c>
      <c r="V42" s="376">
        <f>V34</f>
        <v>1</v>
      </c>
      <c r="W42" s="345" t="s">
        <v>45</v>
      </c>
      <c r="X42" s="377">
        <f>'Calcul CmO et PmO'!F193</f>
        <v>4.8166666666666673</v>
      </c>
      <c r="Y42" s="345" t="s">
        <v>49</v>
      </c>
      <c r="Z42" s="1193"/>
      <c r="AB42" s="1190"/>
      <c r="AC42" s="338">
        <f>+AE42*(AH42*AJ42)</f>
        <v>21354.666666666668</v>
      </c>
      <c r="AD42" s="345" t="s">
        <v>44</v>
      </c>
      <c r="AE42" s="339">
        <f>S42</f>
        <v>4480</v>
      </c>
      <c r="AF42" s="345" t="s">
        <v>45</v>
      </c>
      <c r="AG42" s="345" t="s">
        <v>46</v>
      </c>
      <c r="AH42" s="376">
        <f>AH34</f>
        <v>1</v>
      </c>
      <c r="AI42" s="345" t="s">
        <v>45</v>
      </c>
      <c r="AJ42" s="377">
        <f>'Calcul CmO et PmO'!F208</f>
        <v>4.7666666666666666</v>
      </c>
      <c r="AK42" s="345" t="s">
        <v>49</v>
      </c>
      <c r="AL42" s="1193"/>
      <c r="AN42" s="1190"/>
      <c r="AO42" s="338">
        <f>+AQ42*(AT42*AV42)</f>
        <v>0</v>
      </c>
      <c r="AP42" s="345" t="s">
        <v>44</v>
      </c>
      <c r="AQ42" s="339">
        <f>AE42</f>
        <v>4480</v>
      </c>
      <c r="AR42" s="345" t="s">
        <v>45</v>
      </c>
      <c r="AS42" s="345" t="s">
        <v>46</v>
      </c>
      <c r="AT42" s="376">
        <f>AT34</f>
        <v>0</v>
      </c>
      <c r="AU42" s="345" t="s">
        <v>45</v>
      </c>
      <c r="AV42" s="377">
        <f>AV34</f>
        <v>0</v>
      </c>
      <c r="AW42" s="345" t="s">
        <v>49</v>
      </c>
      <c r="AX42" s="1193"/>
      <c r="AZ42" s="1190"/>
      <c r="BA42" s="338">
        <f>'État des Résultats'!Q14-'État des Résultats'!Q45</f>
        <v>30356.541633333334</v>
      </c>
      <c r="BB42" s="345" t="s">
        <v>44</v>
      </c>
      <c r="BC42" s="339">
        <f>G42</f>
        <v>4480</v>
      </c>
      <c r="BD42" s="345" t="s">
        <v>45</v>
      </c>
      <c r="BE42" s="345" t="s">
        <v>46</v>
      </c>
      <c r="BF42" s="340">
        <f>J42</f>
        <v>2</v>
      </c>
      <c r="BG42" s="345" t="s">
        <v>45</v>
      </c>
      <c r="BH42" s="341">
        <f>BA42/BC42/BF42</f>
        <v>3.3880068787202382</v>
      </c>
      <c r="BI42" s="345" t="s">
        <v>49</v>
      </c>
      <c r="BJ42" s="1193"/>
      <c r="BL42" s="1190"/>
      <c r="BM42" s="338">
        <f>'État des Résultats'!Q45</f>
        <v>12576.791700000002</v>
      </c>
      <c r="BN42" s="345" t="s">
        <v>44</v>
      </c>
      <c r="BO42" s="339">
        <f>S42</f>
        <v>4480</v>
      </c>
      <c r="BP42" s="345" t="s">
        <v>45</v>
      </c>
      <c r="BQ42" s="345" t="s">
        <v>46</v>
      </c>
      <c r="BR42" s="340">
        <f>J42</f>
        <v>2</v>
      </c>
      <c r="BS42" s="345" t="s">
        <v>45</v>
      </c>
      <c r="BT42" s="341">
        <f>BM42/BO42/BR42</f>
        <v>1.4036597879464288</v>
      </c>
      <c r="BU42" s="345" t="s">
        <v>49</v>
      </c>
      <c r="BV42" s="1193"/>
    </row>
    <row r="43" spans="2:74" ht="17" thickBot="1" x14ac:dyDescent="0.25">
      <c r="B43" s="1223"/>
      <c r="C43" s="1231"/>
      <c r="D43" s="1191"/>
      <c r="E43" s="350"/>
      <c r="F43" s="350"/>
      <c r="G43" s="350"/>
      <c r="H43" s="350"/>
      <c r="I43" s="350"/>
      <c r="J43" s="350"/>
      <c r="K43" s="350"/>
      <c r="L43" s="350"/>
      <c r="M43" s="350"/>
      <c r="N43" s="1194"/>
      <c r="P43" s="1191"/>
      <c r="Q43" s="350"/>
      <c r="R43" s="350"/>
      <c r="S43" s="350"/>
      <c r="T43" s="350"/>
      <c r="U43" s="350"/>
      <c r="V43" s="350"/>
      <c r="W43" s="350"/>
      <c r="X43" s="350"/>
      <c r="Y43" s="350"/>
      <c r="Z43" s="1194"/>
      <c r="AB43" s="1191"/>
      <c r="AC43" s="350"/>
      <c r="AD43" s="350"/>
      <c r="AE43" s="350"/>
      <c r="AF43" s="350"/>
      <c r="AG43" s="350"/>
      <c r="AH43" s="350"/>
      <c r="AI43" s="350"/>
      <c r="AJ43" s="350"/>
      <c r="AK43" s="350"/>
      <c r="AL43" s="1194"/>
      <c r="AN43" s="1191"/>
      <c r="AO43" s="350"/>
      <c r="AP43" s="350"/>
      <c r="AQ43" s="350"/>
      <c r="AR43" s="350"/>
      <c r="AS43" s="350"/>
      <c r="AT43" s="350"/>
      <c r="AU43" s="350"/>
      <c r="AV43" s="350"/>
      <c r="AW43" s="350"/>
      <c r="AX43" s="1194"/>
      <c r="AZ43" s="1191"/>
      <c r="BA43" s="350"/>
      <c r="BB43" s="350"/>
      <c r="BC43" s="350"/>
      <c r="BD43" s="350"/>
      <c r="BE43" s="350"/>
      <c r="BF43" s="350"/>
      <c r="BG43" s="350"/>
      <c r="BH43" s="350"/>
      <c r="BI43" s="350"/>
      <c r="BJ43" s="1194"/>
      <c r="BL43" s="1191"/>
      <c r="BM43" s="350"/>
      <c r="BN43" s="350"/>
      <c r="BO43" s="350"/>
      <c r="BP43" s="350"/>
      <c r="BQ43" s="350"/>
      <c r="BR43" s="350"/>
      <c r="BS43" s="350"/>
      <c r="BT43" s="350"/>
      <c r="BU43" s="350"/>
      <c r="BV43" s="1194"/>
    </row>
    <row r="44" spans="2:74" ht="5" customHeight="1" thickTop="1" thickBot="1" x14ac:dyDescent="0.2">
      <c r="B44" s="1223"/>
      <c r="C44" s="209"/>
    </row>
    <row r="45" spans="2:74" ht="17" thickTop="1" x14ac:dyDescent="0.2">
      <c r="B45" s="1223"/>
      <c r="C45" s="1231"/>
      <c r="D45" s="1189" t="s">
        <v>42</v>
      </c>
      <c r="E45" s="343"/>
      <c r="F45" s="343"/>
      <c r="G45" s="343"/>
      <c r="H45" s="343"/>
      <c r="I45" s="343"/>
      <c r="J45" s="343"/>
      <c r="K45" s="343"/>
      <c r="L45" s="343"/>
      <c r="M45" s="343"/>
      <c r="N45" s="1192" t="s">
        <v>43</v>
      </c>
      <c r="P45" s="1189" t="s">
        <v>42</v>
      </c>
      <c r="Q45" s="343"/>
      <c r="R45" s="343"/>
      <c r="S45" s="343"/>
      <c r="T45" s="343"/>
      <c r="U45" s="343"/>
      <c r="V45" s="343"/>
      <c r="W45" s="343"/>
      <c r="X45" s="343"/>
      <c r="Y45" s="343"/>
      <c r="Z45" s="1192" t="s">
        <v>43</v>
      </c>
      <c r="AB45" s="1189" t="s">
        <v>42</v>
      </c>
      <c r="AC45" s="343"/>
      <c r="AD45" s="343"/>
      <c r="AE45" s="343"/>
      <c r="AF45" s="343"/>
      <c r="AG45" s="343"/>
      <c r="AH45" s="343"/>
      <c r="AI45" s="343"/>
      <c r="AJ45" s="343"/>
      <c r="AK45" s="343"/>
      <c r="AL45" s="1192" t="s">
        <v>43</v>
      </c>
      <c r="AN45" s="1189" t="s">
        <v>42</v>
      </c>
      <c r="AO45" s="343"/>
      <c r="AP45" s="343"/>
      <c r="AQ45" s="343"/>
      <c r="AR45" s="343"/>
      <c r="AS45" s="343"/>
      <c r="AT45" s="343"/>
      <c r="AU45" s="343"/>
      <c r="AV45" s="343"/>
      <c r="AW45" s="343"/>
      <c r="AX45" s="1192" t="s">
        <v>43</v>
      </c>
      <c r="AZ45" s="1189" t="s">
        <v>42</v>
      </c>
      <c r="BA45" s="343"/>
      <c r="BB45" s="343"/>
      <c r="BC45" s="343"/>
      <c r="BD45" s="343"/>
      <c r="BE45" s="343"/>
      <c r="BF45" s="343"/>
      <c r="BG45" s="343"/>
      <c r="BH45" s="343"/>
      <c r="BI45" s="343"/>
      <c r="BJ45" s="1192" t="s">
        <v>43</v>
      </c>
      <c r="BL45" s="1189" t="s">
        <v>42</v>
      </c>
      <c r="BM45" s="343"/>
      <c r="BN45" s="343"/>
      <c r="BO45" s="343"/>
      <c r="BP45" s="343"/>
      <c r="BQ45" s="343"/>
      <c r="BR45" s="343"/>
      <c r="BS45" s="343"/>
      <c r="BT45" s="343"/>
      <c r="BU45" s="343"/>
      <c r="BV45" s="1192" t="s">
        <v>43</v>
      </c>
    </row>
    <row r="46" spans="2:74" ht="16" x14ac:dyDescent="0.2">
      <c r="B46" s="1223"/>
      <c r="C46" s="1231"/>
      <c r="D46" s="1190"/>
      <c r="E46" s="344"/>
      <c r="F46" s="344"/>
      <c r="G46" s="344"/>
      <c r="H46" s="344"/>
      <c r="I46" s="344"/>
      <c r="J46" s="344"/>
      <c r="K46" s="344"/>
      <c r="L46" s="344"/>
      <c r="M46" s="344"/>
      <c r="N46" s="1193"/>
      <c r="P46" s="1190"/>
      <c r="Q46" s="344"/>
      <c r="R46" s="344"/>
      <c r="S46" s="344"/>
      <c r="T46" s="344"/>
      <c r="U46" s="344"/>
      <c r="V46" s="344"/>
      <c r="W46" s="344"/>
      <c r="X46" s="344"/>
      <c r="Y46" s="344"/>
      <c r="Z46" s="1193"/>
      <c r="AB46" s="1190"/>
      <c r="AC46" s="344"/>
      <c r="AD46" s="344"/>
      <c r="AE46" s="344"/>
      <c r="AF46" s="344"/>
      <c r="AG46" s="344"/>
      <c r="AH46" s="344"/>
      <c r="AI46" s="344"/>
      <c r="AJ46" s="344"/>
      <c r="AK46" s="344"/>
      <c r="AL46" s="1193"/>
      <c r="AN46" s="1190"/>
      <c r="AO46" s="344"/>
      <c r="AP46" s="344"/>
      <c r="AQ46" s="344"/>
      <c r="AR46" s="344"/>
      <c r="AS46" s="344"/>
      <c r="AT46" s="344"/>
      <c r="AU46" s="344"/>
      <c r="AV46" s="344"/>
      <c r="AW46" s="344"/>
      <c r="AX46" s="1193"/>
      <c r="AZ46" s="1190"/>
      <c r="BA46" s="344"/>
      <c r="BB46" s="344"/>
      <c r="BC46" s="344"/>
      <c r="BD46" s="344"/>
      <c r="BE46" s="344"/>
      <c r="BF46" s="344"/>
      <c r="BG46" s="344"/>
      <c r="BH46" s="344"/>
      <c r="BI46" s="344"/>
      <c r="BJ46" s="1193"/>
      <c r="BL46" s="1190"/>
      <c r="BM46" s="344"/>
      <c r="BN46" s="344"/>
      <c r="BO46" s="344"/>
      <c r="BP46" s="344"/>
      <c r="BQ46" s="344"/>
      <c r="BR46" s="344"/>
      <c r="BS46" s="344"/>
      <c r="BT46" s="344"/>
      <c r="BU46" s="344"/>
      <c r="BV46" s="1193"/>
    </row>
    <row r="47" spans="2:74" ht="21" x14ac:dyDescent="0.25">
      <c r="B47" s="1223"/>
      <c r="C47" s="1231"/>
      <c r="D47" s="1190"/>
      <c r="E47" s="345" t="str">
        <f>E39</f>
        <v>Demande mensuelle</v>
      </c>
      <c r="F47" s="345" t="s">
        <v>44</v>
      </c>
      <c r="G47" s="345" t="str">
        <f>G39</f>
        <v>Achalandage mensuel</v>
      </c>
      <c r="H47" s="345" t="s">
        <v>45</v>
      </c>
      <c r="I47" s="345" t="s">
        <v>46</v>
      </c>
      <c r="J47" s="345" t="str">
        <f>J39</f>
        <v>Um/A</v>
      </c>
      <c r="K47" s="345" t="s">
        <v>45</v>
      </c>
      <c r="L47" s="345" t="str">
        <f>L39</f>
        <v>PmO</v>
      </c>
      <c r="M47" s="345" t="s">
        <v>49</v>
      </c>
      <c r="N47" s="1193"/>
      <c r="P47" s="1190"/>
      <c r="Q47" s="345" t="str">
        <f>Q39</f>
        <v>Demande mensuelle</v>
      </c>
      <c r="R47" s="345" t="s">
        <v>44</v>
      </c>
      <c r="S47" s="345" t="str">
        <f>S39</f>
        <v>Achalandage mensuel</v>
      </c>
      <c r="T47" s="345" t="s">
        <v>45</v>
      </c>
      <c r="U47" s="345" t="s">
        <v>46</v>
      </c>
      <c r="V47" s="345" t="str">
        <f>V39</f>
        <v>Um/A</v>
      </c>
      <c r="W47" s="345" t="s">
        <v>45</v>
      </c>
      <c r="X47" s="345" t="str">
        <f>X39</f>
        <v>PmO</v>
      </c>
      <c r="Y47" s="345" t="s">
        <v>49</v>
      </c>
      <c r="Z47" s="1193"/>
      <c r="AB47" s="1190"/>
      <c r="AC47" s="345" t="str">
        <f>AC39</f>
        <v>Demande mensuelle</v>
      </c>
      <c r="AD47" s="345" t="s">
        <v>44</v>
      </c>
      <c r="AE47" s="345" t="str">
        <f>AE39</f>
        <v>Achalandage mensuel</v>
      </c>
      <c r="AF47" s="345" t="s">
        <v>45</v>
      </c>
      <c r="AG47" s="345" t="s">
        <v>46</v>
      </c>
      <c r="AH47" s="345" t="str">
        <f>AH39</f>
        <v>Um/A</v>
      </c>
      <c r="AI47" s="345" t="s">
        <v>45</v>
      </c>
      <c r="AJ47" s="345" t="str">
        <f>AJ39</f>
        <v>PmO</v>
      </c>
      <c r="AK47" s="345" t="s">
        <v>49</v>
      </c>
      <c r="AL47" s="1193"/>
      <c r="AN47" s="1190"/>
      <c r="AO47" s="345" t="str">
        <f>AO39</f>
        <v>Demande mensuelle</v>
      </c>
      <c r="AP47" s="345" t="s">
        <v>44</v>
      </c>
      <c r="AQ47" s="345" t="str">
        <f>AQ39</f>
        <v>Achalandage mensuel</v>
      </c>
      <c r="AR47" s="345" t="s">
        <v>45</v>
      </c>
      <c r="AS47" s="345" t="s">
        <v>46</v>
      </c>
      <c r="AT47" s="345" t="str">
        <f>AT39</f>
        <v>Um/A</v>
      </c>
      <c r="AU47" s="345" t="s">
        <v>45</v>
      </c>
      <c r="AV47" s="345" t="str">
        <f>AV39</f>
        <v>PmO</v>
      </c>
      <c r="AW47" s="345" t="s">
        <v>49</v>
      </c>
      <c r="AX47" s="1193"/>
      <c r="AZ47" s="1190"/>
      <c r="BA47" s="345" t="str">
        <f>BA39</f>
        <v>Coût mensuel</v>
      </c>
      <c r="BB47" s="345" t="s">
        <v>44</v>
      </c>
      <c r="BC47" s="345" t="str">
        <f>BC39</f>
        <v>Achalandage mensuel</v>
      </c>
      <c r="BD47" s="345" t="s">
        <v>45</v>
      </c>
      <c r="BE47" s="345" t="s">
        <v>46</v>
      </c>
      <c r="BF47" s="345" t="str">
        <f>BF39</f>
        <v>Um/A</v>
      </c>
      <c r="BG47" s="345" t="s">
        <v>45</v>
      </c>
      <c r="BH47" s="345" t="str">
        <f>BH39</f>
        <v>CmO</v>
      </c>
      <c r="BI47" s="345" t="s">
        <v>49</v>
      </c>
      <c r="BJ47" s="1193"/>
      <c r="BL47" s="1190"/>
      <c r="BM47" s="345" t="str">
        <f>BM39</f>
        <v>Bénéfice mensuel</v>
      </c>
      <c r="BN47" s="345" t="s">
        <v>44</v>
      </c>
      <c r="BO47" s="345" t="str">
        <f>BO39</f>
        <v>Achalandage mensuel</v>
      </c>
      <c r="BP47" s="345" t="s">
        <v>45</v>
      </c>
      <c r="BQ47" s="345" t="s">
        <v>46</v>
      </c>
      <c r="BR47" s="345" t="str">
        <f>BR39</f>
        <v>Um/A</v>
      </c>
      <c r="BS47" s="345" t="s">
        <v>45</v>
      </c>
      <c r="BT47" s="345" t="str">
        <f>BT39</f>
        <v>BmO</v>
      </c>
      <c r="BU47" s="345" t="s">
        <v>49</v>
      </c>
      <c r="BV47" s="1193"/>
    </row>
    <row r="48" spans="2:74" ht="19" x14ac:dyDescent="0.25">
      <c r="B48" s="1223"/>
      <c r="C48" s="1231"/>
      <c r="D48" s="1190"/>
      <c r="E48" s="346" t="s">
        <v>2</v>
      </c>
      <c r="F48" s="347"/>
      <c r="G48" s="346"/>
      <c r="H48" s="347"/>
      <c r="I48" s="347"/>
      <c r="J48" s="347"/>
      <c r="K48" s="347"/>
      <c r="L48" s="347"/>
      <c r="M48" s="347"/>
      <c r="N48" s="1193"/>
      <c r="P48" s="1190"/>
      <c r="Q48" s="346" t="s">
        <v>2</v>
      </c>
      <c r="R48" s="347"/>
      <c r="S48" s="346"/>
      <c r="T48" s="347"/>
      <c r="U48" s="347"/>
      <c r="V48" s="347"/>
      <c r="W48" s="347"/>
      <c r="X48" s="347"/>
      <c r="Y48" s="347"/>
      <c r="Z48" s="1193"/>
      <c r="AB48" s="1190"/>
      <c r="AC48" s="346" t="s">
        <v>2</v>
      </c>
      <c r="AD48" s="347"/>
      <c r="AE48" s="346"/>
      <c r="AF48" s="347"/>
      <c r="AG48" s="347"/>
      <c r="AH48" s="347"/>
      <c r="AI48" s="347"/>
      <c r="AJ48" s="347"/>
      <c r="AK48" s="347"/>
      <c r="AL48" s="1193"/>
      <c r="AN48" s="1190"/>
      <c r="AO48" s="346" t="s">
        <v>2</v>
      </c>
      <c r="AP48" s="347"/>
      <c r="AQ48" s="346"/>
      <c r="AR48" s="347"/>
      <c r="AS48" s="347"/>
      <c r="AT48" s="347"/>
      <c r="AU48" s="347"/>
      <c r="AV48" s="347"/>
      <c r="AW48" s="347"/>
      <c r="AX48" s="1193"/>
      <c r="AZ48" s="1190"/>
      <c r="BA48" s="346" t="s">
        <v>2</v>
      </c>
      <c r="BB48" s="347"/>
      <c r="BC48" s="346"/>
      <c r="BD48" s="347"/>
      <c r="BE48" s="347"/>
      <c r="BF48" s="347"/>
      <c r="BG48" s="347"/>
      <c r="BH48" s="347"/>
      <c r="BI48" s="347"/>
      <c r="BJ48" s="1193"/>
      <c r="BL48" s="1190"/>
      <c r="BM48" s="346" t="s">
        <v>2</v>
      </c>
      <c r="BN48" s="347"/>
      <c r="BO48" s="346"/>
      <c r="BP48" s="347"/>
      <c r="BQ48" s="347"/>
      <c r="BR48" s="347"/>
      <c r="BS48" s="347"/>
      <c r="BT48" s="347"/>
      <c r="BU48" s="347"/>
      <c r="BV48" s="1193"/>
    </row>
    <row r="49" spans="2:74" ht="26" x14ac:dyDescent="0.3">
      <c r="B49" s="1223"/>
      <c r="C49" s="1231"/>
      <c r="D49" s="1190"/>
      <c r="E49" s="348" t="str">
        <f>E41</f>
        <v>D</v>
      </c>
      <c r="F49" s="349"/>
      <c r="G49" s="348" t="str">
        <f>G41</f>
        <v>A</v>
      </c>
      <c r="H49" s="349"/>
      <c r="I49" s="349"/>
      <c r="J49" s="348" t="str">
        <f>+J47</f>
        <v>Um/A</v>
      </c>
      <c r="K49" s="349"/>
      <c r="L49" s="348" t="str">
        <f>+L47</f>
        <v>PmO</v>
      </c>
      <c r="M49" s="349"/>
      <c r="N49" s="1193"/>
      <c r="P49" s="1190"/>
      <c r="Q49" s="348" t="str">
        <f>Q41</f>
        <v>D</v>
      </c>
      <c r="R49" s="349"/>
      <c r="S49" s="348" t="str">
        <f>S41</f>
        <v>A</v>
      </c>
      <c r="T49" s="349"/>
      <c r="U49" s="349"/>
      <c r="V49" s="348" t="str">
        <f>+V47</f>
        <v>Um/A</v>
      </c>
      <c r="W49" s="349"/>
      <c r="X49" s="348" t="str">
        <f>+X47</f>
        <v>PmO</v>
      </c>
      <c r="Y49" s="349"/>
      <c r="Z49" s="1193"/>
      <c r="AB49" s="1190"/>
      <c r="AC49" s="348" t="str">
        <f>AC41</f>
        <v>D</v>
      </c>
      <c r="AD49" s="349"/>
      <c r="AE49" s="348" t="str">
        <f>AE41</f>
        <v>A</v>
      </c>
      <c r="AF49" s="349"/>
      <c r="AG49" s="349"/>
      <c r="AH49" s="348" t="str">
        <f>+AH47</f>
        <v>Um/A</v>
      </c>
      <c r="AI49" s="349"/>
      <c r="AJ49" s="348" t="str">
        <f>+AJ47</f>
        <v>PmO</v>
      </c>
      <c r="AK49" s="349"/>
      <c r="AL49" s="1193"/>
      <c r="AN49" s="1190"/>
      <c r="AO49" s="348" t="str">
        <f>AO41</f>
        <v>D</v>
      </c>
      <c r="AP49" s="349"/>
      <c r="AQ49" s="348" t="str">
        <f>AQ41</f>
        <v>A</v>
      </c>
      <c r="AR49" s="349"/>
      <c r="AS49" s="349"/>
      <c r="AT49" s="348" t="str">
        <f>+AT47</f>
        <v>Um/A</v>
      </c>
      <c r="AU49" s="349"/>
      <c r="AV49" s="348" t="str">
        <f>+AV47</f>
        <v>PmO</v>
      </c>
      <c r="AW49" s="349"/>
      <c r="AX49" s="1193"/>
      <c r="AZ49" s="1190"/>
      <c r="BA49" s="348" t="str">
        <f>BA41</f>
        <v xml:space="preserve">C </v>
      </c>
      <c r="BB49" s="349"/>
      <c r="BC49" s="348" t="str">
        <f>BC41</f>
        <v>A</v>
      </c>
      <c r="BD49" s="349"/>
      <c r="BE49" s="349"/>
      <c r="BF49" s="348" t="str">
        <f>+BF47</f>
        <v>Um/A</v>
      </c>
      <c r="BG49" s="349"/>
      <c r="BH49" s="348" t="str">
        <f>+BH47</f>
        <v>CmO</v>
      </c>
      <c r="BI49" s="349"/>
      <c r="BJ49" s="1193"/>
      <c r="BL49" s="1190"/>
      <c r="BM49" s="348" t="str">
        <f>BM41</f>
        <v xml:space="preserve">B </v>
      </c>
      <c r="BN49" s="349"/>
      <c r="BO49" s="348" t="str">
        <f>BO41</f>
        <v>A</v>
      </c>
      <c r="BP49" s="349"/>
      <c r="BQ49" s="349"/>
      <c r="BR49" s="348" t="str">
        <f>+BR47</f>
        <v>Um/A</v>
      </c>
      <c r="BS49" s="349"/>
      <c r="BT49" s="348" t="str">
        <f>+BT47</f>
        <v>BmO</v>
      </c>
      <c r="BU49" s="349"/>
      <c r="BV49" s="1193"/>
    </row>
    <row r="50" spans="2:74" ht="21" x14ac:dyDescent="0.25">
      <c r="B50" s="1223"/>
      <c r="C50" s="1231"/>
      <c r="D50" s="1190"/>
      <c r="E50" s="338">
        <f>+Q50+AC50+AO50</f>
        <v>44121.666666666672</v>
      </c>
      <c r="F50" s="345" t="s">
        <v>44</v>
      </c>
      <c r="G50" s="339">
        <f>'% Occupation'!I19</f>
        <v>4604</v>
      </c>
      <c r="H50" s="345" t="s">
        <v>45</v>
      </c>
      <c r="I50" s="345" t="s">
        <v>46</v>
      </c>
      <c r="J50" s="340">
        <f>+V50+AH50+AT50</f>
        <v>2</v>
      </c>
      <c r="K50" s="345" t="s">
        <v>45</v>
      </c>
      <c r="L50" s="341">
        <f>E50/G50/J50</f>
        <v>4.791666666666667</v>
      </c>
      <c r="M50" s="345" t="s">
        <v>49</v>
      </c>
      <c r="N50" s="1193"/>
      <c r="P50" s="1190"/>
      <c r="Q50" s="338">
        <f>+S50*(V50*X50)</f>
        <v>22175.933333333338</v>
      </c>
      <c r="R50" s="345" t="s">
        <v>44</v>
      </c>
      <c r="S50" s="339">
        <f>G50</f>
        <v>4604</v>
      </c>
      <c r="T50" s="345" t="s">
        <v>45</v>
      </c>
      <c r="U50" s="345" t="s">
        <v>46</v>
      </c>
      <c r="V50" s="376">
        <f>V42</f>
        <v>1</v>
      </c>
      <c r="W50" s="345" t="s">
        <v>45</v>
      </c>
      <c r="X50" s="377">
        <f>'Calcul CmO et PmO'!F236</f>
        <v>4.8166666666666673</v>
      </c>
      <c r="Y50" s="345" t="s">
        <v>49</v>
      </c>
      <c r="Z50" s="1193"/>
      <c r="AB50" s="1190"/>
      <c r="AC50" s="338">
        <f>+AE50*(AH50*AJ50)</f>
        <v>21945.733333333334</v>
      </c>
      <c r="AD50" s="345" t="s">
        <v>44</v>
      </c>
      <c r="AE50" s="339">
        <f>S50</f>
        <v>4604</v>
      </c>
      <c r="AF50" s="345" t="s">
        <v>45</v>
      </c>
      <c r="AG50" s="345" t="s">
        <v>46</v>
      </c>
      <c r="AH50" s="376">
        <f>AH42</f>
        <v>1</v>
      </c>
      <c r="AI50" s="345" t="s">
        <v>45</v>
      </c>
      <c r="AJ50" s="377">
        <f>'Calcul CmO et PmO'!F251</f>
        <v>4.7666666666666666</v>
      </c>
      <c r="AK50" s="345" t="s">
        <v>49</v>
      </c>
      <c r="AL50" s="1193"/>
      <c r="AN50" s="1190"/>
      <c r="AO50" s="338">
        <f>+AQ50*(AT50*AV50)</f>
        <v>0</v>
      </c>
      <c r="AP50" s="345" t="s">
        <v>44</v>
      </c>
      <c r="AQ50" s="339">
        <f>AE50</f>
        <v>4604</v>
      </c>
      <c r="AR50" s="345" t="s">
        <v>45</v>
      </c>
      <c r="AS50" s="345" t="s">
        <v>46</v>
      </c>
      <c r="AT50" s="376">
        <f>AT42</f>
        <v>0</v>
      </c>
      <c r="AU50" s="345" t="s">
        <v>45</v>
      </c>
      <c r="AV50" s="377">
        <f>AV42</f>
        <v>0</v>
      </c>
      <c r="AW50" s="345" t="s">
        <v>49</v>
      </c>
      <c r="AX50" s="1193"/>
      <c r="AZ50" s="1190"/>
      <c r="BA50" s="338">
        <f>'État des Résultats'!T14-'État des Résultats'!T45</f>
        <v>30831.025566666671</v>
      </c>
      <c r="BB50" s="345" t="s">
        <v>44</v>
      </c>
      <c r="BC50" s="339">
        <f>G50</f>
        <v>4604</v>
      </c>
      <c r="BD50" s="345" t="s">
        <v>45</v>
      </c>
      <c r="BE50" s="345" t="s">
        <v>46</v>
      </c>
      <c r="BF50" s="340">
        <f>J50</f>
        <v>2</v>
      </c>
      <c r="BG50" s="345" t="s">
        <v>45</v>
      </c>
      <c r="BH50" s="341">
        <f>BA50/BC50/BF50</f>
        <v>3.348286877353027</v>
      </c>
      <c r="BI50" s="345" t="s">
        <v>49</v>
      </c>
      <c r="BJ50" s="1193"/>
      <c r="BL50" s="1190"/>
      <c r="BM50" s="338">
        <f>'État des Résultats'!T45</f>
        <v>13290.641100000003</v>
      </c>
      <c r="BN50" s="345" t="s">
        <v>44</v>
      </c>
      <c r="BO50" s="339">
        <f>S50</f>
        <v>4604</v>
      </c>
      <c r="BP50" s="345" t="s">
        <v>45</v>
      </c>
      <c r="BQ50" s="345" t="s">
        <v>46</v>
      </c>
      <c r="BR50" s="340">
        <f>J50</f>
        <v>2</v>
      </c>
      <c r="BS50" s="345" t="s">
        <v>45</v>
      </c>
      <c r="BT50" s="341">
        <f>BM50/BO50/BR50</f>
        <v>1.4433797893136406</v>
      </c>
      <c r="BU50" s="345" t="s">
        <v>49</v>
      </c>
      <c r="BV50" s="1193"/>
    </row>
    <row r="51" spans="2:74" ht="17" thickBot="1" x14ac:dyDescent="0.25">
      <c r="B51" s="1224"/>
      <c r="C51" s="1231"/>
      <c r="D51" s="1191"/>
      <c r="E51" s="350"/>
      <c r="F51" s="350"/>
      <c r="G51" s="350"/>
      <c r="H51" s="350"/>
      <c r="I51" s="350"/>
      <c r="J51" s="350"/>
      <c r="K51" s="350"/>
      <c r="L51" s="350"/>
      <c r="M51" s="350"/>
      <c r="N51" s="1194"/>
      <c r="P51" s="1191"/>
      <c r="Q51" s="350"/>
      <c r="R51" s="350"/>
      <c r="S51" s="350"/>
      <c r="T51" s="350"/>
      <c r="U51" s="350"/>
      <c r="V51" s="350"/>
      <c r="W51" s="350"/>
      <c r="X51" s="350"/>
      <c r="Y51" s="350"/>
      <c r="Z51" s="1194"/>
      <c r="AB51" s="1191"/>
      <c r="AC51" s="350"/>
      <c r="AD51" s="350"/>
      <c r="AE51" s="350"/>
      <c r="AF51" s="350"/>
      <c r="AG51" s="350"/>
      <c r="AH51" s="350"/>
      <c r="AI51" s="350"/>
      <c r="AJ51" s="350"/>
      <c r="AK51" s="350"/>
      <c r="AL51" s="1194"/>
      <c r="AN51" s="1191"/>
      <c r="AO51" s="350"/>
      <c r="AP51" s="350"/>
      <c r="AQ51" s="350"/>
      <c r="AR51" s="350"/>
      <c r="AS51" s="350"/>
      <c r="AT51" s="350"/>
      <c r="AU51" s="350"/>
      <c r="AV51" s="350"/>
      <c r="AW51" s="350"/>
      <c r="AX51" s="1194"/>
      <c r="AZ51" s="1191"/>
      <c r="BA51" s="350"/>
      <c r="BB51" s="350"/>
      <c r="BC51" s="350"/>
      <c r="BD51" s="350"/>
      <c r="BE51" s="350"/>
      <c r="BF51" s="350"/>
      <c r="BG51" s="350"/>
      <c r="BH51" s="350"/>
      <c r="BI51" s="350"/>
      <c r="BJ51" s="1194"/>
      <c r="BL51" s="1191"/>
      <c r="BM51" s="350"/>
      <c r="BN51" s="350"/>
      <c r="BO51" s="350"/>
      <c r="BP51" s="350"/>
      <c r="BQ51" s="350"/>
      <c r="BR51" s="350"/>
      <c r="BS51" s="350"/>
      <c r="BT51" s="350"/>
      <c r="BU51" s="350"/>
      <c r="BV51" s="1194"/>
    </row>
    <row r="52" spans="2:74" ht="10" customHeight="1" thickBot="1" x14ac:dyDescent="0.2">
      <c r="B52" s="161" t="s">
        <v>2</v>
      </c>
      <c r="C52" s="209"/>
    </row>
    <row r="53" spans="2:74" ht="17" thickTop="1" x14ac:dyDescent="0.2">
      <c r="B53" s="1225">
        <v>3</v>
      </c>
      <c r="C53" s="1230"/>
      <c r="D53" s="1177" t="s">
        <v>42</v>
      </c>
      <c r="E53" s="351"/>
      <c r="F53" s="351"/>
      <c r="G53" s="351"/>
      <c r="H53" s="351"/>
      <c r="I53" s="351"/>
      <c r="J53" s="351"/>
      <c r="K53" s="351"/>
      <c r="L53" s="351"/>
      <c r="M53" s="351"/>
      <c r="N53" s="1180" t="s">
        <v>43</v>
      </c>
      <c r="P53" s="1216" t="s">
        <v>42</v>
      </c>
      <c r="Q53" s="303"/>
      <c r="R53" s="303"/>
      <c r="S53" s="303"/>
      <c r="T53" s="303"/>
      <c r="U53" s="303"/>
      <c r="V53" s="303"/>
      <c r="W53" s="303"/>
      <c r="X53" s="303"/>
      <c r="Y53" s="303"/>
      <c r="Z53" s="1217" t="s">
        <v>43</v>
      </c>
      <c r="AB53" s="1177" t="s">
        <v>42</v>
      </c>
      <c r="AC53" s="351"/>
      <c r="AD53" s="351"/>
      <c r="AE53" s="351"/>
      <c r="AF53" s="351"/>
      <c r="AG53" s="351"/>
      <c r="AH53" s="351"/>
      <c r="AI53" s="351"/>
      <c r="AJ53" s="351"/>
      <c r="AK53" s="351"/>
      <c r="AL53" s="1180" t="s">
        <v>43</v>
      </c>
      <c r="AN53" s="1177" t="s">
        <v>42</v>
      </c>
      <c r="AO53" s="351"/>
      <c r="AP53" s="351"/>
      <c r="AQ53" s="351"/>
      <c r="AR53" s="351"/>
      <c r="AS53" s="351"/>
      <c r="AT53" s="351"/>
      <c r="AU53" s="351"/>
      <c r="AV53" s="351"/>
      <c r="AW53" s="351"/>
      <c r="AX53" s="1180" t="s">
        <v>43</v>
      </c>
      <c r="AZ53" s="1177" t="s">
        <v>42</v>
      </c>
      <c r="BA53" s="351"/>
      <c r="BB53" s="351"/>
      <c r="BC53" s="351"/>
      <c r="BD53" s="351"/>
      <c r="BE53" s="351"/>
      <c r="BF53" s="351"/>
      <c r="BG53" s="351"/>
      <c r="BH53" s="351"/>
      <c r="BI53" s="351"/>
      <c r="BJ53" s="1180" t="s">
        <v>43</v>
      </c>
      <c r="BL53" s="1177" t="s">
        <v>42</v>
      </c>
      <c r="BM53" s="351"/>
      <c r="BN53" s="351"/>
      <c r="BO53" s="351"/>
      <c r="BP53" s="351"/>
      <c r="BQ53" s="351"/>
      <c r="BR53" s="351"/>
      <c r="BS53" s="351"/>
      <c r="BT53" s="351"/>
      <c r="BU53" s="351"/>
      <c r="BV53" s="1180" t="s">
        <v>43</v>
      </c>
    </row>
    <row r="54" spans="2:74" ht="16" x14ac:dyDescent="0.2">
      <c r="B54" s="1225"/>
      <c r="C54" s="1230"/>
      <c r="D54" s="1178"/>
      <c r="E54" s="352"/>
      <c r="F54" s="352"/>
      <c r="G54" s="352"/>
      <c r="H54" s="352"/>
      <c r="I54" s="352"/>
      <c r="J54" s="352"/>
      <c r="K54" s="352"/>
      <c r="L54" s="352"/>
      <c r="M54" s="352"/>
      <c r="N54" s="1181"/>
      <c r="P54" s="1178"/>
      <c r="Q54" s="303"/>
      <c r="R54" s="303"/>
      <c r="S54" s="303"/>
      <c r="T54" s="303"/>
      <c r="U54" s="303"/>
      <c r="V54" s="303"/>
      <c r="W54" s="303"/>
      <c r="X54" s="303"/>
      <c r="Y54" s="303"/>
      <c r="Z54" s="1181"/>
      <c r="AB54" s="1178"/>
      <c r="AC54" s="352"/>
      <c r="AD54" s="352"/>
      <c r="AE54" s="352"/>
      <c r="AF54" s="352"/>
      <c r="AG54" s="352"/>
      <c r="AH54" s="352"/>
      <c r="AI54" s="352"/>
      <c r="AJ54" s="352"/>
      <c r="AK54" s="352"/>
      <c r="AL54" s="1181"/>
      <c r="AN54" s="1178"/>
      <c r="AO54" s="352"/>
      <c r="AP54" s="352"/>
      <c r="AQ54" s="352"/>
      <c r="AR54" s="352"/>
      <c r="AS54" s="352"/>
      <c r="AT54" s="352"/>
      <c r="AU54" s="352"/>
      <c r="AV54" s="352"/>
      <c r="AW54" s="352"/>
      <c r="AX54" s="1181"/>
      <c r="AZ54" s="1178"/>
      <c r="BA54" s="352"/>
      <c r="BB54" s="352"/>
      <c r="BC54" s="352"/>
      <c r="BD54" s="352"/>
      <c r="BE54" s="352"/>
      <c r="BF54" s="352"/>
      <c r="BG54" s="352"/>
      <c r="BH54" s="352"/>
      <c r="BI54" s="352"/>
      <c r="BJ54" s="1181"/>
      <c r="BL54" s="1178"/>
      <c r="BM54" s="352"/>
      <c r="BN54" s="352"/>
      <c r="BO54" s="352"/>
      <c r="BP54" s="352"/>
      <c r="BQ54" s="352"/>
      <c r="BR54" s="352"/>
      <c r="BS54" s="352"/>
      <c r="BT54" s="352"/>
      <c r="BU54" s="352"/>
      <c r="BV54" s="1181"/>
    </row>
    <row r="55" spans="2:74" ht="21" x14ac:dyDescent="0.25">
      <c r="B55" s="1225"/>
      <c r="C55" s="1230"/>
      <c r="D55" s="1178"/>
      <c r="E55" s="353" t="str">
        <f>E47</f>
        <v>Demande mensuelle</v>
      </c>
      <c r="F55" s="353" t="s">
        <v>44</v>
      </c>
      <c r="G55" s="353" t="str">
        <f>G47</f>
        <v>Achalandage mensuel</v>
      </c>
      <c r="H55" s="353" t="s">
        <v>45</v>
      </c>
      <c r="I55" s="353" t="s">
        <v>46</v>
      </c>
      <c r="J55" s="353" t="str">
        <f>J47</f>
        <v>Um/A</v>
      </c>
      <c r="K55" s="353" t="s">
        <v>45</v>
      </c>
      <c r="L55" s="353" t="str">
        <f>L47</f>
        <v>PmO</v>
      </c>
      <c r="M55" s="353" t="s">
        <v>49</v>
      </c>
      <c r="N55" s="1181"/>
      <c r="P55" s="1178"/>
      <c r="Q55" s="304" t="str">
        <f>Q47</f>
        <v>Demande mensuelle</v>
      </c>
      <c r="R55" s="304" t="s">
        <v>44</v>
      </c>
      <c r="S55" s="304" t="str">
        <f>S47</f>
        <v>Achalandage mensuel</v>
      </c>
      <c r="T55" s="304" t="s">
        <v>45</v>
      </c>
      <c r="U55" s="304" t="s">
        <v>46</v>
      </c>
      <c r="V55" s="304" t="str">
        <f>V47</f>
        <v>Um/A</v>
      </c>
      <c r="W55" s="304" t="s">
        <v>45</v>
      </c>
      <c r="X55" s="304" t="str">
        <f>X47</f>
        <v>PmO</v>
      </c>
      <c r="Y55" s="304" t="s">
        <v>49</v>
      </c>
      <c r="Z55" s="1181"/>
      <c r="AB55" s="1178"/>
      <c r="AC55" s="353" t="str">
        <f>AC47</f>
        <v>Demande mensuelle</v>
      </c>
      <c r="AD55" s="353" t="s">
        <v>44</v>
      </c>
      <c r="AE55" s="353" t="str">
        <f>AE47</f>
        <v>Achalandage mensuel</v>
      </c>
      <c r="AF55" s="353" t="s">
        <v>45</v>
      </c>
      <c r="AG55" s="353" t="s">
        <v>46</v>
      </c>
      <c r="AH55" s="353" t="str">
        <f>AH47</f>
        <v>Um/A</v>
      </c>
      <c r="AI55" s="353" t="s">
        <v>45</v>
      </c>
      <c r="AJ55" s="353" t="str">
        <f>AJ47</f>
        <v>PmO</v>
      </c>
      <c r="AK55" s="353" t="s">
        <v>49</v>
      </c>
      <c r="AL55" s="1181"/>
      <c r="AN55" s="1178"/>
      <c r="AO55" s="353" t="str">
        <f>AO47</f>
        <v>Demande mensuelle</v>
      </c>
      <c r="AP55" s="353" t="s">
        <v>44</v>
      </c>
      <c r="AQ55" s="353" t="str">
        <f>AQ47</f>
        <v>Achalandage mensuel</v>
      </c>
      <c r="AR55" s="353" t="s">
        <v>45</v>
      </c>
      <c r="AS55" s="353" t="s">
        <v>46</v>
      </c>
      <c r="AT55" s="353" t="str">
        <f>AT47</f>
        <v>Um/A</v>
      </c>
      <c r="AU55" s="353" t="s">
        <v>45</v>
      </c>
      <c r="AV55" s="353" t="str">
        <f>AV47</f>
        <v>PmO</v>
      </c>
      <c r="AW55" s="353" t="s">
        <v>49</v>
      </c>
      <c r="AX55" s="1181"/>
      <c r="AZ55" s="1178"/>
      <c r="BA55" s="353" t="str">
        <f>BA47</f>
        <v>Coût mensuel</v>
      </c>
      <c r="BB55" s="353" t="s">
        <v>44</v>
      </c>
      <c r="BC55" s="353" t="str">
        <f>BC47</f>
        <v>Achalandage mensuel</v>
      </c>
      <c r="BD55" s="353" t="s">
        <v>45</v>
      </c>
      <c r="BE55" s="353" t="s">
        <v>46</v>
      </c>
      <c r="BF55" s="353" t="s">
        <v>47</v>
      </c>
      <c r="BG55" s="353" t="s">
        <v>45</v>
      </c>
      <c r="BH55" s="353" t="str">
        <f>BH47</f>
        <v>CmO</v>
      </c>
      <c r="BI55" s="353" t="s">
        <v>49</v>
      </c>
      <c r="BJ55" s="1181"/>
      <c r="BL55" s="1178"/>
      <c r="BM55" s="353" t="str">
        <f>BM47</f>
        <v>Bénéfice mensuel</v>
      </c>
      <c r="BN55" s="353" t="s">
        <v>44</v>
      </c>
      <c r="BO55" s="353" t="str">
        <f>BO47</f>
        <v>Achalandage mensuel</v>
      </c>
      <c r="BP55" s="353" t="s">
        <v>45</v>
      </c>
      <c r="BQ55" s="353" t="s">
        <v>46</v>
      </c>
      <c r="BR55" s="353" t="s">
        <v>47</v>
      </c>
      <c r="BS55" s="353" t="s">
        <v>45</v>
      </c>
      <c r="BT55" s="353" t="str">
        <f>BT47</f>
        <v>BmO</v>
      </c>
      <c r="BU55" s="353" t="s">
        <v>49</v>
      </c>
      <c r="BV55" s="1181"/>
    </row>
    <row r="56" spans="2:74" ht="19" x14ac:dyDescent="0.25">
      <c r="B56" s="1225"/>
      <c r="C56" s="1230"/>
      <c r="D56" s="1178"/>
      <c r="E56" s="354" t="s">
        <v>2</v>
      </c>
      <c r="F56" s="355"/>
      <c r="G56" s="354"/>
      <c r="H56" s="355"/>
      <c r="I56" s="355"/>
      <c r="J56" s="355"/>
      <c r="K56" s="355"/>
      <c r="L56" s="355"/>
      <c r="M56" s="355"/>
      <c r="N56" s="1181"/>
      <c r="P56" s="1178"/>
      <c r="Q56" s="305" t="s">
        <v>2</v>
      </c>
      <c r="R56" s="306"/>
      <c r="S56" s="305"/>
      <c r="T56" s="306"/>
      <c r="U56" s="306"/>
      <c r="V56" s="306"/>
      <c r="W56" s="306"/>
      <c r="X56" s="306"/>
      <c r="Y56" s="306"/>
      <c r="Z56" s="1181"/>
      <c r="AB56" s="1178"/>
      <c r="AC56" s="354" t="s">
        <v>2</v>
      </c>
      <c r="AD56" s="355"/>
      <c r="AE56" s="354"/>
      <c r="AF56" s="355"/>
      <c r="AG56" s="355"/>
      <c r="AH56" s="355"/>
      <c r="AI56" s="355"/>
      <c r="AJ56" s="355"/>
      <c r="AK56" s="355"/>
      <c r="AL56" s="1181"/>
      <c r="AN56" s="1178"/>
      <c r="AO56" s="354" t="s">
        <v>2</v>
      </c>
      <c r="AP56" s="355"/>
      <c r="AQ56" s="354"/>
      <c r="AR56" s="355"/>
      <c r="AS56" s="355"/>
      <c r="AT56" s="355"/>
      <c r="AU56" s="355"/>
      <c r="AV56" s="355"/>
      <c r="AW56" s="355"/>
      <c r="AX56" s="1181"/>
      <c r="AZ56" s="1178"/>
      <c r="BA56" s="354" t="s">
        <v>2</v>
      </c>
      <c r="BB56" s="355"/>
      <c r="BC56" s="354"/>
      <c r="BD56" s="355"/>
      <c r="BE56" s="355"/>
      <c r="BF56" s="355"/>
      <c r="BG56" s="355"/>
      <c r="BH56" s="355"/>
      <c r="BI56" s="355"/>
      <c r="BJ56" s="1181"/>
      <c r="BL56" s="1178"/>
      <c r="BM56" s="354" t="s">
        <v>2</v>
      </c>
      <c r="BN56" s="355"/>
      <c r="BO56" s="354"/>
      <c r="BP56" s="355"/>
      <c r="BQ56" s="355"/>
      <c r="BR56" s="355"/>
      <c r="BS56" s="355"/>
      <c r="BT56" s="355"/>
      <c r="BU56" s="355"/>
      <c r="BV56" s="1181"/>
    </row>
    <row r="57" spans="2:74" ht="26" x14ac:dyDescent="0.3">
      <c r="B57" s="1225"/>
      <c r="C57" s="1230"/>
      <c r="D57" s="1178"/>
      <c r="E57" s="356" t="str">
        <f>E49</f>
        <v>D</v>
      </c>
      <c r="F57" s="357"/>
      <c r="G57" s="356" t="str">
        <f>G49</f>
        <v>A</v>
      </c>
      <c r="H57" s="357"/>
      <c r="I57" s="357"/>
      <c r="J57" s="356" t="str">
        <f>+J55</f>
        <v>Um/A</v>
      </c>
      <c r="K57" s="357"/>
      <c r="L57" s="356" t="str">
        <f>+L55</f>
        <v>PmO</v>
      </c>
      <c r="M57" s="357"/>
      <c r="N57" s="1181"/>
      <c r="P57" s="1178"/>
      <c r="Q57" s="307" t="str">
        <f>Q49</f>
        <v>D</v>
      </c>
      <c r="R57" s="308"/>
      <c r="S57" s="307" t="str">
        <f>S49</f>
        <v>A</v>
      </c>
      <c r="T57" s="308"/>
      <c r="U57" s="308"/>
      <c r="V57" s="307" t="str">
        <f>+V55</f>
        <v>Um/A</v>
      </c>
      <c r="W57" s="308"/>
      <c r="X57" s="307" t="str">
        <f>+X55</f>
        <v>PmO</v>
      </c>
      <c r="Y57" s="308"/>
      <c r="Z57" s="1181"/>
      <c r="AB57" s="1178"/>
      <c r="AC57" s="356" t="str">
        <f>AC49</f>
        <v>D</v>
      </c>
      <c r="AD57" s="357"/>
      <c r="AE57" s="356" t="str">
        <f>AE49</f>
        <v>A</v>
      </c>
      <c r="AF57" s="357"/>
      <c r="AG57" s="357"/>
      <c r="AH57" s="356" t="str">
        <f>+AH55</f>
        <v>Um/A</v>
      </c>
      <c r="AI57" s="357"/>
      <c r="AJ57" s="356" t="str">
        <f>+AJ55</f>
        <v>PmO</v>
      </c>
      <c r="AK57" s="357"/>
      <c r="AL57" s="1181"/>
      <c r="AN57" s="1178"/>
      <c r="AO57" s="356" t="str">
        <f>AO49</f>
        <v>D</v>
      </c>
      <c r="AP57" s="357"/>
      <c r="AQ57" s="356" t="str">
        <f>AQ49</f>
        <v>A</v>
      </c>
      <c r="AR57" s="357"/>
      <c r="AS57" s="357"/>
      <c r="AT57" s="356" t="str">
        <f>+AT55</f>
        <v>Um/A</v>
      </c>
      <c r="AU57" s="357"/>
      <c r="AV57" s="356" t="str">
        <f>+AV55</f>
        <v>PmO</v>
      </c>
      <c r="AW57" s="357"/>
      <c r="AX57" s="1181"/>
      <c r="AZ57" s="1178"/>
      <c r="BA57" s="356" t="str">
        <f>BA49</f>
        <v xml:space="preserve">C </v>
      </c>
      <c r="BB57" s="357"/>
      <c r="BC57" s="356" t="str">
        <f>BC49</f>
        <v>A</v>
      </c>
      <c r="BD57" s="357"/>
      <c r="BE57" s="357"/>
      <c r="BF57" s="356" t="str">
        <f>+BF55</f>
        <v>Um/A</v>
      </c>
      <c r="BG57" s="357"/>
      <c r="BH57" s="356" t="str">
        <f>+BH55</f>
        <v>CmO</v>
      </c>
      <c r="BI57" s="357"/>
      <c r="BJ57" s="1181"/>
      <c r="BL57" s="1178"/>
      <c r="BM57" s="356" t="str">
        <f>BM49</f>
        <v xml:space="preserve">B </v>
      </c>
      <c r="BN57" s="357"/>
      <c r="BO57" s="356" t="str">
        <f>BO49</f>
        <v>A</v>
      </c>
      <c r="BP57" s="357"/>
      <c r="BQ57" s="357"/>
      <c r="BR57" s="356" t="str">
        <f>+BR55</f>
        <v>Um/A</v>
      </c>
      <c r="BS57" s="357"/>
      <c r="BT57" s="356" t="str">
        <f>+BT55</f>
        <v>BmO</v>
      </c>
      <c r="BU57" s="357"/>
      <c r="BV57" s="1181"/>
    </row>
    <row r="58" spans="2:74" ht="21" x14ac:dyDescent="0.25">
      <c r="B58" s="1225"/>
      <c r="C58" s="1230"/>
      <c r="D58" s="1178"/>
      <c r="E58" s="338">
        <f>+Q58+AC58+AO58</f>
        <v>45741.25</v>
      </c>
      <c r="F58" s="353" t="s">
        <v>44</v>
      </c>
      <c r="G58" s="339">
        <f>'% Occupation'!J19</f>
        <v>4773</v>
      </c>
      <c r="H58" s="353" t="s">
        <v>45</v>
      </c>
      <c r="I58" s="353" t="s">
        <v>46</v>
      </c>
      <c r="J58" s="340">
        <f>+V58+AH58+AT58</f>
        <v>2</v>
      </c>
      <c r="K58" s="353" t="s">
        <v>45</v>
      </c>
      <c r="L58" s="341">
        <f>E58/G58/J58</f>
        <v>4.791666666666667</v>
      </c>
      <c r="M58" s="353" t="s">
        <v>49</v>
      </c>
      <c r="N58" s="1181"/>
      <c r="P58" s="1178"/>
      <c r="Q58" s="282">
        <f>+S58*(V58*X58)</f>
        <v>22989.950000000004</v>
      </c>
      <c r="R58" s="304" t="s">
        <v>44</v>
      </c>
      <c r="S58" s="165">
        <f>G58</f>
        <v>4773</v>
      </c>
      <c r="T58" s="304" t="s">
        <v>45</v>
      </c>
      <c r="U58" s="304" t="s">
        <v>46</v>
      </c>
      <c r="V58" s="310">
        <f>V50</f>
        <v>1</v>
      </c>
      <c r="W58" s="304" t="s">
        <v>45</v>
      </c>
      <c r="X58" s="283">
        <f>'Calcul CmO et PmO'!F279</f>
        <v>4.8166666666666673</v>
      </c>
      <c r="Y58" s="304" t="s">
        <v>49</v>
      </c>
      <c r="Z58" s="1181"/>
      <c r="AB58" s="1178"/>
      <c r="AC58" s="338">
        <f>+AE58*(AH58*AJ58)</f>
        <v>22751.3</v>
      </c>
      <c r="AD58" s="353" t="s">
        <v>44</v>
      </c>
      <c r="AE58" s="339">
        <f>S58</f>
        <v>4773</v>
      </c>
      <c r="AF58" s="353" t="s">
        <v>45</v>
      </c>
      <c r="AG58" s="353" t="s">
        <v>46</v>
      </c>
      <c r="AH58" s="376">
        <f>AH50</f>
        <v>1</v>
      </c>
      <c r="AI58" s="353" t="s">
        <v>45</v>
      </c>
      <c r="AJ58" s="377">
        <f>'Calcul CmO et PmO'!F294</f>
        <v>4.7666666666666666</v>
      </c>
      <c r="AK58" s="353" t="s">
        <v>49</v>
      </c>
      <c r="AL58" s="1181"/>
      <c r="AN58" s="1178"/>
      <c r="AO58" s="338">
        <f>+AQ58*(AT58*AV58)</f>
        <v>0</v>
      </c>
      <c r="AP58" s="353" t="s">
        <v>44</v>
      </c>
      <c r="AQ58" s="339">
        <f>AE58</f>
        <v>4773</v>
      </c>
      <c r="AR58" s="353" t="s">
        <v>45</v>
      </c>
      <c r="AS58" s="353" t="s">
        <v>46</v>
      </c>
      <c r="AT58" s="376">
        <f>AT50</f>
        <v>0</v>
      </c>
      <c r="AU58" s="353" t="s">
        <v>45</v>
      </c>
      <c r="AV58" s="377">
        <f>AV50</f>
        <v>0</v>
      </c>
      <c r="AW58" s="353" t="s">
        <v>49</v>
      </c>
      <c r="AX58" s="1181"/>
      <c r="AZ58" s="1178"/>
      <c r="BA58" s="338">
        <f>'État des Résultats'!W14-'État des Résultats'!W45</f>
        <v>31477.701249999998</v>
      </c>
      <c r="BB58" s="353" t="s">
        <v>44</v>
      </c>
      <c r="BC58" s="339">
        <f>G58</f>
        <v>4773</v>
      </c>
      <c r="BD58" s="353" t="s">
        <v>45</v>
      </c>
      <c r="BE58" s="353" t="s">
        <v>46</v>
      </c>
      <c r="BF58" s="340">
        <f>J58</f>
        <v>2</v>
      </c>
      <c r="BG58" s="353" t="s">
        <v>45</v>
      </c>
      <c r="BH58" s="341">
        <f>BA58/BC58/BF58</f>
        <v>3.2974755133040015</v>
      </c>
      <c r="BI58" s="353" t="s">
        <v>49</v>
      </c>
      <c r="BJ58" s="1181"/>
      <c r="BL58" s="1178"/>
      <c r="BM58" s="338">
        <f>'État des Résultats'!W45</f>
        <v>14263.548750000002</v>
      </c>
      <c r="BN58" s="353" t="s">
        <v>44</v>
      </c>
      <c r="BO58" s="339">
        <f>G58</f>
        <v>4773</v>
      </c>
      <c r="BP58" s="353" t="s">
        <v>45</v>
      </c>
      <c r="BQ58" s="353" t="s">
        <v>46</v>
      </c>
      <c r="BR58" s="340">
        <f>J58</f>
        <v>2</v>
      </c>
      <c r="BS58" s="353" t="s">
        <v>45</v>
      </c>
      <c r="BT58" s="341">
        <f>BM58/BO58/BR58</f>
        <v>1.4941911533626653</v>
      </c>
      <c r="BU58" s="353" t="s">
        <v>49</v>
      </c>
      <c r="BV58" s="1181"/>
    </row>
    <row r="59" spans="2:74" ht="17" thickBot="1" x14ac:dyDescent="0.25">
      <c r="B59" s="1225"/>
      <c r="C59" s="1230"/>
      <c r="D59" s="1179"/>
      <c r="E59" s="358"/>
      <c r="F59" s="358"/>
      <c r="G59" s="358"/>
      <c r="H59" s="358"/>
      <c r="I59" s="358"/>
      <c r="J59" s="358"/>
      <c r="K59" s="358"/>
      <c r="L59" s="358"/>
      <c r="M59" s="358"/>
      <c r="N59" s="1182"/>
      <c r="P59" s="1178"/>
      <c r="Q59" s="308"/>
      <c r="R59" s="308"/>
      <c r="S59" s="308"/>
      <c r="T59" s="308"/>
      <c r="U59" s="308"/>
      <c r="V59" s="308"/>
      <c r="W59" s="308"/>
      <c r="X59" s="308"/>
      <c r="Y59" s="308"/>
      <c r="Z59" s="1181"/>
      <c r="AB59" s="1179"/>
      <c r="AC59" s="358"/>
      <c r="AD59" s="358"/>
      <c r="AE59" s="358"/>
      <c r="AF59" s="358"/>
      <c r="AG59" s="358"/>
      <c r="AH59" s="358"/>
      <c r="AI59" s="358"/>
      <c r="AJ59" s="358"/>
      <c r="AK59" s="358"/>
      <c r="AL59" s="1182"/>
      <c r="AN59" s="1179"/>
      <c r="AO59" s="358"/>
      <c r="AP59" s="358"/>
      <c r="AQ59" s="358"/>
      <c r="AR59" s="358"/>
      <c r="AS59" s="358"/>
      <c r="AT59" s="358"/>
      <c r="AU59" s="358"/>
      <c r="AV59" s="358"/>
      <c r="AW59" s="358"/>
      <c r="AX59" s="1182"/>
      <c r="AZ59" s="1179"/>
      <c r="BA59" s="358"/>
      <c r="BB59" s="358"/>
      <c r="BC59" s="358"/>
      <c r="BD59" s="358"/>
      <c r="BE59" s="358"/>
      <c r="BF59" s="358"/>
      <c r="BG59" s="358"/>
      <c r="BH59" s="358"/>
      <c r="BI59" s="358"/>
      <c r="BJ59" s="1182"/>
      <c r="BL59" s="1179"/>
      <c r="BM59" s="358"/>
      <c r="BN59" s="358"/>
      <c r="BO59" s="358"/>
      <c r="BP59" s="358"/>
      <c r="BQ59" s="358"/>
      <c r="BR59" s="358"/>
      <c r="BS59" s="358"/>
      <c r="BT59" s="358"/>
      <c r="BU59" s="358"/>
      <c r="BV59" s="1182"/>
    </row>
    <row r="60" spans="2:74" ht="5" customHeight="1" thickTop="1" thickBot="1" x14ac:dyDescent="0.25">
      <c r="B60" s="1225"/>
      <c r="C60" s="375"/>
      <c r="D60" s="309"/>
      <c r="AZ60" s="309"/>
      <c r="BL60" s="309"/>
    </row>
    <row r="61" spans="2:74" ht="17" thickTop="1" x14ac:dyDescent="0.2">
      <c r="B61" s="1225"/>
      <c r="C61" s="1230"/>
      <c r="D61" s="1177" t="s">
        <v>42</v>
      </c>
      <c r="E61" s="351"/>
      <c r="F61" s="351"/>
      <c r="G61" s="351"/>
      <c r="H61" s="351"/>
      <c r="I61" s="351"/>
      <c r="J61" s="351"/>
      <c r="K61" s="351"/>
      <c r="L61" s="351"/>
      <c r="M61" s="351"/>
      <c r="N61" s="1180" t="s">
        <v>43</v>
      </c>
      <c r="P61" s="1177" t="s">
        <v>42</v>
      </c>
      <c r="Q61" s="351"/>
      <c r="R61" s="351"/>
      <c r="S61" s="351"/>
      <c r="T61" s="351"/>
      <c r="U61" s="351"/>
      <c r="V61" s="351"/>
      <c r="W61" s="351"/>
      <c r="X61" s="351"/>
      <c r="Y61" s="351"/>
      <c r="Z61" s="1180" t="s">
        <v>43</v>
      </c>
      <c r="AB61" s="1177" t="s">
        <v>42</v>
      </c>
      <c r="AC61" s="351"/>
      <c r="AD61" s="351"/>
      <c r="AE61" s="351"/>
      <c r="AF61" s="351"/>
      <c r="AG61" s="351"/>
      <c r="AH61" s="351"/>
      <c r="AI61" s="351"/>
      <c r="AJ61" s="351"/>
      <c r="AK61" s="351"/>
      <c r="AL61" s="1180" t="s">
        <v>43</v>
      </c>
      <c r="AN61" s="1177" t="s">
        <v>42</v>
      </c>
      <c r="AO61" s="351"/>
      <c r="AP61" s="351"/>
      <c r="AQ61" s="351"/>
      <c r="AR61" s="351"/>
      <c r="AS61" s="351"/>
      <c r="AT61" s="351"/>
      <c r="AU61" s="351"/>
      <c r="AV61" s="351"/>
      <c r="AW61" s="351"/>
      <c r="AX61" s="1180" t="s">
        <v>43</v>
      </c>
      <c r="AZ61" s="1177" t="s">
        <v>42</v>
      </c>
      <c r="BA61" s="351"/>
      <c r="BB61" s="351"/>
      <c r="BC61" s="351"/>
      <c r="BD61" s="351"/>
      <c r="BE61" s="351"/>
      <c r="BF61" s="351"/>
      <c r="BG61" s="351"/>
      <c r="BH61" s="351"/>
      <c r="BI61" s="351"/>
      <c r="BJ61" s="1180" t="s">
        <v>43</v>
      </c>
      <c r="BL61" s="1177" t="s">
        <v>42</v>
      </c>
      <c r="BM61" s="351"/>
      <c r="BN61" s="351"/>
      <c r="BO61" s="351"/>
      <c r="BP61" s="351"/>
      <c r="BQ61" s="351"/>
      <c r="BR61" s="351"/>
      <c r="BS61" s="351"/>
      <c r="BT61" s="351"/>
      <c r="BU61" s="351"/>
      <c r="BV61" s="1180" t="s">
        <v>43</v>
      </c>
    </row>
    <row r="62" spans="2:74" ht="16" x14ac:dyDescent="0.2">
      <c r="B62" s="1225"/>
      <c r="C62" s="1230"/>
      <c r="D62" s="1178"/>
      <c r="E62" s="352"/>
      <c r="F62" s="352"/>
      <c r="G62" s="352"/>
      <c r="H62" s="352"/>
      <c r="I62" s="352"/>
      <c r="J62" s="352"/>
      <c r="K62" s="352"/>
      <c r="L62" s="352"/>
      <c r="M62" s="352"/>
      <c r="N62" s="1181"/>
      <c r="P62" s="1178"/>
      <c r="Q62" s="352"/>
      <c r="R62" s="352"/>
      <c r="S62" s="352"/>
      <c r="T62" s="352"/>
      <c r="U62" s="352"/>
      <c r="V62" s="352"/>
      <c r="W62" s="352"/>
      <c r="X62" s="352"/>
      <c r="Y62" s="352"/>
      <c r="Z62" s="1181"/>
      <c r="AB62" s="1178"/>
      <c r="AC62" s="352"/>
      <c r="AD62" s="352"/>
      <c r="AE62" s="352"/>
      <c r="AF62" s="352"/>
      <c r="AG62" s="352"/>
      <c r="AH62" s="352"/>
      <c r="AI62" s="352"/>
      <c r="AJ62" s="352"/>
      <c r="AK62" s="352"/>
      <c r="AL62" s="1181"/>
      <c r="AN62" s="1178"/>
      <c r="AO62" s="352"/>
      <c r="AP62" s="352"/>
      <c r="AQ62" s="352"/>
      <c r="AR62" s="352"/>
      <c r="AS62" s="352"/>
      <c r="AT62" s="352"/>
      <c r="AU62" s="352"/>
      <c r="AV62" s="352"/>
      <c r="AW62" s="352"/>
      <c r="AX62" s="1181"/>
      <c r="AZ62" s="1178"/>
      <c r="BA62" s="352"/>
      <c r="BB62" s="352"/>
      <c r="BC62" s="352"/>
      <c r="BD62" s="352"/>
      <c r="BE62" s="352"/>
      <c r="BF62" s="352"/>
      <c r="BG62" s="352"/>
      <c r="BH62" s="352"/>
      <c r="BI62" s="352"/>
      <c r="BJ62" s="1181"/>
      <c r="BL62" s="1178"/>
      <c r="BM62" s="352"/>
      <c r="BN62" s="352"/>
      <c r="BO62" s="352"/>
      <c r="BP62" s="352"/>
      <c r="BQ62" s="352"/>
      <c r="BR62" s="352"/>
      <c r="BS62" s="352"/>
      <c r="BT62" s="352"/>
      <c r="BU62" s="352"/>
      <c r="BV62" s="1181"/>
    </row>
    <row r="63" spans="2:74" ht="21" x14ac:dyDescent="0.25">
      <c r="B63" s="1225"/>
      <c r="C63" s="1230"/>
      <c r="D63" s="1178"/>
      <c r="E63" s="353" t="str">
        <f>E55</f>
        <v>Demande mensuelle</v>
      </c>
      <c r="F63" s="353" t="s">
        <v>44</v>
      </c>
      <c r="G63" s="353" t="str">
        <f>G55</f>
        <v>Achalandage mensuel</v>
      </c>
      <c r="H63" s="353" t="s">
        <v>45</v>
      </c>
      <c r="I63" s="353" t="s">
        <v>46</v>
      </c>
      <c r="J63" s="353" t="str">
        <f>J55</f>
        <v>Um/A</v>
      </c>
      <c r="K63" s="353" t="s">
        <v>45</v>
      </c>
      <c r="L63" s="353" t="str">
        <f>L55</f>
        <v>PmO</v>
      </c>
      <c r="M63" s="353" t="s">
        <v>49</v>
      </c>
      <c r="N63" s="1181"/>
      <c r="P63" s="1178"/>
      <c r="Q63" s="353" t="str">
        <f>Q55</f>
        <v>Demande mensuelle</v>
      </c>
      <c r="R63" s="353" t="s">
        <v>44</v>
      </c>
      <c r="S63" s="353" t="str">
        <f>S55</f>
        <v>Achalandage mensuel</v>
      </c>
      <c r="T63" s="353" t="s">
        <v>45</v>
      </c>
      <c r="U63" s="353" t="s">
        <v>46</v>
      </c>
      <c r="V63" s="353" t="str">
        <f>V55</f>
        <v>Um/A</v>
      </c>
      <c r="W63" s="353" t="s">
        <v>45</v>
      </c>
      <c r="X63" s="353" t="str">
        <f>X55</f>
        <v>PmO</v>
      </c>
      <c r="Y63" s="353" t="s">
        <v>49</v>
      </c>
      <c r="Z63" s="1181"/>
      <c r="AB63" s="1178"/>
      <c r="AC63" s="353" t="str">
        <f>AC55</f>
        <v>Demande mensuelle</v>
      </c>
      <c r="AD63" s="353" t="s">
        <v>44</v>
      </c>
      <c r="AE63" s="353" t="str">
        <f>AE55</f>
        <v>Achalandage mensuel</v>
      </c>
      <c r="AF63" s="353" t="s">
        <v>45</v>
      </c>
      <c r="AG63" s="353" t="s">
        <v>46</v>
      </c>
      <c r="AH63" s="353" t="str">
        <f>AH55</f>
        <v>Um/A</v>
      </c>
      <c r="AI63" s="353" t="s">
        <v>45</v>
      </c>
      <c r="AJ63" s="353" t="str">
        <f>AJ55</f>
        <v>PmO</v>
      </c>
      <c r="AK63" s="353" t="s">
        <v>49</v>
      </c>
      <c r="AL63" s="1181"/>
      <c r="AN63" s="1178"/>
      <c r="AO63" s="353" t="str">
        <f>AO55</f>
        <v>Demande mensuelle</v>
      </c>
      <c r="AP63" s="353" t="s">
        <v>44</v>
      </c>
      <c r="AQ63" s="353" t="str">
        <f>AQ55</f>
        <v>Achalandage mensuel</v>
      </c>
      <c r="AR63" s="353" t="s">
        <v>45</v>
      </c>
      <c r="AS63" s="353" t="s">
        <v>46</v>
      </c>
      <c r="AT63" s="353" t="str">
        <f>AT55</f>
        <v>Um/A</v>
      </c>
      <c r="AU63" s="353" t="s">
        <v>45</v>
      </c>
      <c r="AV63" s="353" t="str">
        <f>AV55</f>
        <v>PmO</v>
      </c>
      <c r="AW63" s="353" t="s">
        <v>49</v>
      </c>
      <c r="AX63" s="1181"/>
      <c r="AZ63" s="1178"/>
      <c r="BA63" s="353" t="str">
        <f>BA55</f>
        <v>Coût mensuel</v>
      </c>
      <c r="BB63" s="353" t="s">
        <v>44</v>
      </c>
      <c r="BC63" s="353" t="str">
        <f>BC55</f>
        <v>Achalandage mensuel</v>
      </c>
      <c r="BD63" s="353" t="s">
        <v>45</v>
      </c>
      <c r="BE63" s="353" t="s">
        <v>46</v>
      </c>
      <c r="BF63" s="353" t="str">
        <f>BF55</f>
        <v>Um/A</v>
      </c>
      <c r="BG63" s="353" t="s">
        <v>45</v>
      </c>
      <c r="BH63" s="353" t="str">
        <f>BH55</f>
        <v>CmO</v>
      </c>
      <c r="BI63" s="353" t="s">
        <v>49</v>
      </c>
      <c r="BJ63" s="1181"/>
      <c r="BL63" s="1178"/>
      <c r="BM63" s="353" t="str">
        <f>BM55</f>
        <v>Bénéfice mensuel</v>
      </c>
      <c r="BN63" s="353" t="s">
        <v>44</v>
      </c>
      <c r="BO63" s="353" t="str">
        <f>BO55</f>
        <v>Achalandage mensuel</v>
      </c>
      <c r="BP63" s="353" t="s">
        <v>45</v>
      </c>
      <c r="BQ63" s="353" t="s">
        <v>46</v>
      </c>
      <c r="BR63" s="353" t="str">
        <f>BR55</f>
        <v>Um/A</v>
      </c>
      <c r="BS63" s="353" t="s">
        <v>45</v>
      </c>
      <c r="BT63" s="353" t="str">
        <f>BT55</f>
        <v>BmO</v>
      </c>
      <c r="BU63" s="353" t="s">
        <v>49</v>
      </c>
      <c r="BV63" s="1181"/>
    </row>
    <row r="64" spans="2:74" ht="19" x14ac:dyDescent="0.25">
      <c r="B64" s="1225"/>
      <c r="C64" s="1230"/>
      <c r="D64" s="1178"/>
      <c r="E64" s="354" t="s">
        <v>2</v>
      </c>
      <c r="F64" s="355"/>
      <c r="G64" s="354"/>
      <c r="H64" s="355"/>
      <c r="I64" s="355"/>
      <c r="J64" s="355"/>
      <c r="K64" s="355"/>
      <c r="L64" s="355"/>
      <c r="M64" s="355"/>
      <c r="N64" s="1181"/>
      <c r="P64" s="1178"/>
      <c r="Q64" s="354" t="s">
        <v>2</v>
      </c>
      <c r="R64" s="355"/>
      <c r="S64" s="354"/>
      <c r="T64" s="355"/>
      <c r="U64" s="355"/>
      <c r="V64" s="355"/>
      <c r="W64" s="355"/>
      <c r="X64" s="355"/>
      <c r="Y64" s="355"/>
      <c r="Z64" s="1181"/>
      <c r="AB64" s="1178"/>
      <c r="AC64" s="354" t="s">
        <v>2</v>
      </c>
      <c r="AD64" s="355"/>
      <c r="AE64" s="354"/>
      <c r="AF64" s="355"/>
      <c r="AG64" s="355"/>
      <c r="AH64" s="355"/>
      <c r="AI64" s="355"/>
      <c r="AJ64" s="355"/>
      <c r="AK64" s="355"/>
      <c r="AL64" s="1181"/>
      <c r="AN64" s="1178"/>
      <c r="AO64" s="354" t="s">
        <v>2</v>
      </c>
      <c r="AP64" s="355"/>
      <c r="AQ64" s="354"/>
      <c r="AR64" s="355"/>
      <c r="AS64" s="355"/>
      <c r="AT64" s="355"/>
      <c r="AU64" s="355"/>
      <c r="AV64" s="355"/>
      <c r="AW64" s="355"/>
      <c r="AX64" s="1181"/>
      <c r="AZ64" s="1178"/>
      <c r="BA64" s="354" t="s">
        <v>2</v>
      </c>
      <c r="BB64" s="355"/>
      <c r="BC64" s="354"/>
      <c r="BD64" s="355"/>
      <c r="BE64" s="355"/>
      <c r="BF64" s="355"/>
      <c r="BG64" s="355"/>
      <c r="BH64" s="355"/>
      <c r="BI64" s="355"/>
      <c r="BJ64" s="1181"/>
      <c r="BL64" s="1178"/>
      <c r="BM64" s="354" t="s">
        <v>2</v>
      </c>
      <c r="BN64" s="355"/>
      <c r="BO64" s="354"/>
      <c r="BP64" s="355"/>
      <c r="BQ64" s="355"/>
      <c r="BR64" s="355"/>
      <c r="BS64" s="355"/>
      <c r="BT64" s="355"/>
      <c r="BU64" s="355"/>
      <c r="BV64" s="1181"/>
    </row>
    <row r="65" spans="2:74" ht="26" x14ac:dyDescent="0.3">
      <c r="B65" s="1225"/>
      <c r="C65" s="1230"/>
      <c r="D65" s="1178"/>
      <c r="E65" s="356" t="str">
        <f>E57</f>
        <v>D</v>
      </c>
      <c r="F65" s="357"/>
      <c r="G65" s="356" t="str">
        <f>G57</f>
        <v>A</v>
      </c>
      <c r="H65" s="357"/>
      <c r="I65" s="357"/>
      <c r="J65" s="356" t="str">
        <f>+J63</f>
        <v>Um/A</v>
      </c>
      <c r="K65" s="357"/>
      <c r="L65" s="356" t="str">
        <f>+L63</f>
        <v>PmO</v>
      </c>
      <c r="M65" s="357"/>
      <c r="N65" s="1181"/>
      <c r="P65" s="1178"/>
      <c r="Q65" s="356" t="str">
        <f>Q57</f>
        <v>D</v>
      </c>
      <c r="R65" s="357"/>
      <c r="S65" s="356" t="str">
        <f>S57</f>
        <v>A</v>
      </c>
      <c r="T65" s="357"/>
      <c r="U65" s="357"/>
      <c r="V65" s="356" t="str">
        <f>+V63</f>
        <v>Um/A</v>
      </c>
      <c r="W65" s="357"/>
      <c r="X65" s="356" t="str">
        <f>+X63</f>
        <v>PmO</v>
      </c>
      <c r="Y65" s="357"/>
      <c r="Z65" s="1181"/>
      <c r="AB65" s="1178"/>
      <c r="AC65" s="356" t="str">
        <f>AC57</f>
        <v>D</v>
      </c>
      <c r="AD65" s="357"/>
      <c r="AE65" s="356" t="str">
        <f>AE57</f>
        <v>A</v>
      </c>
      <c r="AF65" s="357"/>
      <c r="AG65" s="357"/>
      <c r="AH65" s="356" t="str">
        <f>+AH63</f>
        <v>Um/A</v>
      </c>
      <c r="AI65" s="357"/>
      <c r="AJ65" s="356" t="str">
        <f>+AJ63</f>
        <v>PmO</v>
      </c>
      <c r="AK65" s="357"/>
      <c r="AL65" s="1181"/>
      <c r="AN65" s="1178"/>
      <c r="AO65" s="356" t="str">
        <f>AO57</f>
        <v>D</v>
      </c>
      <c r="AP65" s="357"/>
      <c r="AQ65" s="356" t="str">
        <f>AQ57</f>
        <v>A</v>
      </c>
      <c r="AR65" s="357"/>
      <c r="AS65" s="357"/>
      <c r="AT65" s="356" t="str">
        <f>+AT63</f>
        <v>Um/A</v>
      </c>
      <c r="AU65" s="357"/>
      <c r="AV65" s="356" t="str">
        <f>+AV63</f>
        <v>PmO</v>
      </c>
      <c r="AW65" s="357"/>
      <c r="AX65" s="1181"/>
      <c r="AZ65" s="1178"/>
      <c r="BA65" s="356" t="str">
        <f>BA57</f>
        <v xml:space="preserve">C </v>
      </c>
      <c r="BB65" s="357"/>
      <c r="BC65" s="356" t="str">
        <f>BC57</f>
        <v>A</v>
      </c>
      <c r="BD65" s="357"/>
      <c r="BE65" s="357"/>
      <c r="BF65" s="356" t="str">
        <f>+BF63</f>
        <v>Um/A</v>
      </c>
      <c r="BG65" s="357"/>
      <c r="BH65" s="356" t="str">
        <f>+BH63</f>
        <v>CmO</v>
      </c>
      <c r="BI65" s="357"/>
      <c r="BJ65" s="1181"/>
      <c r="BL65" s="1178"/>
      <c r="BM65" s="356" t="str">
        <f>BM57</f>
        <v xml:space="preserve">B </v>
      </c>
      <c r="BN65" s="357"/>
      <c r="BO65" s="356" t="str">
        <f>BO57</f>
        <v>A</v>
      </c>
      <c r="BP65" s="357"/>
      <c r="BQ65" s="357"/>
      <c r="BR65" s="356" t="str">
        <f>+BR63</f>
        <v>Um/A</v>
      </c>
      <c r="BS65" s="357"/>
      <c r="BT65" s="356" t="str">
        <f>+BT63</f>
        <v>BmO</v>
      </c>
      <c r="BU65" s="357"/>
      <c r="BV65" s="1181"/>
    </row>
    <row r="66" spans="2:74" ht="21" x14ac:dyDescent="0.25">
      <c r="B66" s="1225"/>
      <c r="C66" s="1230"/>
      <c r="D66" s="1178"/>
      <c r="E66" s="338">
        <f>+Q66+AC66+AO66</f>
        <v>46345</v>
      </c>
      <c r="F66" s="353" t="s">
        <v>44</v>
      </c>
      <c r="G66" s="339">
        <f>'% Occupation'!K19</f>
        <v>4836</v>
      </c>
      <c r="H66" s="353" t="s">
        <v>45</v>
      </c>
      <c r="I66" s="353" t="s">
        <v>46</v>
      </c>
      <c r="J66" s="340">
        <f>+V66+AH66+AT66</f>
        <v>2</v>
      </c>
      <c r="K66" s="353" t="s">
        <v>45</v>
      </c>
      <c r="L66" s="341">
        <f>E66/G66/J66</f>
        <v>4.791666666666667</v>
      </c>
      <c r="M66" s="353" t="s">
        <v>49</v>
      </c>
      <c r="N66" s="1181"/>
      <c r="P66" s="1178"/>
      <c r="Q66" s="338">
        <f>+S66*(V66*X66)</f>
        <v>23293.4</v>
      </c>
      <c r="R66" s="353" t="s">
        <v>44</v>
      </c>
      <c r="S66" s="339">
        <f>G66</f>
        <v>4836</v>
      </c>
      <c r="T66" s="353" t="s">
        <v>45</v>
      </c>
      <c r="U66" s="353" t="s">
        <v>46</v>
      </c>
      <c r="V66" s="376">
        <f>V58</f>
        <v>1</v>
      </c>
      <c r="W66" s="353" t="s">
        <v>45</v>
      </c>
      <c r="X66" s="377">
        <f>'Calcul CmO et PmO'!F322</f>
        <v>4.8166666666666673</v>
      </c>
      <c r="Y66" s="353" t="s">
        <v>49</v>
      </c>
      <c r="Z66" s="1181"/>
      <c r="AB66" s="1178"/>
      <c r="AC66" s="338">
        <f>+AE66*(AH66*AJ66)</f>
        <v>23051.599999999999</v>
      </c>
      <c r="AD66" s="353" t="s">
        <v>44</v>
      </c>
      <c r="AE66" s="339">
        <f>S66</f>
        <v>4836</v>
      </c>
      <c r="AF66" s="353" t="s">
        <v>45</v>
      </c>
      <c r="AG66" s="353" t="s">
        <v>46</v>
      </c>
      <c r="AH66" s="376">
        <f>AH58</f>
        <v>1</v>
      </c>
      <c r="AI66" s="353" t="s">
        <v>45</v>
      </c>
      <c r="AJ66" s="377">
        <f>'Calcul CmO et PmO'!F337</f>
        <v>4.7666666666666666</v>
      </c>
      <c r="AK66" s="353" t="s">
        <v>49</v>
      </c>
      <c r="AL66" s="1181"/>
      <c r="AN66" s="1178"/>
      <c r="AO66" s="338">
        <f>+AQ66*(AT66*AV66)</f>
        <v>0</v>
      </c>
      <c r="AP66" s="353" t="s">
        <v>44</v>
      </c>
      <c r="AQ66" s="339">
        <f>AE66</f>
        <v>4836</v>
      </c>
      <c r="AR66" s="353" t="s">
        <v>45</v>
      </c>
      <c r="AS66" s="353" t="s">
        <v>46</v>
      </c>
      <c r="AT66" s="376">
        <f>AT58</f>
        <v>0</v>
      </c>
      <c r="AU66" s="353" t="s">
        <v>45</v>
      </c>
      <c r="AV66" s="377">
        <f>AV58</f>
        <v>0</v>
      </c>
      <c r="AW66" s="353" t="s">
        <v>49</v>
      </c>
      <c r="AX66" s="1181"/>
      <c r="AZ66" s="1178"/>
      <c r="BA66" s="338">
        <f>'État des Résultats'!Z14-'État des Résultats'!Z45</f>
        <v>29715.940299999998</v>
      </c>
      <c r="BB66" s="353" t="s">
        <v>44</v>
      </c>
      <c r="BC66" s="339">
        <f>G66</f>
        <v>4836</v>
      </c>
      <c r="BD66" s="353" t="s">
        <v>45</v>
      </c>
      <c r="BE66" s="353" t="s">
        <v>46</v>
      </c>
      <c r="BF66" s="340">
        <f>J66</f>
        <v>2</v>
      </c>
      <c r="BG66" s="353" t="s">
        <v>45</v>
      </c>
      <c r="BH66" s="341">
        <f>BA66/BC66/BF66</f>
        <v>3.0723676902398673</v>
      </c>
      <c r="BI66" s="353" t="s">
        <v>49</v>
      </c>
      <c r="BJ66" s="1181"/>
      <c r="BL66" s="1178"/>
      <c r="BM66" s="338">
        <f>'État des Résultats'!Z45</f>
        <v>16629.059700000002</v>
      </c>
      <c r="BN66" s="353" t="s">
        <v>44</v>
      </c>
      <c r="BO66" s="339">
        <f>G66</f>
        <v>4836</v>
      </c>
      <c r="BP66" s="353" t="s">
        <v>45</v>
      </c>
      <c r="BQ66" s="353" t="s">
        <v>46</v>
      </c>
      <c r="BR66" s="340">
        <f>J66</f>
        <v>2</v>
      </c>
      <c r="BS66" s="353" t="s">
        <v>45</v>
      </c>
      <c r="BT66" s="341">
        <f>BM66/BO66/BR66</f>
        <v>1.7192989764267992</v>
      </c>
      <c r="BU66" s="353" t="s">
        <v>49</v>
      </c>
      <c r="BV66" s="1181"/>
    </row>
    <row r="67" spans="2:74" ht="17" thickBot="1" x14ac:dyDescent="0.25">
      <c r="B67" s="1225"/>
      <c r="C67" s="1230"/>
      <c r="D67" s="1179"/>
      <c r="E67" s="358"/>
      <c r="F67" s="358"/>
      <c r="G67" s="358"/>
      <c r="H67" s="358"/>
      <c r="I67" s="358"/>
      <c r="J67" s="358"/>
      <c r="K67" s="358"/>
      <c r="L67" s="358"/>
      <c r="M67" s="358"/>
      <c r="N67" s="1182"/>
      <c r="P67" s="1179"/>
      <c r="Q67" s="358"/>
      <c r="R67" s="358"/>
      <c r="S67" s="358"/>
      <c r="T67" s="358"/>
      <c r="U67" s="358"/>
      <c r="V67" s="358"/>
      <c r="W67" s="358"/>
      <c r="X67" s="358"/>
      <c r="Y67" s="358"/>
      <c r="Z67" s="1182"/>
      <c r="AB67" s="1179"/>
      <c r="AC67" s="358"/>
      <c r="AD67" s="358"/>
      <c r="AE67" s="358"/>
      <c r="AF67" s="358"/>
      <c r="AG67" s="358"/>
      <c r="AH67" s="358"/>
      <c r="AI67" s="358"/>
      <c r="AJ67" s="358"/>
      <c r="AK67" s="358"/>
      <c r="AL67" s="1182"/>
      <c r="AN67" s="1179"/>
      <c r="AO67" s="358"/>
      <c r="AP67" s="358"/>
      <c r="AQ67" s="358"/>
      <c r="AR67" s="358"/>
      <c r="AS67" s="358"/>
      <c r="AT67" s="358"/>
      <c r="AU67" s="358"/>
      <c r="AV67" s="358"/>
      <c r="AW67" s="358"/>
      <c r="AX67" s="1182"/>
      <c r="AZ67" s="1179"/>
      <c r="BA67" s="358"/>
      <c r="BB67" s="358"/>
      <c r="BC67" s="358"/>
      <c r="BD67" s="358"/>
      <c r="BE67" s="358"/>
      <c r="BF67" s="358"/>
      <c r="BG67" s="358"/>
      <c r="BH67" s="358"/>
      <c r="BI67" s="358"/>
      <c r="BJ67" s="1182"/>
      <c r="BL67" s="1179"/>
      <c r="BM67" s="358"/>
      <c r="BN67" s="358"/>
      <c r="BO67" s="358"/>
      <c r="BP67" s="358"/>
      <c r="BQ67" s="358"/>
      <c r="BR67" s="358"/>
      <c r="BS67" s="358"/>
      <c r="BT67" s="358"/>
      <c r="BU67" s="358"/>
      <c r="BV67" s="1182"/>
    </row>
    <row r="68" spans="2:74" ht="5" customHeight="1" thickTop="1" thickBot="1" x14ac:dyDescent="0.2">
      <c r="B68" s="1225"/>
      <c r="C68" s="209"/>
    </row>
    <row r="69" spans="2:74" ht="17" thickTop="1" x14ac:dyDescent="0.2">
      <c r="B69" s="1225"/>
      <c r="C69" s="1230"/>
      <c r="D69" s="1177" t="s">
        <v>42</v>
      </c>
      <c r="E69" s="351"/>
      <c r="F69" s="351"/>
      <c r="G69" s="351"/>
      <c r="H69" s="351"/>
      <c r="I69" s="351"/>
      <c r="J69" s="351"/>
      <c r="K69" s="351"/>
      <c r="L69" s="351"/>
      <c r="M69" s="351"/>
      <c r="N69" s="1180" t="s">
        <v>43</v>
      </c>
      <c r="P69" s="1177" t="s">
        <v>42</v>
      </c>
      <c r="Q69" s="351"/>
      <c r="R69" s="351"/>
      <c r="S69" s="351"/>
      <c r="T69" s="351"/>
      <c r="U69" s="351"/>
      <c r="V69" s="351"/>
      <c r="W69" s="351"/>
      <c r="X69" s="351"/>
      <c r="Y69" s="351"/>
      <c r="Z69" s="1180" t="s">
        <v>43</v>
      </c>
      <c r="AB69" s="1177" t="s">
        <v>42</v>
      </c>
      <c r="AC69" s="351"/>
      <c r="AD69" s="351"/>
      <c r="AE69" s="351"/>
      <c r="AF69" s="351"/>
      <c r="AG69" s="351"/>
      <c r="AH69" s="351"/>
      <c r="AI69" s="351"/>
      <c r="AJ69" s="351"/>
      <c r="AK69" s="351"/>
      <c r="AL69" s="1180" t="s">
        <v>43</v>
      </c>
      <c r="AN69" s="1177" t="s">
        <v>42</v>
      </c>
      <c r="AO69" s="351"/>
      <c r="AP69" s="351"/>
      <c r="AQ69" s="351"/>
      <c r="AR69" s="351"/>
      <c r="AS69" s="351"/>
      <c r="AT69" s="351"/>
      <c r="AU69" s="351"/>
      <c r="AV69" s="351"/>
      <c r="AW69" s="351"/>
      <c r="AX69" s="1180" t="s">
        <v>43</v>
      </c>
      <c r="AZ69" s="1177" t="s">
        <v>42</v>
      </c>
      <c r="BA69" s="351"/>
      <c r="BB69" s="351"/>
      <c r="BC69" s="351"/>
      <c r="BD69" s="351"/>
      <c r="BE69" s="351"/>
      <c r="BF69" s="351"/>
      <c r="BG69" s="351"/>
      <c r="BH69" s="351"/>
      <c r="BI69" s="351"/>
      <c r="BJ69" s="1180" t="s">
        <v>43</v>
      </c>
      <c r="BL69" s="1177" t="s">
        <v>42</v>
      </c>
      <c r="BM69" s="351"/>
      <c r="BN69" s="351"/>
      <c r="BO69" s="351"/>
      <c r="BP69" s="351"/>
      <c r="BQ69" s="351"/>
      <c r="BR69" s="351"/>
      <c r="BS69" s="351"/>
      <c r="BT69" s="351"/>
      <c r="BU69" s="351"/>
      <c r="BV69" s="1180" t="s">
        <v>43</v>
      </c>
    </row>
    <row r="70" spans="2:74" ht="16" x14ac:dyDescent="0.2">
      <c r="B70" s="1225"/>
      <c r="C70" s="1230"/>
      <c r="D70" s="1178"/>
      <c r="E70" s="352"/>
      <c r="F70" s="352"/>
      <c r="G70" s="352"/>
      <c r="H70" s="352"/>
      <c r="I70" s="352"/>
      <c r="J70" s="352"/>
      <c r="K70" s="352"/>
      <c r="L70" s="352"/>
      <c r="M70" s="352"/>
      <c r="N70" s="1181"/>
      <c r="P70" s="1178"/>
      <c r="Q70" s="352"/>
      <c r="R70" s="352"/>
      <c r="S70" s="352"/>
      <c r="T70" s="352"/>
      <c r="U70" s="352"/>
      <c r="V70" s="352"/>
      <c r="W70" s="352"/>
      <c r="X70" s="352"/>
      <c r="Y70" s="352"/>
      <c r="Z70" s="1181"/>
      <c r="AB70" s="1178"/>
      <c r="AC70" s="352"/>
      <c r="AD70" s="352"/>
      <c r="AE70" s="352"/>
      <c r="AF70" s="352"/>
      <c r="AG70" s="352"/>
      <c r="AH70" s="352"/>
      <c r="AI70" s="352"/>
      <c r="AJ70" s="352"/>
      <c r="AK70" s="352"/>
      <c r="AL70" s="1181"/>
      <c r="AN70" s="1178"/>
      <c r="AO70" s="352"/>
      <c r="AP70" s="352"/>
      <c r="AQ70" s="352"/>
      <c r="AR70" s="352"/>
      <c r="AS70" s="352"/>
      <c r="AT70" s="352"/>
      <c r="AU70" s="352"/>
      <c r="AV70" s="352"/>
      <c r="AW70" s="352"/>
      <c r="AX70" s="1181"/>
      <c r="AZ70" s="1178"/>
      <c r="BA70" s="352"/>
      <c r="BB70" s="352"/>
      <c r="BC70" s="352"/>
      <c r="BD70" s="352"/>
      <c r="BE70" s="352"/>
      <c r="BF70" s="352"/>
      <c r="BG70" s="352"/>
      <c r="BH70" s="352"/>
      <c r="BI70" s="352"/>
      <c r="BJ70" s="1181"/>
      <c r="BL70" s="1178"/>
      <c r="BM70" s="352"/>
      <c r="BN70" s="352"/>
      <c r="BO70" s="352"/>
      <c r="BP70" s="352"/>
      <c r="BQ70" s="352"/>
      <c r="BR70" s="352"/>
      <c r="BS70" s="352"/>
      <c r="BT70" s="352"/>
      <c r="BU70" s="352"/>
      <c r="BV70" s="1181"/>
    </row>
    <row r="71" spans="2:74" ht="21" x14ac:dyDescent="0.25">
      <c r="B71" s="1225"/>
      <c r="C71" s="1230"/>
      <c r="D71" s="1178"/>
      <c r="E71" s="353" t="str">
        <f>E63</f>
        <v>Demande mensuelle</v>
      </c>
      <c r="F71" s="353" t="s">
        <v>44</v>
      </c>
      <c r="G71" s="353" t="str">
        <f>G63</f>
        <v>Achalandage mensuel</v>
      </c>
      <c r="H71" s="353" t="s">
        <v>45</v>
      </c>
      <c r="I71" s="353" t="s">
        <v>46</v>
      </c>
      <c r="J71" s="353" t="str">
        <f>J63</f>
        <v>Um/A</v>
      </c>
      <c r="K71" s="353" t="s">
        <v>45</v>
      </c>
      <c r="L71" s="353" t="str">
        <f>L63</f>
        <v>PmO</v>
      </c>
      <c r="M71" s="353" t="s">
        <v>49</v>
      </c>
      <c r="N71" s="1181"/>
      <c r="P71" s="1178"/>
      <c r="Q71" s="353" t="str">
        <f>Q63</f>
        <v>Demande mensuelle</v>
      </c>
      <c r="R71" s="353" t="s">
        <v>44</v>
      </c>
      <c r="S71" s="353" t="str">
        <f>S63</f>
        <v>Achalandage mensuel</v>
      </c>
      <c r="T71" s="353" t="s">
        <v>45</v>
      </c>
      <c r="U71" s="353" t="s">
        <v>46</v>
      </c>
      <c r="V71" s="353" t="str">
        <f>V63</f>
        <v>Um/A</v>
      </c>
      <c r="W71" s="353" t="s">
        <v>45</v>
      </c>
      <c r="X71" s="353" t="str">
        <f>X63</f>
        <v>PmO</v>
      </c>
      <c r="Y71" s="353" t="s">
        <v>49</v>
      </c>
      <c r="Z71" s="1181"/>
      <c r="AB71" s="1178"/>
      <c r="AC71" s="353" t="str">
        <f>AC63</f>
        <v>Demande mensuelle</v>
      </c>
      <c r="AD71" s="353" t="s">
        <v>44</v>
      </c>
      <c r="AE71" s="353" t="str">
        <f>AE63</f>
        <v>Achalandage mensuel</v>
      </c>
      <c r="AF71" s="353" t="s">
        <v>45</v>
      </c>
      <c r="AG71" s="353" t="s">
        <v>46</v>
      </c>
      <c r="AH71" s="353" t="str">
        <f>AH63</f>
        <v>Um/A</v>
      </c>
      <c r="AI71" s="353" t="s">
        <v>45</v>
      </c>
      <c r="AJ71" s="353" t="str">
        <f>AJ63</f>
        <v>PmO</v>
      </c>
      <c r="AK71" s="353" t="s">
        <v>49</v>
      </c>
      <c r="AL71" s="1181"/>
      <c r="AN71" s="1178"/>
      <c r="AO71" s="353" t="str">
        <f>AO63</f>
        <v>Demande mensuelle</v>
      </c>
      <c r="AP71" s="353" t="s">
        <v>44</v>
      </c>
      <c r="AQ71" s="353" t="str">
        <f>AQ63</f>
        <v>Achalandage mensuel</v>
      </c>
      <c r="AR71" s="353" t="s">
        <v>45</v>
      </c>
      <c r="AS71" s="353" t="s">
        <v>46</v>
      </c>
      <c r="AT71" s="353" t="str">
        <f>AT63</f>
        <v>Um/A</v>
      </c>
      <c r="AU71" s="353" t="s">
        <v>45</v>
      </c>
      <c r="AV71" s="353" t="str">
        <f>AV63</f>
        <v>PmO</v>
      </c>
      <c r="AW71" s="353" t="s">
        <v>49</v>
      </c>
      <c r="AX71" s="1181"/>
      <c r="AZ71" s="1178"/>
      <c r="BA71" s="353" t="str">
        <f>BA63</f>
        <v>Coût mensuel</v>
      </c>
      <c r="BB71" s="353" t="s">
        <v>44</v>
      </c>
      <c r="BC71" s="353" t="str">
        <f>BC63</f>
        <v>Achalandage mensuel</v>
      </c>
      <c r="BD71" s="353" t="s">
        <v>45</v>
      </c>
      <c r="BE71" s="353" t="s">
        <v>46</v>
      </c>
      <c r="BF71" s="353" t="str">
        <f>BF63</f>
        <v>Um/A</v>
      </c>
      <c r="BG71" s="353" t="s">
        <v>45</v>
      </c>
      <c r="BH71" s="353" t="str">
        <f>BH63</f>
        <v>CmO</v>
      </c>
      <c r="BI71" s="353" t="s">
        <v>49</v>
      </c>
      <c r="BJ71" s="1181"/>
      <c r="BL71" s="1178"/>
      <c r="BM71" s="353" t="str">
        <f>BM63</f>
        <v>Bénéfice mensuel</v>
      </c>
      <c r="BN71" s="353" t="s">
        <v>44</v>
      </c>
      <c r="BO71" s="353" t="str">
        <f>BO63</f>
        <v>Achalandage mensuel</v>
      </c>
      <c r="BP71" s="353" t="s">
        <v>45</v>
      </c>
      <c r="BQ71" s="353" t="s">
        <v>46</v>
      </c>
      <c r="BR71" s="353" t="str">
        <f>BR63</f>
        <v>Um/A</v>
      </c>
      <c r="BS71" s="353" t="s">
        <v>45</v>
      </c>
      <c r="BT71" s="353" t="str">
        <f>BT63</f>
        <v>BmO</v>
      </c>
      <c r="BU71" s="353" t="s">
        <v>49</v>
      </c>
      <c r="BV71" s="1181"/>
    </row>
    <row r="72" spans="2:74" ht="19" x14ac:dyDescent="0.25">
      <c r="B72" s="1225"/>
      <c r="C72" s="1230"/>
      <c r="D72" s="1178"/>
      <c r="E72" s="354" t="s">
        <v>2</v>
      </c>
      <c r="F72" s="355"/>
      <c r="G72" s="354"/>
      <c r="H72" s="355"/>
      <c r="I72" s="355"/>
      <c r="J72" s="355"/>
      <c r="K72" s="355"/>
      <c r="L72" s="355"/>
      <c r="M72" s="355"/>
      <c r="N72" s="1181"/>
      <c r="P72" s="1178"/>
      <c r="Q72" s="354" t="s">
        <v>2</v>
      </c>
      <c r="R72" s="355"/>
      <c r="S72" s="354"/>
      <c r="T72" s="355"/>
      <c r="U72" s="355"/>
      <c r="V72" s="355"/>
      <c r="W72" s="355"/>
      <c r="X72" s="355"/>
      <c r="Y72" s="355"/>
      <c r="Z72" s="1181"/>
      <c r="AB72" s="1178"/>
      <c r="AC72" s="354" t="s">
        <v>2</v>
      </c>
      <c r="AD72" s="355"/>
      <c r="AE72" s="354"/>
      <c r="AF72" s="355"/>
      <c r="AG72" s="355"/>
      <c r="AH72" s="355"/>
      <c r="AI72" s="355"/>
      <c r="AJ72" s="355"/>
      <c r="AK72" s="355"/>
      <c r="AL72" s="1181"/>
      <c r="AN72" s="1178"/>
      <c r="AO72" s="354" t="s">
        <v>2</v>
      </c>
      <c r="AP72" s="355"/>
      <c r="AQ72" s="354"/>
      <c r="AR72" s="355"/>
      <c r="AS72" s="355"/>
      <c r="AT72" s="355"/>
      <c r="AU72" s="355"/>
      <c r="AV72" s="355"/>
      <c r="AW72" s="355"/>
      <c r="AX72" s="1181"/>
      <c r="AZ72" s="1178"/>
      <c r="BA72" s="354" t="s">
        <v>2</v>
      </c>
      <c r="BB72" s="355"/>
      <c r="BC72" s="354"/>
      <c r="BD72" s="355"/>
      <c r="BE72" s="355"/>
      <c r="BF72" s="355"/>
      <c r="BG72" s="355"/>
      <c r="BH72" s="355"/>
      <c r="BI72" s="355"/>
      <c r="BJ72" s="1181"/>
      <c r="BL72" s="1178"/>
      <c r="BM72" s="354" t="s">
        <v>2</v>
      </c>
      <c r="BN72" s="355"/>
      <c r="BO72" s="354"/>
      <c r="BP72" s="355"/>
      <c r="BQ72" s="355"/>
      <c r="BR72" s="355"/>
      <c r="BS72" s="355"/>
      <c r="BT72" s="355"/>
      <c r="BU72" s="355"/>
      <c r="BV72" s="1181"/>
    </row>
    <row r="73" spans="2:74" ht="26" x14ac:dyDescent="0.3">
      <c r="B73" s="1225"/>
      <c r="C73" s="1230"/>
      <c r="D73" s="1178"/>
      <c r="E73" s="356" t="str">
        <f>E65</f>
        <v>D</v>
      </c>
      <c r="F73" s="357"/>
      <c r="G73" s="356" t="str">
        <f>G65</f>
        <v>A</v>
      </c>
      <c r="H73" s="357"/>
      <c r="I73" s="357"/>
      <c r="J73" s="356" t="str">
        <f>+J71</f>
        <v>Um/A</v>
      </c>
      <c r="K73" s="357"/>
      <c r="L73" s="356" t="str">
        <f>+L71</f>
        <v>PmO</v>
      </c>
      <c r="M73" s="357"/>
      <c r="N73" s="1181"/>
      <c r="P73" s="1178"/>
      <c r="Q73" s="356" t="str">
        <f>Q65</f>
        <v>D</v>
      </c>
      <c r="R73" s="357"/>
      <c r="S73" s="356" t="str">
        <f>S65</f>
        <v>A</v>
      </c>
      <c r="T73" s="357"/>
      <c r="U73" s="357"/>
      <c r="V73" s="356" t="str">
        <f>+V71</f>
        <v>Um/A</v>
      </c>
      <c r="W73" s="357"/>
      <c r="X73" s="356" t="str">
        <f>+X71</f>
        <v>PmO</v>
      </c>
      <c r="Y73" s="357"/>
      <c r="Z73" s="1181"/>
      <c r="AB73" s="1178"/>
      <c r="AC73" s="356" t="str">
        <f>AC65</f>
        <v>D</v>
      </c>
      <c r="AD73" s="357"/>
      <c r="AE73" s="356" t="str">
        <f>AE65</f>
        <v>A</v>
      </c>
      <c r="AF73" s="357"/>
      <c r="AG73" s="357"/>
      <c r="AH73" s="356" t="str">
        <f>+AH71</f>
        <v>Um/A</v>
      </c>
      <c r="AI73" s="357"/>
      <c r="AJ73" s="356" t="str">
        <f>+AJ71</f>
        <v>PmO</v>
      </c>
      <c r="AK73" s="357"/>
      <c r="AL73" s="1181"/>
      <c r="AN73" s="1178"/>
      <c r="AO73" s="356" t="str">
        <f>AO65</f>
        <v>D</v>
      </c>
      <c r="AP73" s="357"/>
      <c r="AQ73" s="356" t="str">
        <f>AQ65</f>
        <v>A</v>
      </c>
      <c r="AR73" s="357"/>
      <c r="AS73" s="357"/>
      <c r="AT73" s="356" t="str">
        <f>+AT71</f>
        <v>Um/A</v>
      </c>
      <c r="AU73" s="357"/>
      <c r="AV73" s="356" t="str">
        <f>+AV71</f>
        <v>PmO</v>
      </c>
      <c r="AW73" s="357"/>
      <c r="AX73" s="1181"/>
      <c r="AZ73" s="1178"/>
      <c r="BA73" s="356" t="str">
        <f>BA65</f>
        <v xml:space="preserve">C </v>
      </c>
      <c r="BB73" s="357"/>
      <c r="BC73" s="356" t="str">
        <f>BC65</f>
        <v>A</v>
      </c>
      <c r="BD73" s="357"/>
      <c r="BE73" s="357"/>
      <c r="BF73" s="356" t="str">
        <f>+BF71</f>
        <v>Um/A</v>
      </c>
      <c r="BG73" s="357"/>
      <c r="BH73" s="356" t="str">
        <f>+BH71</f>
        <v>CmO</v>
      </c>
      <c r="BI73" s="357"/>
      <c r="BJ73" s="1181"/>
      <c r="BL73" s="1178"/>
      <c r="BM73" s="356" t="str">
        <f>BM65</f>
        <v xml:space="preserve">B </v>
      </c>
      <c r="BN73" s="357"/>
      <c r="BO73" s="356" t="str">
        <f>BO65</f>
        <v>A</v>
      </c>
      <c r="BP73" s="357"/>
      <c r="BQ73" s="357"/>
      <c r="BR73" s="356" t="str">
        <f>+BR71</f>
        <v>Um/A</v>
      </c>
      <c r="BS73" s="357"/>
      <c r="BT73" s="356" t="str">
        <f>+BT71</f>
        <v>BmO</v>
      </c>
      <c r="BU73" s="357"/>
      <c r="BV73" s="1181"/>
    </row>
    <row r="74" spans="2:74" ht="21" x14ac:dyDescent="0.25">
      <c r="B74" s="1225"/>
      <c r="C74" s="1230"/>
      <c r="D74" s="1178"/>
      <c r="E74" s="338">
        <f>+Q74+AC74+AO74</f>
        <v>42377.5</v>
      </c>
      <c r="F74" s="353" t="s">
        <v>44</v>
      </c>
      <c r="G74" s="339">
        <f>'% Occupation'!L19</f>
        <v>4422</v>
      </c>
      <c r="H74" s="353" t="s">
        <v>45</v>
      </c>
      <c r="I74" s="353" t="s">
        <v>46</v>
      </c>
      <c r="J74" s="340">
        <f>+V74+AH74+AT74</f>
        <v>2</v>
      </c>
      <c r="K74" s="353" t="s">
        <v>45</v>
      </c>
      <c r="L74" s="341">
        <f>E74/G74/J74</f>
        <v>4.791666666666667</v>
      </c>
      <c r="M74" s="353" t="s">
        <v>49</v>
      </c>
      <c r="N74" s="1181"/>
      <c r="P74" s="1178"/>
      <c r="Q74" s="338">
        <f>+S74*(V74*X74)</f>
        <v>21299.300000000003</v>
      </c>
      <c r="R74" s="353" t="s">
        <v>44</v>
      </c>
      <c r="S74" s="339">
        <f>G74</f>
        <v>4422</v>
      </c>
      <c r="T74" s="353" t="s">
        <v>45</v>
      </c>
      <c r="U74" s="353" t="s">
        <v>46</v>
      </c>
      <c r="V74" s="376">
        <f>V66</f>
        <v>1</v>
      </c>
      <c r="W74" s="353" t="s">
        <v>45</v>
      </c>
      <c r="X74" s="377">
        <f>'Calcul CmO et PmO'!F365</f>
        <v>4.8166666666666673</v>
      </c>
      <c r="Y74" s="353" t="s">
        <v>49</v>
      </c>
      <c r="Z74" s="1181"/>
      <c r="AB74" s="1178"/>
      <c r="AC74" s="338">
        <f>+AE74*(AH74*AJ74)</f>
        <v>21078.2</v>
      </c>
      <c r="AD74" s="353" t="s">
        <v>44</v>
      </c>
      <c r="AE74" s="339">
        <f>S74</f>
        <v>4422</v>
      </c>
      <c r="AF74" s="353" t="s">
        <v>45</v>
      </c>
      <c r="AG74" s="353" t="s">
        <v>46</v>
      </c>
      <c r="AH74" s="376">
        <f>AH66</f>
        <v>1</v>
      </c>
      <c r="AI74" s="353" t="s">
        <v>45</v>
      </c>
      <c r="AJ74" s="377">
        <f>'Calcul CmO et PmO'!F380</f>
        <v>4.7666666666666666</v>
      </c>
      <c r="AK74" s="353" t="s">
        <v>49</v>
      </c>
      <c r="AL74" s="1181"/>
      <c r="AN74" s="1178"/>
      <c r="AO74" s="338">
        <f>+AQ74*(AT74*AV74)</f>
        <v>0</v>
      </c>
      <c r="AP74" s="353" t="s">
        <v>44</v>
      </c>
      <c r="AQ74" s="339">
        <f>AE74</f>
        <v>4422</v>
      </c>
      <c r="AR74" s="353" t="s">
        <v>45</v>
      </c>
      <c r="AS74" s="353" t="s">
        <v>46</v>
      </c>
      <c r="AT74" s="376">
        <f>AT66</f>
        <v>0</v>
      </c>
      <c r="AU74" s="353" t="s">
        <v>45</v>
      </c>
      <c r="AV74" s="377">
        <f>AV66</f>
        <v>0</v>
      </c>
      <c r="AW74" s="353" t="s">
        <v>49</v>
      </c>
      <c r="AX74" s="1181"/>
      <c r="AZ74" s="1178"/>
      <c r="BA74" s="338">
        <f>'État des Résultats'!AC14-'État des Résultats'!AC45</f>
        <v>28303.2343</v>
      </c>
      <c r="BB74" s="353" t="s">
        <v>44</v>
      </c>
      <c r="BC74" s="339">
        <f>G74</f>
        <v>4422</v>
      </c>
      <c r="BD74" s="353" t="s">
        <v>45</v>
      </c>
      <c r="BE74" s="353" t="s">
        <v>46</v>
      </c>
      <c r="BF74" s="340">
        <f>J74</f>
        <v>2</v>
      </c>
      <c r="BG74" s="353" t="s">
        <v>45</v>
      </c>
      <c r="BH74" s="341">
        <f>BA74/BC74/BF74</f>
        <v>3.2002752487562187</v>
      </c>
      <c r="BI74" s="353" t="s">
        <v>49</v>
      </c>
      <c r="BJ74" s="1181"/>
      <c r="BL74" s="1178"/>
      <c r="BM74" s="338">
        <f>'État des Résultats'!AC45</f>
        <v>14074.2657</v>
      </c>
      <c r="BN74" s="353" t="s">
        <v>44</v>
      </c>
      <c r="BO74" s="339">
        <f>G74</f>
        <v>4422</v>
      </c>
      <c r="BP74" s="353" t="s">
        <v>45</v>
      </c>
      <c r="BQ74" s="353" t="s">
        <v>46</v>
      </c>
      <c r="BR74" s="340">
        <f>J74</f>
        <v>2</v>
      </c>
      <c r="BS74" s="353" t="s">
        <v>45</v>
      </c>
      <c r="BT74" s="341">
        <f>BM74/BO74/BR74</f>
        <v>1.5913914179104478</v>
      </c>
      <c r="BU74" s="353" t="s">
        <v>49</v>
      </c>
      <c r="BV74" s="1181"/>
    </row>
    <row r="75" spans="2:74" ht="17" thickBot="1" x14ac:dyDescent="0.25">
      <c r="B75" s="1225"/>
      <c r="C75" s="1230"/>
      <c r="D75" s="1179"/>
      <c r="E75" s="358"/>
      <c r="F75" s="358"/>
      <c r="G75" s="358"/>
      <c r="H75" s="358"/>
      <c r="I75" s="358"/>
      <c r="J75" s="358"/>
      <c r="K75" s="358"/>
      <c r="L75" s="358"/>
      <c r="M75" s="358"/>
      <c r="N75" s="1182"/>
      <c r="P75" s="1179"/>
      <c r="Q75" s="358"/>
      <c r="R75" s="358"/>
      <c r="S75" s="358"/>
      <c r="T75" s="358"/>
      <c r="U75" s="358"/>
      <c r="V75" s="358"/>
      <c r="W75" s="358"/>
      <c r="X75" s="358"/>
      <c r="Y75" s="358"/>
      <c r="Z75" s="1182"/>
      <c r="AB75" s="1179"/>
      <c r="AC75" s="358"/>
      <c r="AD75" s="358"/>
      <c r="AE75" s="358"/>
      <c r="AF75" s="358"/>
      <c r="AG75" s="358"/>
      <c r="AH75" s="358"/>
      <c r="AI75" s="358"/>
      <c r="AJ75" s="358"/>
      <c r="AK75" s="358"/>
      <c r="AL75" s="1182"/>
      <c r="AN75" s="1179"/>
      <c r="AO75" s="358"/>
      <c r="AP75" s="358"/>
      <c r="AQ75" s="358"/>
      <c r="AR75" s="358"/>
      <c r="AS75" s="358"/>
      <c r="AT75" s="358"/>
      <c r="AU75" s="358"/>
      <c r="AV75" s="358"/>
      <c r="AW75" s="358"/>
      <c r="AX75" s="1182"/>
      <c r="AZ75" s="1179"/>
      <c r="BA75" s="358"/>
      <c r="BB75" s="358"/>
      <c r="BC75" s="358"/>
      <c r="BD75" s="358"/>
      <c r="BE75" s="358"/>
      <c r="BF75" s="358"/>
      <c r="BG75" s="358"/>
      <c r="BH75" s="358"/>
      <c r="BI75" s="358"/>
      <c r="BJ75" s="1182"/>
      <c r="BL75" s="1179"/>
      <c r="BM75" s="358"/>
      <c r="BN75" s="358"/>
      <c r="BO75" s="358"/>
      <c r="BP75" s="358"/>
      <c r="BQ75" s="358"/>
      <c r="BR75" s="358"/>
      <c r="BS75" s="358"/>
      <c r="BT75" s="358"/>
      <c r="BU75" s="358"/>
      <c r="BV75" s="1182"/>
    </row>
    <row r="76" spans="2:74" ht="10" customHeight="1" thickTop="1" thickBot="1" x14ac:dyDescent="0.2">
      <c r="C76" s="209"/>
    </row>
    <row r="77" spans="2:74" ht="17" thickTop="1" x14ac:dyDescent="0.2">
      <c r="B77" s="1226">
        <v>4</v>
      </c>
      <c r="C77" s="1229"/>
      <c r="D77" s="1171" t="s">
        <v>42</v>
      </c>
      <c r="E77" s="359"/>
      <c r="F77" s="359"/>
      <c r="G77" s="359"/>
      <c r="H77" s="359"/>
      <c r="I77" s="359"/>
      <c r="J77" s="359"/>
      <c r="K77" s="359"/>
      <c r="L77" s="359"/>
      <c r="M77" s="359"/>
      <c r="N77" s="1174" t="s">
        <v>43</v>
      </c>
      <c r="P77" s="1171" t="s">
        <v>42</v>
      </c>
      <c r="Q77" s="359"/>
      <c r="R77" s="359"/>
      <c r="S77" s="359"/>
      <c r="T77" s="359"/>
      <c r="U77" s="359"/>
      <c r="V77" s="359"/>
      <c r="W77" s="359"/>
      <c r="X77" s="359"/>
      <c r="Y77" s="359"/>
      <c r="Z77" s="1174" t="s">
        <v>43</v>
      </c>
      <c r="AB77" s="1171" t="s">
        <v>42</v>
      </c>
      <c r="AC77" s="359"/>
      <c r="AD77" s="359"/>
      <c r="AE77" s="359"/>
      <c r="AF77" s="359"/>
      <c r="AG77" s="359"/>
      <c r="AH77" s="359"/>
      <c r="AI77" s="359"/>
      <c r="AJ77" s="359"/>
      <c r="AK77" s="359"/>
      <c r="AL77" s="1174" t="s">
        <v>43</v>
      </c>
      <c r="AN77" s="1171" t="s">
        <v>42</v>
      </c>
      <c r="AO77" s="359"/>
      <c r="AP77" s="359"/>
      <c r="AQ77" s="359"/>
      <c r="AR77" s="359"/>
      <c r="AS77" s="359"/>
      <c r="AT77" s="359"/>
      <c r="AU77" s="359"/>
      <c r="AV77" s="359"/>
      <c r="AW77" s="359"/>
      <c r="AX77" s="1174" t="s">
        <v>43</v>
      </c>
      <c r="AZ77" s="1171" t="s">
        <v>42</v>
      </c>
      <c r="BA77" s="359"/>
      <c r="BB77" s="359"/>
      <c r="BC77" s="359"/>
      <c r="BD77" s="359"/>
      <c r="BE77" s="359"/>
      <c r="BF77" s="359"/>
      <c r="BG77" s="359"/>
      <c r="BH77" s="359"/>
      <c r="BI77" s="359"/>
      <c r="BJ77" s="1174" t="s">
        <v>43</v>
      </c>
      <c r="BL77" s="1171" t="s">
        <v>42</v>
      </c>
      <c r="BM77" s="359"/>
      <c r="BN77" s="359"/>
      <c r="BO77" s="359"/>
      <c r="BP77" s="359"/>
      <c r="BQ77" s="359"/>
      <c r="BR77" s="359"/>
      <c r="BS77" s="359"/>
      <c r="BT77" s="359"/>
      <c r="BU77" s="359"/>
      <c r="BV77" s="1174" t="s">
        <v>43</v>
      </c>
    </row>
    <row r="78" spans="2:74" ht="16" x14ac:dyDescent="0.2">
      <c r="B78" s="1227"/>
      <c r="C78" s="1229"/>
      <c r="D78" s="1172"/>
      <c r="E78" s="360"/>
      <c r="F78" s="360"/>
      <c r="G78" s="360"/>
      <c r="H78" s="360"/>
      <c r="I78" s="360"/>
      <c r="J78" s="360"/>
      <c r="K78" s="360"/>
      <c r="L78" s="360"/>
      <c r="M78" s="360"/>
      <c r="N78" s="1175"/>
      <c r="P78" s="1172"/>
      <c r="Q78" s="360"/>
      <c r="R78" s="360"/>
      <c r="S78" s="360"/>
      <c r="T78" s="360"/>
      <c r="U78" s="360"/>
      <c r="V78" s="360"/>
      <c r="W78" s="360"/>
      <c r="X78" s="360"/>
      <c r="Y78" s="360"/>
      <c r="Z78" s="1175"/>
      <c r="AB78" s="1172"/>
      <c r="AC78" s="360"/>
      <c r="AD78" s="360"/>
      <c r="AE78" s="360"/>
      <c r="AF78" s="360"/>
      <c r="AG78" s="360"/>
      <c r="AH78" s="360"/>
      <c r="AI78" s="360"/>
      <c r="AJ78" s="360"/>
      <c r="AK78" s="360"/>
      <c r="AL78" s="1175"/>
      <c r="AN78" s="1172"/>
      <c r="AO78" s="360"/>
      <c r="AP78" s="360"/>
      <c r="AQ78" s="360"/>
      <c r="AR78" s="360"/>
      <c r="AS78" s="360"/>
      <c r="AT78" s="360"/>
      <c r="AU78" s="360"/>
      <c r="AV78" s="360"/>
      <c r="AW78" s="360"/>
      <c r="AX78" s="1175"/>
      <c r="AZ78" s="1172"/>
      <c r="BA78" s="360"/>
      <c r="BB78" s="360"/>
      <c r="BC78" s="360"/>
      <c r="BD78" s="360"/>
      <c r="BE78" s="360"/>
      <c r="BF78" s="360"/>
      <c r="BG78" s="360"/>
      <c r="BH78" s="360"/>
      <c r="BI78" s="360"/>
      <c r="BJ78" s="1175"/>
      <c r="BL78" s="1172"/>
      <c r="BM78" s="360"/>
      <c r="BN78" s="360"/>
      <c r="BO78" s="360"/>
      <c r="BP78" s="360"/>
      <c r="BQ78" s="360"/>
      <c r="BR78" s="360"/>
      <c r="BS78" s="360"/>
      <c r="BT78" s="360"/>
      <c r="BU78" s="360"/>
      <c r="BV78" s="1175"/>
    </row>
    <row r="79" spans="2:74" ht="21" x14ac:dyDescent="0.25">
      <c r="B79" s="1227"/>
      <c r="C79" s="1229"/>
      <c r="D79" s="1172"/>
      <c r="E79" s="361" t="str">
        <f>E71</f>
        <v>Demande mensuelle</v>
      </c>
      <c r="F79" s="361" t="s">
        <v>44</v>
      </c>
      <c r="G79" s="361" t="str">
        <f>G71</f>
        <v>Achalandage mensuel</v>
      </c>
      <c r="H79" s="361" t="s">
        <v>45</v>
      </c>
      <c r="I79" s="361" t="s">
        <v>46</v>
      </c>
      <c r="J79" s="361" t="str">
        <f>J71</f>
        <v>Um/A</v>
      </c>
      <c r="K79" s="361" t="s">
        <v>45</v>
      </c>
      <c r="L79" s="361" t="str">
        <f>L71</f>
        <v>PmO</v>
      </c>
      <c r="M79" s="361" t="s">
        <v>49</v>
      </c>
      <c r="N79" s="1175"/>
      <c r="P79" s="1172"/>
      <c r="Q79" s="361" t="str">
        <f>Q71</f>
        <v>Demande mensuelle</v>
      </c>
      <c r="R79" s="361" t="s">
        <v>44</v>
      </c>
      <c r="S79" s="361" t="str">
        <f>S71</f>
        <v>Achalandage mensuel</v>
      </c>
      <c r="T79" s="361" t="s">
        <v>45</v>
      </c>
      <c r="U79" s="361" t="s">
        <v>46</v>
      </c>
      <c r="V79" s="361" t="str">
        <f>V71</f>
        <v>Um/A</v>
      </c>
      <c r="W79" s="361" t="s">
        <v>45</v>
      </c>
      <c r="X79" s="361" t="str">
        <f>X71</f>
        <v>PmO</v>
      </c>
      <c r="Y79" s="361" t="s">
        <v>49</v>
      </c>
      <c r="Z79" s="1175"/>
      <c r="AB79" s="1172"/>
      <c r="AC79" s="361" t="str">
        <f>AC71</f>
        <v>Demande mensuelle</v>
      </c>
      <c r="AD79" s="361" t="s">
        <v>44</v>
      </c>
      <c r="AE79" s="361" t="str">
        <f>AE71</f>
        <v>Achalandage mensuel</v>
      </c>
      <c r="AF79" s="361" t="s">
        <v>45</v>
      </c>
      <c r="AG79" s="361" t="s">
        <v>46</v>
      </c>
      <c r="AH79" s="361" t="str">
        <f>AH71</f>
        <v>Um/A</v>
      </c>
      <c r="AI79" s="361" t="s">
        <v>45</v>
      </c>
      <c r="AJ79" s="361" t="str">
        <f>AJ71</f>
        <v>PmO</v>
      </c>
      <c r="AK79" s="361" t="s">
        <v>49</v>
      </c>
      <c r="AL79" s="1175"/>
      <c r="AN79" s="1172"/>
      <c r="AO79" s="361" t="str">
        <f>AO71</f>
        <v>Demande mensuelle</v>
      </c>
      <c r="AP79" s="361" t="s">
        <v>44</v>
      </c>
      <c r="AQ79" s="361" t="str">
        <f>AQ71</f>
        <v>Achalandage mensuel</v>
      </c>
      <c r="AR79" s="361" t="s">
        <v>45</v>
      </c>
      <c r="AS79" s="361" t="s">
        <v>46</v>
      </c>
      <c r="AT79" s="361" t="str">
        <f>AT71</f>
        <v>Um/A</v>
      </c>
      <c r="AU79" s="361" t="s">
        <v>45</v>
      </c>
      <c r="AV79" s="361" t="str">
        <f>AV71</f>
        <v>PmO</v>
      </c>
      <c r="AW79" s="361" t="s">
        <v>49</v>
      </c>
      <c r="AX79" s="1175"/>
      <c r="AZ79" s="1172"/>
      <c r="BA79" s="361" t="str">
        <f>BA71</f>
        <v>Coût mensuel</v>
      </c>
      <c r="BB79" s="361" t="s">
        <v>44</v>
      </c>
      <c r="BC79" s="361" t="str">
        <f>BC71</f>
        <v>Achalandage mensuel</v>
      </c>
      <c r="BD79" s="361" t="s">
        <v>45</v>
      </c>
      <c r="BE79" s="361" t="s">
        <v>46</v>
      </c>
      <c r="BF79" s="361" t="str">
        <f>BF71</f>
        <v>Um/A</v>
      </c>
      <c r="BG79" s="361" t="s">
        <v>45</v>
      </c>
      <c r="BH79" s="361" t="str">
        <f>BH71</f>
        <v>CmO</v>
      </c>
      <c r="BI79" s="361" t="s">
        <v>49</v>
      </c>
      <c r="BJ79" s="1175"/>
      <c r="BL79" s="1172"/>
      <c r="BM79" s="361" t="str">
        <f>BM71</f>
        <v>Bénéfice mensuel</v>
      </c>
      <c r="BN79" s="361" t="s">
        <v>44</v>
      </c>
      <c r="BO79" s="361" t="str">
        <f>BO71</f>
        <v>Achalandage mensuel</v>
      </c>
      <c r="BP79" s="361" t="s">
        <v>45</v>
      </c>
      <c r="BQ79" s="361" t="s">
        <v>46</v>
      </c>
      <c r="BR79" s="361" t="str">
        <f>BR71</f>
        <v>Um/A</v>
      </c>
      <c r="BS79" s="361" t="s">
        <v>45</v>
      </c>
      <c r="BT79" s="361" t="str">
        <f>BT71</f>
        <v>BmO</v>
      </c>
      <c r="BU79" s="361" t="s">
        <v>49</v>
      </c>
      <c r="BV79" s="1175"/>
    </row>
    <row r="80" spans="2:74" ht="19" x14ac:dyDescent="0.25">
      <c r="B80" s="1227"/>
      <c r="C80" s="1229"/>
      <c r="D80" s="1172"/>
      <c r="E80" s="362" t="s">
        <v>2</v>
      </c>
      <c r="F80" s="363"/>
      <c r="G80" s="362"/>
      <c r="H80" s="363"/>
      <c r="I80" s="363"/>
      <c r="J80" s="363"/>
      <c r="K80" s="363"/>
      <c r="L80" s="363"/>
      <c r="M80" s="363"/>
      <c r="N80" s="1175"/>
      <c r="P80" s="1172"/>
      <c r="Q80" s="362" t="s">
        <v>2</v>
      </c>
      <c r="R80" s="363"/>
      <c r="S80" s="362"/>
      <c r="T80" s="363"/>
      <c r="U80" s="363"/>
      <c r="V80" s="363"/>
      <c r="W80" s="363"/>
      <c r="X80" s="363"/>
      <c r="Y80" s="363"/>
      <c r="Z80" s="1175"/>
      <c r="AB80" s="1172"/>
      <c r="AC80" s="362" t="s">
        <v>2</v>
      </c>
      <c r="AD80" s="363"/>
      <c r="AE80" s="362"/>
      <c r="AF80" s="363"/>
      <c r="AG80" s="363"/>
      <c r="AH80" s="363"/>
      <c r="AI80" s="363"/>
      <c r="AJ80" s="363"/>
      <c r="AK80" s="363"/>
      <c r="AL80" s="1175"/>
      <c r="AN80" s="1172"/>
      <c r="AO80" s="362" t="s">
        <v>2</v>
      </c>
      <c r="AP80" s="363"/>
      <c r="AQ80" s="362"/>
      <c r="AR80" s="363"/>
      <c r="AS80" s="363"/>
      <c r="AT80" s="363"/>
      <c r="AU80" s="363"/>
      <c r="AV80" s="363"/>
      <c r="AW80" s="363"/>
      <c r="AX80" s="1175"/>
      <c r="AZ80" s="1172"/>
      <c r="BA80" s="362" t="s">
        <v>2</v>
      </c>
      <c r="BB80" s="363"/>
      <c r="BC80" s="362"/>
      <c r="BD80" s="363"/>
      <c r="BE80" s="363"/>
      <c r="BF80" s="363"/>
      <c r="BG80" s="363"/>
      <c r="BH80" s="363"/>
      <c r="BI80" s="363"/>
      <c r="BJ80" s="1175"/>
      <c r="BL80" s="1172"/>
      <c r="BM80" s="362" t="s">
        <v>2</v>
      </c>
      <c r="BN80" s="363"/>
      <c r="BO80" s="362"/>
      <c r="BP80" s="363"/>
      <c r="BQ80" s="363"/>
      <c r="BR80" s="363"/>
      <c r="BS80" s="363"/>
      <c r="BT80" s="363"/>
      <c r="BU80" s="363"/>
      <c r="BV80" s="1175"/>
    </row>
    <row r="81" spans="2:74" ht="26" x14ac:dyDescent="0.3">
      <c r="B81" s="1227"/>
      <c r="C81" s="1229"/>
      <c r="D81" s="1172"/>
      <c r="E81" s="364" t="str">
        <f>E73</f>
        <v>D</v>
      </c>
      <c r="F81" s="365"/>
      <c r="G81" s="364" t="str">
        <f>G73</f>
        <v>A</v>
      </c>
      <c r="H81" s="365"/>
      <c r="I81" s="365"/>
      <c r="J81" s="364" t="str">
        <f>+J79</f>
        <v>Um/A</v>
      </c>
      <c r="K81" s="365"/>
      <c r="L81" s="364" t="str">
        <f>+L79</f>
        <v>PmO</v>
      </c>
      <c r="M81" s="365"/>
      <c r="N81" s="1175"/>
      <c r="P81" s="1172"/>
      <c r="Q81" s="364" t="str">
        <f>Q73</f>
        <v>D</v>
      </c>
      <c r="R81" s="365"/>
      <c r="S81" s="364" t="str">
        <f>S73</f>
        <v>A</v>
      </c>
      <c r="T81" s="365"/>
      <c r="U81" s="365"/>
      <c r="V81" s="364" t="str">
        <f>+V79</f>
        <v>Um/A</v>
      </c>
      <c r="W81" s="365"/>
      <c r="X81" s="364" t="str">
        <f>+X79</f>
        <v>PmO</v>
      </c>
      <c r="Y81" s="365"/>
      <c r="Z81" s="1175"/>
      <c r="AB81" s="1172"/>
      <c r="AC81" s="364" t="str">
        <f>AC73</f>
        <v>D</v>
      </c>
      <c r="AD81" s="365"/>
      <c r="AE81" s="364" t="str">
        <f>AE73</f>
        <v>A</v>
      </c>
      <c r="AF81" s="365"/>
      <c r="AG81" s="365"/>
      <c r="AH81" s="364" t="str">
        <f>+AH79</f>
        <v>Um/A</v>
      </c>
      <c r="AI81" s="365"/>
      <c r="AJ81" s="364" t="str">
        <f>+AJ79</f>
        <v>PmO</v>
      </c>
      <c r="AK81" s="365"/>
      <c r="AL81" s="1175"/>
      <c r="AN81" s="1172"/>
      <c r="AO81" s="364" t="str">
        <f>AO73</f>
        <v>D</v>
      </c>
      <c r="AP81" s="365"/>
      <c r="AQ81" s="364" t="str">
        <f>AQ73</f>
        <v>A</v>
      </c>
      <c r="AR81" s="365"/>
      <c r="AS81" s="365"/>
      <c r="AT81" s="364" t="str">
        <f>+AT79</f>
        <v>Um/A</v>
      </c>
      <c r="AU81" s="365"/>
      <c r="AV81" s="364" t="str">
        <f>+AV79</f>
        <v>PmO</v>
      </c>
      <c r="AW81" s="365"/>
      <c r="AX81" s="1175"/>
      <c r="AZ81" s="1172"/>
      <c r="BA81" s="364" t="str">
        <f>BA73</f>
        <v xml:space="preserve">C </v>
      </c>
      <c r="BB81" s="365"/>
      <c r="BC81" s="364" t="str">
        <f>BC73</f>
        <v>A</v>
      </c>
      <c r="BD81" s="365"/>
      <c r="BE81" s="365"/>
      <c r="BF81" s="364" t="str">
        <f>+BF79</f>
        <v>Um/A</v>
      </c>
      <c r="BG81" s="365"/>
      <c r="BH81" s="364" t="str">
        <f>+BH79</f>
        <v>CmO</v>
      </c>
      <c r="BI81" s="365"/>
      <c r="BJ81" s="1175"/>
      <c r="BL81" s="1172"/>
      <c r="BM81" s="364" t="str">
        <f>BM73</f>
        <v xml:space="preserve">B </v>
      </c>
      <c r="BN81" s="365"/>
      <c r="BO81" s="364" t="str">
        <f>BO73</f>
        <v>A</v>
      </c>
      <c r="BP81" s="365"/>
      <c r="BQ81" s="365"/>
      <c r="BR81" s="364" t="str">
        <f>+BR79</f>
        <v>Um/A</v>
      </c>
      <c r="BS81" s="365"/>
      <c r="BT81" s="364" t="str">
        <f>+BT79</f>
        <v>BmO</v>
      </c>
      <c r="BU81" s="365"/>
      <c r="BV81" s="1175"/>
    </row>
    <row r="82" spans="2:74" ht="21" x14ac:dyDescent="0.25">
      <c r="B82" s="1227"/>
      <c r="C82" s="1229"/>
      <c r="D82" s="1172"/>
      <c r="E82" s="338">
        <f>+Q82+AC82+AO82</f>
        <v>42415.833333333336</v>
      </c>
      <c r="F82" s="361" t="s">
        <v>44</v>
      </c>
      <c r="G82" s="339">
        <f>'% Occupation'!M19</f>
        <v>4426</v>
      </c>
      <c r="H82" s="361" t="s">
        <v>45</v>
      </c>
      <c r="I82" s="361" t="s">
        <v>46</v>
      </c>
      <c r="J82" s="340">
        <f>+V82+AH82+AT82</f>
        <v>2</v>
      </c>
      <c r="K82" s="361" t="s">
        <v>45</v>
      </c>
      <c r="L82" s="341">
        <f>E82/G82/J82</f>
        <v>4.791666666666667</v>
      </c>
      <c r="M82" s="361" t="s">
        <v>49</v>
      </c>
      <c r="N82" s="1175"/>
      <c r="P82" s="1172"/>
      <c r="Q82" s="338">
        <f>+S82*(V82*X82)</f>
        <v>21318.566666666669</v>
      </c>
      <c r="R82" s="361" t="s">
        <v>44</v>
      </c>
      <c r="S82" s="339">
        <f>G82</f>
        <v>4426</v>
      </c>
      <c r="T82" s="361" t="s">
        <v>45</v>
      </c>
      <c r="U82" s="361" t="s">
        <v>46</v>
      </c>
      <c r="V82" s="376">
        <f>V74</f>
        <v>1</v>
      </c>
      <c r="W82" s="361" t="s">
        <v>45</v>
      </c>
      <c r="X82" s="377">
        <f>'Calcul CmO et PmO'!F408</f>
        <v>4.8166666666666673</v>
      </c>
      <c r="Y82" s="361" t="s">
        <v>49</v>
      </c>
      <c r="Z82" s="1175"/>
      <c r="AB82" s="1172"/>
      <c r="AC82" s="338">
        <f>+AE82*(AH82*AJ82)</f>
        <v>21097.266666666666</v>
      </c>
      <c r="AD82" s="361" t="s">
        <v>44</v>
      </c>
      <c r="AE82" s="339">
        <f>S82</f>
        <v>4426</v>
      </c>
      <c r="AF82" s="361" t="s">
        <v>45</v>
      </c>
      <c r="AG82" s="361" t="s">
        <v>46</v>
      </c>
      <c r="AH82" s="376">
        <f>AH74</f>
        <v>1</v>
      </c>
      <c r="AI82" s="361" t="s">
        <v>45</v>
      </c>
      <c r="AJ82" s="377">
        <f>'Calcul CmO et PmO'!F423</f>
        <v>4.7666666666666666</v>
      </c>
      <c r="AK82" s="361" t="s">
        <v>49</v>
      </c>
      <c r="AL82" s="1175"/>
      <c r="AN82" s="1172"/>
      <c r="AO82" s="338">
        <f>+AQ82*(AT82*AV82)</f>
        <v>0</v>
      </c>
      <c r="AP82" s="361" t="s">
        <v>44</v>
      </c>
      <c r="AQ82" s="339">
        <f>AE82</f>
        <v>4426</v>
      </c>
      <c r="AR82" s="361" t="s">
        <v>45</v>
      </c>
      <c r="AS82" s="361" t="s">
        <v>46</v>
      </c>
      <c r="AT82" s="376">
        <f>AT74</f>
        <v>0</v>
      </c>
      <c r="AU82" s="361" t="s">
        <v>45</v>
      </c>
      <c r="AV82" s="377">
        <f>AV74</f>
        <v>0</v>
      </c>
      <c r="AW82" s="361" t="s">
        <v>49</v>
      </c>
      <c r="AX82" s="1175"/>
      <c r="AZ82" s="1172"/>
      <c r="BA82" s="338">
        <f>'État des Résultats'!AF14-'État des Résultats'!AF45</f>
        <v>28316.883633333331</v>
      </c>
      <c r="BB82" s="361" t="s">
        <v>44</v>
      </c>
      <c r="BC82" s="339">
        <f>G82</f>
        <v>4426</v>
      </c>
      <c r="BD82" s="361" t="s">
        <v>45</v>
      </c>
      <c r="BE82" s="361" t="s">
        <v>46</v>
      </c>
      <c r="BF82" s="340">
        <f>J82</f>
        <v>2</v>
      </c>
      <c r="BG82" s="361" t="s">
        <v>45</v>
      </c>
      <c r="BH82" s="341">
        <f>BA82/BC82/BF82</f>
        <v>3.1989249472812169</v>
      </c>
      <c r="BI82" s="361" t="s">
        <v>49</v>
      </c>
      <c r="BJ82" s="1175"/>
      <c r="BL82" s="1172"/>
      <c r="BM82" s="338">
        <f>'État des Résultats'!AF45</f>
        <v>14098.949700000005</v>
      </c>
      <c r="BN82" s="361" t="s">
        <v>44</v>
      </c>
      <c r="BO82" s="339">
        <f>G82</f>
        <v>4426</v>
      </c>
      <c r="BP82" s="361" t="s">
        <v>45</v>
      </c>
      <c r="BQ82" s="361" t="s">
        <v>46</v>
      </c>
      <c r="BR82" s="340">
        <f>J82</f>
        <v>2</v>
      </c>
      <c r="BS82" s="361" t="s">
        <v>45</v>
      </c>
      <c r="BT82" s="341">
        <f>BM82/BO82/BR82</f>
        <v>1.5927417193854501</v>
      </c>
      <c r="BU82" s="361" t="s">
        <v>49</v>
      </c>
      <c r="BV82" s="1175"/>
    </row>
    <row r="83" spans="2:74" ht="17" thickBot="1" x14ac:dyDescent="0.25">
      <c r="B83" s="1227"/>
      <c r="C83" s="1229"/>
      <c r="D83" s="1173"/>
      <c r="E83" s="366"/>
      <c r="F83" s="366"/>
      <c r="G83" s="366"/>
      <c r="H83" s="366"/>
      <c r="I83" s="366"/>
      <c r="J83" s="366"/>
      <c r="K83" s="366"/>
      <c r="L83" s="366"/>
      <c r="M83" s="366"/>
      <c r="N83" s="1176"/>
      <c r="P83" s="1173"/>
      <c r="Q83" s="366"/>
      <c r="R83" s="366"/>
      <c r="S83" s="366"/>
      <c r="T83" s="366"/>
      <c r="U83" s="366"/>
      <c r="V83" s="366"/>
      <c r="W83" s="366"/>
      <c r="X83" s="366"/>
      <c r="Y83" s="366"/>
      <c r="Z83" s="1176"/>
      <c r="AB83" s="1173"/>
      <c r="AC83" s="366"/>
      <c r="AD83" s="366"/>
      <c r="AE83" s="366"/>
      <c r="AF83" s="366"/>
      <c r="AG83" s="366"/>
      <c r="AH83" s="366"/>
      <c r="AI83" s="366"/>
      <c r="AJ83" s="366"/>
      <c r="AK83" s="366"/>
      <c r="AL83" s="1176"/>
      <c r="AN83" s="1173"/>
      <c r="AO83" s="366"/>
      <c r="AP83" s="366"/>
      <c r="AQ83" s="366"/>
      <c r="AR83" s="366"/>
      <c r="AS83" s="366"/>
      <c r="AT83" s="366"/>
      <c r="AU83" s="366"/>
      <c r="AV83" s="366"/>
      <c r="AW83" s="366"/>
      <c r="AX83" s="1176"/>
      <c r="AZ83" s="1173"/>
      <c r="BA83" s="366"/>
      <c r="BB83" s="366"/>
      <c r="BC83" s="366"/>
      <c r="BD83" s="366"/>
      <c r="BE83" s="366"/>
      <c r="BF83" s="366"/>
      <c r="BG83" s="366"/>
      <c r="BH83" s="366"/>
      <c r="BI83" s="366"/>
      <c r="BJ83" s="1176"/>
      <c r="BL83" s="1173"/>
      <c r="BM83" s="366"/>
      <c r="BN83" s="366"/>
      <c r="BO83" s="366"/>
      <c r="BP83" s="366"/>
      <c r="BQ83" s="366"/>
      <c r="BR83" s="366"/>
      <c r="BS83" s="366"/>
      <c r="BT83" s="366"/>
      <c r="BU83" s="366"/>
      <c r="BV83" s="1176"/>
    </row>
    <row r="84" spans="2:74" ht="5" customHeight="1" thickTop="1" thickBot="1" x14ac:dyDescent="0.2">
      <c r="B84" s="1227"/>
      <c r="C84" s="209"/>
    </row>
    <row r="85" spans="2:74" ht="17" thickTop="1" x14ac:dyDescent="0.2">
      <c r="B85" s="1227"/>
      <c r="C85" s="1229"/>
      <c r="D85" s="1171" t="s">
        <v>42</v>
      </c>
      <c r="E85" s="359"/>
      <c r="F85" s="359"/>
      <c r="G85" s="359"/>
      <c r="H85" s="359"/>
      <c r="I85" s="359"/>
      <c r="J85" s="359"/>
      <c r="K85" s="359"/>
      <c r="L85" s="359"/>
      <c r="M85" s="359"/>
      <c r="N85" s="1174" t="s">
        <v>43</v>
      </c>
      <c r="P85" s="1171" t="s">
        <v>42</v>
      </c>
      <c r="Q85" s="359"/>
      <c r="R85" s="359"/>
      <c r="S85" s="359"/>
      <c r="T85" s="359"/>
      <c r="U85" s="359"/>
      <c r="V85" s="359"/>
      <c r="W85" s="359"/>
      <c r="X85" s="359"/>
      <c r="Y85" s="359"/>
      <c r="Z85" s="1174" t="s">
        <v>43</v>
      </c>
      <c r="AB85" s="1171" t="s">
        <v>42</v>
      </c>
      <c r="AC85" s="359"/>
      <c r="AD85" s="359"/>
      <c r="AE85" s="359"/>
      <c r="AF85" s="359"/>
      <c r="AG85" s="359"/>
      <c r="AH85" s="359"/>
      <c r="AI85" s="359"/>
      <c r="AJ85" s="359"/>
      <c r="AK85" s="359"/>
      <c r="AL85" s="1174" t="s">
        <v>43</v>
      </c>
      <c r="AN85" s="1171" t="s">
        <v>42</v>
      </c>
      <c r="AO85" s="359"/>
      <c r="AP85" s="359"/>
      <c r="AQ85" s="359"/>
      <c r="AR85" s="359"/>
      <c r="AS85" s="359"/>
      <c r="AT85" s="359"/>
      <c r="AU85" s="359"/>
      <c r="AV85" s="359"/>
      <c r="AW85" s="359"/>
      <c r="AX85" s="1174" t="s">
        <v>43</v>
      </c>
      <c r="AZ85" s="1171" t="s">
        <v>42</v>
      </c>
      <c r="BA85" s="359"/>
      <c r="BB85" s="359"/>
      <c r="BC85" s="359"/>
      <c r="BD85" s="359"/>
      <c r="BE85" s="359"/>
      <c r="BF85" s="359"/>
      <c r="BG85" s="359"/>
      <c r="BH85" s="359"/>
      <c r="BI85" s="359"/>
      <c r="BJ85" s="1174" t="s">
        <v>43</v>
      </c>
      <c r="BL85" s="1171" t="s">
        <v>42</v>
      </c>
      <c r="BM85" s="359"/>
      <c r="BN85" s="359"/>
      <c r="BO85" s="359"/>
      <c r="BP85" s="359"/>
      <c r="BQ85" s="359"/>
      <c r="BR85" s="359"/>
      <c r="BS85" s="359"/>
      <c r="BT85" s="359"/>
      <c r="BU85" s="359"/>
      <c r="BV85" s="1174" t="s">
        <v>43</v>
      </c>
    </row>
    <row r="86" spans="2:74" ht="16" x14ac:dyDescent="0.2">
      <c r="B86" s="1227"/>
      <c r="C86" s="1229"/>
      <c r="D86" s="1172"/>
      <c r="E86" s="360"/>
      <c r="F86" s="360"/>
      <c r="G86" s="360"/>
      <c r="H86" s="360"/>
      <c r="I86" s="360"/>
      <c r="J86" s="360"/>
      <c r="K86" s="360"/>
      <c r="L86" s="360"/>
      <c r="M86" s="360"/>
      <c r="N86" s="1175"/>
      <c r="P86" s="1172"/>
      <c r="Q86" s="360"/>
      <c r="R86" s="360"/>
      <c r="S86" s="360"/>
      <c r="T86" s="360"/>
      <c r="U86" s="360"/>
      <c r="V86" s="360"/>
      <c r="W86" s="360"/>
      <c r="X86" s="360"/>
      <c r="Y86" s="360"/>
      <c r="Z86" s="1175"/>
      <c r="AB86" s="1172"/>
      <c r="AC86" s="360"/>
      <c r="AD86" s="360"/>
      <c r="AE86" s="360"/>
      <c r="AF86" s="360"/>
      <c r="AG86" s="360"/>
      <c r="AH86" s="360"/>
      <c r="AI86" s="360"/>
      <c r="AJ86" s="360"/>
      <c r="AK86" s="360"/>
      <c r="AL86" s="1175"/>
      <c r="AN86" s="1172"/>
      <c r="AO86" s="360"/>
      <c r="AP86" s="360"/>
      <c r="AQ86" s="360"/>
      <c r="AR86" s="360"/>
      <c r="AS86" s="360"/>
      <c r="AT86" s="360"/>
      <c r="AU86" s="360"/>
      <c r="AV86" s="360"/>
      <c r="AW86" s="360"/>
      <c r="AX86" s="1175"/>
      <c r="AZ86" s="1172"/>
      <c r="BA86" s="360"/>
      <c r="BB86" s="360"/>
      <c r="BC86" s="360"/>
      <c r="BD86" s="360"/>
      <c r="BE86" s="360"/>
      <c r="BF86" s="360"/>
      <c r="BG86" s="360"/>
      <c r="BH86" s="360"/>
      <c r="BI86" s="360"/>
      <c r="BJ86" s="1175"/>
      <c r="BL86" s="1172"/>
      <c r="BM86" s="360"/>
      <c r="BN86" s="360"/>
      <c r="BO86" s="360"/>
      <c r="BP86" s="360"/>
      <c r="BQ86" s="360"/>
      <c r="BR86" s="360"/>
      <c r="BS86" s="360"/>
      <c r="BT86" s="360"/>
      <c r="BU86" s="360"/>
      <c r="BV86" s="1175"/>
    </row>
    <row r="87" spans="2:74" ht="21" x14ac:dyDescent="0.25">
      <c r="B87" s="1227"/>
      <c r="C87" s="1229"/>
      <c r="D87" s="1172"/>
      <c r="E87" s="361" t="str">
        <f>E79</f>
        <v>Demande mensuelle</v>
      </c>
      <c r="F87" s="361" t="s">
        <v>44</v>
      </c>
      <c r="G87" s="361" t="str">
        <f>G79</f>
        <v>Achalandage mensuel</v>
      </c>
      <c r="H87" s="361" t="s">
        <v>45</v>
      </c>
      <c r="I87" s="361" t="s">
        <v>46</v>
      </c>
      <c r="J87" s="361" t="str">
        <f>J79</f>
        <v>Um/A</v>
      </c>
      <c r="K87" s="361" t="s">
        <v>45</v>
      </c>
      <c r="L87" s="361" t="str">
        <f>L79</f>
        <v>PmO</v>
      </c>
      <c r="M87" s="361" t="s">
        <v>49</v>
      </c>
      <c r="N87" s="1175"/>
      <c r="P87" s="1172"/>
      <c r="Q87" s="361" t="str">
        <f>Q79</f>
        <v>Demande mensuelle</v>
      </c>
      <c r="R87" s="361" t="s">
        <v>44</v>
      </c>
      <c r="S87" s="361" t="str">
        <f>S79</f>
        <v>Achalandage mensuel</v>
      </c>
      <c r="T87" s="361" t="s">
        <v>45</v>
      </c>
      <c r="U87" s="361" t="s">
        <v>46</v>
      </c>
      <c r="V87" s="361" t="str">
        <f>V79</f>
        <v>Um/A</v>
      </c>
      <c r="W87" s="361" t="s">
        <v>45</v>
      </c>
      <c r="X87" s="361" t="str">
        <f>X79</f>
        <v>PmO</v>
      </c>
      <c r="Y87" s="361" t="s">
        <v>49</v>
      </c>
      <c r="Z87" s="1175"/>
      <c r="AB87" s="1172"/>
      <c r="AC87" s="361" t="str">
        <f>AC79</f>
        <v>Demande mensuelle</v>
      </c>
      <c r="AD87" s="361" t="s">
        <v>44</v>
      </c>
      <c r="AE87" s="361" t="str">
        <f>AE79</f>
        <v>Achalandage mensuel</v>
      </c>
      <c r="AF87" s="361" t="s">
        <v>45</v>
      </c>
      <c r="AG87" s="361" t="s">
        <v>46</v>
      </c>
      <c r="AH87" s="361" t="str">
        <f>AH79</f>
        <v>Um/A</v>
      </c>
      <c r="AI87" s="361" t="s">
        <v>45</v>
      </c>
      <c r="AJ87" s="361" t="str">
        <f>AJ79</f>
        <v>PmO</v>
      </c>
      <c r="AK87" s="361" t="s">
        <v>49</v>
      </c>
      <c r="AL87" s="1175"/>
      <c r="AN87" s="1172"/>
      <c r="AO87" s="361" t="str">
        <f>AO79</f>
        <v>Demande mensuelle</v>
      </c>
      <c r="AP87" s="361" t="s">
        <v>44</v>
      </c>
      <c r="AQ87" s="361" t="str">
        <f>AQ79</f>
        <v>Achalandage mensuel</v>
      </c>
      <c r="AR87" s="361" t="s">
        <v>45</v>
      </c>
      <c r="AS87" s="361" t="s">
        <v>46</v>
      </c>
      <c r="AT87" s="361" t="str">
        <f>AT79</f>
        <v>Um/A</v>
      </c>
      <c r="AU87" s="361" t="s">
        <v>45</v>
      </c>
      <c r="AV87" s="361" t="str">
        <f>AV79</f>
        <v>PmO</v>
      </c>
      <c r="AW87" s="361" t="s">
        <v>49</v>
      </c>
      <c r="AX87" s="1175"/>
      <c r="AZ87" s="1172"/>
      <c r="BA87" s="361" t="str">
        <f>BA79</f>
        <v>Coût mensuel</v>
      </c>
      <c r="BB87" s="361" t="s">
        <v>44</v>
      </c>
      <c r="BC87" s="361" t="str">
        <f>BC79</f>
        <v>Achalandage mensuel</v>
      </c>
      <c r="BD87" s="361" t="s">
        <v>45</v>
      </c>
      <c r="BE87" s="361" t="s">
        <v>46</v>
      </c>
      <c r="BF87" s="361" t="str">
        <f>BF79</f>
        <v>Um/A</v>
      </c>
      <c r="BG87" s="361" t="s">
        <v>45</v>
      </c>
      <c r="BH87" s="361" t="str">
        <f>BH79</f>
        <v>CmO</v>
      </c>
      <c r="BI87" s="361" t="s">
        <v>49</v>
      </c>
      <c r="BJ87" s="1175"/>
      <c r="BL87" s="1172"/>
      <c r="BM87" s="361" t="str">
        <f>BM79</f>
        <v>Bénéfice mensuel</v>
      </c>
      <c r="BN87" s="361" t="s">
        <v>44</v>
      </c>
      <c r="BO87" s="361" t="str">
        <f>BO79</f>
        <v>Achalandage mensuel</v>
      </c>
      <c r="BP87" s="361" t="s">
        <v>45</v>
      </c>
      <c r="BQ87" s="361" t="s">
        <v>46</v>
      </c>
      <c r="BR87" s="361" t="str">
        <f>BR79</f>
        <v>Um/A</v>
      </c>
      <c r="BS87" s="361" t="s">
        <v>45</v>
      </c>
      <c r="BT87" s="361" t="str">
        <f>BT79</f>
        <v>BmO</v>
      </c>
      <c r="BU87" s="361" t="s">
        <v>49</v>
      </c>
      <c r="BV87" s="1175"/>
    </row>
    <row r="88" spans="2:74" ht="19" x14ac:dyDescent="0.25">
      <c r="B88" s="1227"/>
      <c r="C88" s="1229"/>
      <c r="D88" s="1172"/>
      <c r="E88" s="362" t="s">
        <v>2</v>
      </c>
      <c r="F88" s="363"/>
      <c r="G88" s="362"/>
      <c r="H88" s="363"/>
      <c r="I88" s="363"/>
      <c r="J88" s="363"/>
      <c r="K88" s="363"/>
      <c r="L88" s="363"/>
      <c r="M88" s="363"/>
      <c r="N88" s="1175"/>
      <c r="P88" s="1172"/>
      <c r="Q88" s="362" t="s">
        <v>2</v>
      </c>
      <c r="R88" s="363"/>
      <c r="S88" s="362"/>
      <c r="T88" s="363"/>
      <c r="U88" s="363"/>
      <c r="V88" s="363"/>
      <c r="W88" s="363"/>
      <c r="X88" s="363"/>
      <c r="Y88" s="363"/>
      <c r="Z88" s="1175"/>
      <c r="AB88" s="1172"/>
      <c r="AC88" s="362" t="s">
        <v>2</v>
      </c>
      <c r="AD88" s="363"/>
      <c r="AE88" s="362"/>
      <c r="AF88" s="363"/>
      <c r="AG88" s="363"/>
      <c r="AH88" s="363"/>
      <c r="AI88" s="363"/>
      <c r="AJ88" s="363"/>
      <c r="AK88" s="363"/>
      <c r="AL88" s="1175"/>
      <c r="AN88" s="1172"/>
      <c r="AO88" s="362" t="s">
        <v>2</v>
      </c>
      <c r="AP88" s="363"/>
      <c r="AQ88" s="362"/>
      <c r="AR88" s="363"/>
      <c r="AS88" s="363"/>
      <c r="AT88" s="363"/>
      <c r="AU88" s="363"/>
      <c r="AV88" s="363"/>
      <c r="AW88" s="363"/>
      <c r="AX88" s="1175"/>
      <c r="AZ88" s="1172"/>
      <c r="BA88" s="362" t="s">
        <v>2</v>
      </c>
      <c r="BB88" s="363"/>
      <c r="BC88" s="362"/>
      <c r="BD88" s="363"/>
      <c r="BE88" s="363"/>
      <c r="BF88" s="363"/>
      <c r="BG88" s="363"/>
      <c r="BH88" s="363"/>
      <c r="BI88" s="363"/>
      <c r="BJ88" s="1175"/>
      <c r="BL88" s="1172"/>
      <c r="BM88" s="362" t="s">
        <v>2</v>
      </c>
      <c r="BN88" s="363"/>
      <c r="BO88" s="362"/>
      <c r="BP88" s="363"/>
      <c r="BQ88" s="363"/>
      <c r="BR88" s="363"/>
      <c r="BS88" s="363"/>
      <c r="BT88" s="363"/>
      <c r="BU88" s="363"/>
      <c r="BV88" s="1175"/>
    </row>
    <row r="89" spans="2:74" ht="26" x14ac:dyDescent="0.3">
      <c r="B89" s="1227"/>
      <c r="C89" s="1229"/>
      <c r="D89" s="1172"/>
      <c r="E89" s="364" t="str">
        <f>E81</f>
        <v>D</v>
      </c>
      <c r="F89" s="365"/>
      <c r="G89" s="364" t="str">
        <f>G81</f>
        <v>A</v>
      </c>
      <c r="H89" s="365"/>
      <c r="I89" s="365"/>
      <c r="J89" s="364" t="str">
        <f>+J87</f>
        <v>Um/A</v>
      </c>
      <c r="K89" s="365"/>
      <c r="L89" s="364" t="str">
        <f>+L87</f>
        <v>PmO</v>
      </c>
      <c r="M89" s="365"/>
      <c r="N89" s="1175"/>
      <c r="P89" s="1172"/>
      <c r="Q89" s="364" t="str">
        <f>Q81</f>
        <v>D</v>
      </c>
      <c r="R89" s="365"/>
      <c r="S89" s="364" t="str">
        <f>S81</f>
        <v>A</v>
      </c>
      <c r="T89" s="365"/>
      <c r="U89" s="365"/>
      <c r="V89" s="364" t="str">
        <f>+V87</f>
        <v>Um/A</v>
      </c>
      <c r="W89" s="365"/>
      <c r="X89" s="364" t="str">
        <f>+X87</f>
        <v>PmO</v>
      </c>
      <c r="Y89" s="365"/>
      <c r="Z89" s="1175"/>
      <c r="AB89" s="1172"/>
      <c r="AC89" s="364" t="str">
        <f>AC81</f>
        <v>D</v>
      </c>
      <c r="AD89" s="365"/>
      <c r="AE89" s="364" t="str">
        <f>AE81</f>
        <v>A</v>
      </c>
      <c r="AF89" s="365"/>
      <c r="AG89" s="365"/>
      <c r="AH89" s="364" t="str">
        <f>+AH87</f>
        <v>Um/A</v>
      </c>
      <c r="AI89" s="365"/>
      <c r="AJ89" s="364" t="str">
        <f>+AJ87</f>
        <v>PmO</v>
      </c>
      <c r="AK89" s="365"/>
      <c r="AL89" s="1175"/>
      <c r="AN89" s="1172"/>
      <c r="AO89" s="364" t="str">
        <f>AO81</f>
        <v>D</v>
      </c>
      <c r="AP89" s="365"/>
      <c r="AQ89" s="364" t="str">
        <f>AQ81</f>
        <v>A</v>
      </c>
      <c r="AR89" s="365"/>
      <c r="AS89" s="365"/>
      <c r="AT89" s="364" t="str">
        <f>+AT87</f>
        <v>Um/A</v>
      </c>
      <c r="AU89" s="365"/>
      <c r="AV89" s="364" t="str">
        <f>+AV87</f>
        <v>PmO</v>
      </c>
      <c r="AW89" s="365"/>
      <c r="AX89" s="1175"/>
      <c r="AZ89" s="1172"/>
      <c r="BA89" s="364" t="str">
        <f>BA81</f>
        <v xml:space="preserve">C </v>
      </c>
      <c r="BB89" s="365"/>
      <c r="BC89" s="364" t="str">
        <f>BC81</f>
        <v>A</v>
      </c>
      <c r="BD89" s="365"/>
      <c r="BE89" s="365"/>
      <c r="BF89" s="364" t="str">
        <f>+BF87</f>
        <v>Um/A</v>
      </c>
      <c r="BG89" s="365"/>
      <c r="BH89" s="364" t="str">
        <f>+BH87</f>
        <v>CmO</v>
      </c>
      <c r="BI89" s="365"/>
      <c r="BJ89" s="1175"/>
      <c r="BL89" s="1172"/>
      <c r="BM89" s="364" t="str">
        <f>BM81</f>
        <v xml:space="preserve">B </v>
      </c>
      <c r="BN89" s="365"/>
      <c r="BO89" s="364" t="str">
        <f>BO81</f>
        <v>A</v>
      </c>
      <c r="BP89" s="365"/>
      <c r="BQ89" s="365"/>
      <c r="BR89" s="364" t="str">
        <f>+BR87</f>
        <v>Um/A</v>
      </c>
      <c r="BS89" s="365"/>
      <c r="BT89" s="364" t="str">
        <f>+BT87</f>
        <v>BmO</v>
      </c>
      <c r="BU89" s="365"/>
      <c r="BV89" s="1175"/>
    </row>
    <row r="90" spans="2:74" ht="21" x14ac:dyDescent="0.25">
      <c r="B90" s="1227"/>
      <c r="C90" s="1229"/>
      <c r="D90" s="1172"/>
      <c r="E90" s="338">
        <f>+Q90+AC90+AO90</f>
        <v>39425.833333333336</v>
      </c>
      <c r="F90" s="361" t="s">
        <v>44</v>
      </c>
      <c r="G90" s="339">
        <f>'% Occupation'!N19</f>
        <v>4114</v>
      </c>
      <c r="H90" s="361" t="s">
        <v>45</v>
      </c>
      <c r="I90" s="361" t="s">
        <v>46</v>
      </c>
      <c r="J90" s="340">
        <f>+V90+AH90+AT90</f>
        <v>2</v>
      </c>
      <c r="K90" s="361" t="s">
        <v>45</v>
      </c>
      <c r="L90" s="341">
        <f>E90/G90/J90</f>
        <v>4.791666666666667</v>
      </c>
      <c r="M90" s="361" t="s">
        <v>49</v>
      </c>
      <c r="N90" s="1175"/>
      <c r="P90" s="1172"/>
      <c r="Q90" s="338">
        <f>+S90*(V90*X90)</f>
        <v>19815.76666666667</v>
      </c>
      <c r="R90" s="361" t="s">
        <v>44</v>
      </c>
      <c r="S90" s="339">
        <f>G90</f>
        <v>4114</v>
      </c>
      <c r="T90" s="361" t="s">
        <v>45</v>
      </c>
      <c r="U90" s="361" t="s">
        <v>46</v>
      </c>
      <c r="V90" s="376">
        <f>V82</f>
        <v>1</v>
      </c>
      <c r="W90" s="361" t="s">
        <v>45</v>
      </c>
      <c r="X90" s="377">
        <f>'Calcul CmO et PmO'!F451</f>
        <v>4.8166666666666673</v>
      </c>
      <c r="Y90" s="361" t="s">
        <v>49</v>
      </c>
      <c r="Z90" s="1175"/>
      <c r="AB90" s="1172"/>
      <c r="AC90" s="338">
        <f>+AE90*(AH90*AJ90)</f>
        <v>19610.066666666666</v>
      </c>
      <c r="AD90" s="361" t="s">
        <v>44</v>
      </c>
      <c r="AE90" s="339">
        <f>S90</f>
        <v>4114</v>
      </c>
      <c r="AF90" s="361" t="s">
        <v>45</v>
      </c>
      <c r="AG90" s="361" t="s">
        <v>46</v>
      </c>
      <c r="AH90" s="376">
        <f>AH82</f>
        <v>1</v>
      </c>
      <c r="AI90" s="361" t="s">
        <v>45</v>
      </c>
      <c r="AJ90" s="377">
        <f>'Calcul CmO et PmO'!F466</f>
        <v>4.7666666666666666</v>
      </c>
      <c r="AK90" s="361" t="s">
        <v>49</v>
      </c>
      <c r="AL90" s="1175"/>
      <c r="AN90" s="1172"/>
      <c r="AO90" s="338">
        <f>+AQ90*(AT90*AV90)</f>
        <v>0</v>
      </c>
      <c r="AP90" s="361" t="s">
        <v>44</v>
      </c>
      <c r="AQ90" s="339">
        <f>AE90</f>
        <v>4114</v>
      </c>
      <c r="AR90" s="361" t="s">
        <v>45</v>
      </c>
      <c r="AS90" s="361" t="s">
        <v>46</v>
      </c>
      <c r="AT90" s="376">
        <f>AT82</f>
        <v>0</v>
      </c>
      <c r="AU90" s="361" t="s">
        <v>45</v>
      </c>
      <c r="AV90" s="377">
        <f>AV82</f>
        <v>0</v>
      </c>
      <c r="AW90" s="361" t="s">
        <v>49</v>
      </c>
      <c r="AX90" s="1175"/>
      <c r="AZ90" s="1172"/>
      <c r="BA90" s="338">
        <f>'État des Résultats'!AI14-'État des Résultats'!AI45</f>
        <v>27252.235633333334</v>
      </c>
      <c r="BB90" s="361" t="s">
        <v>44</v>
      </c>
      <c r="BC90" s="339">
        <f>G90</f>
        <v>4114</v>
      </c>
      <c r="BD90" s="361" t="s">
        <v>45</v>
      </c>
      <c r="BE90" s="361" t="s">
        <v>46</v>
      </c>
      <c r="BF90" s="340">
        <f>J90</f>
        <v>2</v>
      </c>
      <c r="BG90" s="361" t="s">
        <v>45</v>
      </c>
      <c r="BH90" s="341">
        <f>BA90/BC90/BF90</f>
        <v>3.3121336452762922</v>
      </c>
      <c r="BI90" s="361" t="s">
        <v>49</v>
      </c>
      <c r="BJ90" s="1175"/>
      <c r="BL90" s="1172"/>
      <c r="BM90" s="338">
        <f>'État des Résultats'!AI45</f>
        <v>12173.597700000002</v>
      </c>
      <c r="BN90" s="361" t="s">
        <v>44</v>
      </c>
      <c r="BO90" s="339">
        <f>G90</f>
        <v>4114</v>
      </c>
      <c r="BP90" s="361" t="s">
        <v>45</v>
      </c>
      <c r="BQ90" s="361" t="s">
        <v>46</v>
      </c>
      <c r="BR90" s="340">
        <f>J90</f>
        <v>2</v>
      </c>
      <c r="BS90" s="361" t="s">
        <v>45</v>
      </c>
      <c r="BT90" s="341">
        <f>BM90/BO90/BR90</f>
        <v>1.4795330213903746</v>
      </c>
      <c r="BU90" s="361" t="s">
        <v>49</v>
      </c>
      <c r="BV90" s="1175"/>
    </row>
    <row r="91" spans="2:74" ht="17" thickBot="1" x14ac:dyDescent="0.25">
      <c r="B91" s="1227"/>
      <c r="C91" s="1229"/>
      <c r="D91" s="1173"/>
      <c r="E91" s="366"/>
      <c r="F91" s="366"/>
      <c r="G91" s="366"/>
      <c r="H91" s="366"/>
      <c r="I91" s="366"/>
      <c r="J91" s="366"/>
      <c r="K91" s="366"/>
      <c r="L91" s="366"/>
      <c r="M91" s="366"/>
      <c r="N91" s="1176"/>
      <c r="P91" s="1173"/>
      <c r="Q91" s="366"/>
      <c r="R91" s="366"/>
      <c r="S91" s="366"/>
      <c r="T91" s="366"/>
      <c r="U91" s="366"/>
      <c r="V91" s="366"/>
      <c r="W91" s="366"/>
      <c r="X91" s="366"/>
      <c r="Y91" s="366"/>
      <c r="Z91" s="1176"/>
      <c r="AB91" s="1173"/>
      <c r="AC91" s="366"/>
      <c r="AD91" s="366"/>
      <c r="AE91" s="366"/>
      <c r="AF91" s="366"/>
      <c r="AG91" s="366"/>
      <c r="AH91" s="366"/>
      <c r="AI91" s="366"/>
      <c r="AJ91" s="366"/>
      <c r="AK91" s="366"/>
      <c r="AL91" s="1176"/>
      <c r="AN91" s="1173"/>
      <c r="AO91" s="366"/>
      <c r="AP91" s="366"/>
      <c r="AQ91" s="366"/>
      <c r="AR91" s="366"/>
      <c r="AS91" s="366"/>
      <c r="AT91" s="366"/>
      <c r="AU91" s="366"/>
      <c r="AV91" s="366"/>
      <c r="AW91" s="366"/>
      <c r="AX91" s="1176"/>
      <c r="AZ91" s="1173"/>
      <c r="BA91" s="366"/>
      <c r="BB91" s="366"/>
      <c r="BC91" s="366"/>
      <c r="BD91" s="366"/>
      <c r="BE91" s="366"/>
      <c r="BF91" s="366"/>
      <c r="BG91" s="366"/>
      <c r="BH91" s="366"/>
      <c r="BI91" s="366"/>
      <c r="BJ91" s="1176"/>
      <c r="BL91" s="1173"/>
      <c r="BM91" s="366"/>
      <c r="BN91" s="366"/>
      <c r="BO91" s="366"/>
      <c r="BP91" s="366"/>
      <c r="BQ91" s="366"/>
      <c r="BR91" s="366"/>
      <c r="BS91" s="366"/>
      <c r="BT91" s="366"/>
      <c r="BU91" s="366"/>
      <c r="BV91" s="1176"/>
    </row>
    <row r="92" spans="2:74" ht="5" customHeight="1" thickTop="1" thickBot="1" x14ac:dyDescent="0.2">
      <c r="B92" s="1227"/>
      <c r="C92" s="209"/>
    </row>
    <row r="93" spans="2:74" ht="17" thickTop="1" x14ac:dyDescent="0.2">
      <c r="B93" s="1227"/>
      <c r="C93" s="1229"/>
      <c r="D93" s="1171" t="s">
        <v>42</v>
      </c>
      <c r="E93" s="359"/>
      <c r="F93" s="359"/>
      <c r="G93" s="359"/>
      <c r="H93" s="359"/>
      <c r="I93" s="359"/>
      <c r="J93" s="359"/>
      <c r="K93" s="359"/>
      <c r="L93" s="359"/>
      <c r="M93" s="359"/>
      <c r="N93" s="1174" t="s">
        <v>43</v>
      </c>
      <c r="P93" s="1171" t="s">
        <v>42</v>
      </c>
      <c r="Q93" s="359"/>
      <c r="R93" s="359"/>
      <c r="S93" s="359"/>
      <c r="T93" s="359"/>
      <c r="U93" s="359"/>
      <c r="V93" s="359"/>
      <c r="W93" s="359"/>
      <c r="X93" s="359"/>
      <c r="Y93" s="359"/>
      <c r="Z93" s="1174" t="s">
        <v>43</v>
      </c>
      <c r="AB93" s="1171" t="s">
        <v>42</v>
      </c>
      <c r="AC93" s="359"/>
      <c r="AD93" s="359"/>
      <c r="AE93" s="359"/>
      <c r="AF93" s="359"/>
      <c r="AG93" s="359"/>
      <c r="AH93" s="359"/>
      <c r="AI93" s="359"/>
      <c r="AJ93" s="359"/>
      <c r="AK93" s="359"/>
      <c r="AL93" s="1174" t="s">
        <v>43</v>
      </c>
      <c r="AN93" s="1171" t="s">
        <v>42</v>
      </c>
      <c r="AO93" s="359"/>
      <c r="AP93" s="359"/>
      <c r="AQ93" s="359"/>
      <c r="AR93" s="359"/>
      <c r="AS93" s="359"/>
      <c r="AT93" s="359"/>
      <c r="AU93" s="359"/>
      <c r="AV93" s="359"/>
      <c r="AW93" s="359"/>
      <c r="AX93" s="1174" t="s">
        <v>43</v>
      </c>
      <c r="AZ93" s="1171" t="s">
        <v>42</v>
      </c>
      <c r="BA93" s="359"/>
      <c r="BB93" s="359"/>
      <c r="BC93" s="359"/>
      <c r="BD93" s="359"/>
      <c r="BE93" s="359"/>
      <c r="BF93" s="359"/>
      <c r="BG93" s="359"/>
      <c r="BH93" s="359"/>
      <c r="BI93" s="359"/>
      <c r="BJ93" s="1174" t="s">
        <v>43</v>
      </c>
      <c r="BL93" s="1171" t="s">
        <v>42</v>
      </c>
      <c r="BM93" s="359"/>
      <c r="BN93" s="359"/>
      <c r="BO93" s="359"/>
      <c r="BP93" s="359"/>
      <c r="BQ93" s="359"/>
      <c r="BR93" s="359"/>
      <c r="BS93" s="359"/>
      <c r="BT93" s="359"/>
      <c r="BU93" s="359"/>
      <c r="BV93" s="1174" t="s">
        <v>43</v>
      </c>
    </row>
    <row r="94" spans="2:74" ht="16" x14ac:dyDescent="0.2">
      <c r="B94" s="1227"/>
      <c r="C94" s="1229"/>
      <c r="D94" s="1172"/>
      <c r="E94" s="360"/>
      <c r="F94" s="360"/>
      <c r="G94" s="360"/>
      <c r="H94" s="360"/>
      <c r="I94" s="360"/>
      <c r="J94" s="360"/>
      <c r="K94" s="360"/>
      <c r="L94" s="360"/>
      <c r="M94" s="360"/>
      <c r="N94" s="1175"/>
      <c r="P94" s="1172"/>
      <c r="Q94" s="360"/>
      <c r="R94" s="360"/>
      <c r="S94" s="360"/>
      <c r="T94" s="360"/>
      <c r="U94" s="360"/>
      <c r="V94" s="360"/>
      <c r="W94" s="360"/>
      <c r="X94" s="360"/>
      <c r="Y94" s="360"/>
      <c r="Z94" s="1175"/>
      <c r="AB94" s="1172"/>
      <c r="AC94" s="360"/>
      <c r="AD94" s="360"/>
      <c r="AE94" s="360"/>
      <c r="AF94" s="360"/>
      <c r="AG94" s="360"/>
      <c r="AH94" s="360"/>
      <c r="AI94" s="360"/>
      <c r="AJ94" s="360"/>
      <c r="AK94" s="360"/>
      <c r="AL94" s="1175"/>
      <c r="AN94" s="1172"/>
      <c r="AO94" s="360"/>
      <c r="AP94" s="360"/>
      <c r="AQ94" s="360"/>
      <c r="AR94" s="360"/>
      <c r="AS94" s="360"/>
      <c r="AT94" s="360"/>
      <c r="AU94" s="360"/>
      <c r="AV94" s="360"/>
      <c r="AW94" s="360"/>
      <c r="AX94" s="1175"/>
      <c r="AZ94" s="1172"/>
      <c r="BA94" s="360"/>
      <c r="BB94" s="360"/>
      <c r="BC94" s="360"/>
      <c r="BD94" s="360"/>
      <c r="BE94" s="360"/>
      <c r="BF94" s="360"/>
      <c r="BG94" s="360"/>
      <c r="BH94" s="360"/>
      <c r="BI94" s="360"/>
      <c r="BJ94" s="1175"/>
      <c r="BL94" s="1172"/>
      <c r="BM94" s="360"/>
      <c r="BN94" s="360"/>
      <c r="BO94" s="360"/>
      <c r="BP94" s="360"/>
      <c r="BQ94" s="360"/>
      <c r="BR94" s="360"/>
      <c r="BS94" s="360"/>
      <c r="BT94" s="360"/>
      <c r="BU94" s="360"/>
      <c r="BV94" s="1175"/>
    </row>
    <row r="95" spans="2:74" ht="21" x14ac:dyDescent="0.25">
      <c r="B95" s="1227"/>
      <c r="C95" s="1229"/>
      <c r="D95" s="1172"/>
      <c r="E95" s="361" t="str">
        <f>E87</f>
        <v>Demande mensuelle</v>
      </c>
      <c r="F95" s="361" t="s">
        <v>44</v>
      </c>
      <c r="G95" s="361" t="str">
        <f>G87</f>
        <v>Achalandage mensuel</v>
      </c>
      <c r="H95" s="361" t="s">
        <v>45</v>
      </c>
      <c r="I95" s="361" t="s">
        <v>46</v>
      </c>
      <c r="J95" s="361" t="str">
        <f>J87</f>
        <v>Um/A</v>
      </c>
      <c r="K95" s="361" t="s">
        <v>45</v>
      </c>
      <c r="L95" s="361" t="str">
        <f>L87</f>
        <v>PmO</v>
      </c>
      <c r="M95" s="361" t="s">
        <v>49</v>
      </c>
      <c r="N95" s="1175"/>
      <c r="P95" s="1172"/>
      <c r="Q95" s="361" t="str">
        <f>Q87</f>
        <v>Demande mensuelle</v>
      </c>
      <c r="R95" s="361" t="s">
        <v>44</v>
      </c>
      <c r="S95" s="361" t="str">
        <f>S87</f>
        <v>Achalandage mensuel</v>
      </c>
      <c r="T95" s="361" t="s">
        <v>45</v>
      </c>
      <c r="U95" s="361" t="s">
        <v>46</v>
      </c>
      <c r="V95" s="361" t="str">
        <f>V87</f>
        <v>Um/A</v>
      </c>
      <c r="W95" s="361" t="s">
        <v>45</v>
      </c>
      <c r="X95" s="361" t="str">
        <f>X87</f>
        <v>PmO</v>
      </c>
      <c r="Y95" s="361" t="s">
        <v>49</v>
      </c>
      <c r="Z95" s="1175"/>
      <c r="AB95" s="1172"/>
      <c r="AC95" s="361" t="str">
        <f>AC87</f>
        <v>Demande mensuelle</v>
      </c>
      <c r="AD95" s="361" t="s">
        <v>44</v>
      </c>
      <c r="AE95" s="361" t="str">
        <f>AE87</f>
        <v>Achalandage mensuel</v>
      </c>
      <c r="AF95" s="361" t="s">
        <v>45</v>
      </c>
      <c r="AG95" s="361" t="s">
        <v>46</v>
      </c>
      <c r="AH95" s="361" t="str">
        <f>AH87</f>
        <v>Um/A</v>
      </c>
      <c r="AI95" s="361" t="s">
        <v>45</v>
      </c>
      <c r="AJ95" s="361" t="str">
        <f>AJ87</f>
        <v>PmO</v>
      </c>
      <c r="AK95" s="361" t="s">
        <v>49</v>
      </c>
      <c r="AL95" s="1175"/>
      <c r="AN95" s="1172"/>
      <c r="AO95" s="361" t="str">
        <f>AO87</f>
        <v>Demande mensuelle</v>
      </c>
      <c r="AP95" s="361" t="s">
        <v>44</v>
      </c>
      <c r="AQ95" s="361" t="str">
        <f>AQ87</f>
        <v>Achalandage mensuel</v>
      </c>
      <c r="AR95" s="361" t="s">
        <v>45</v>
      </c>
      <c r="AS95" s="361" t="s">
        <v>46</v>
      </c>
      <c r="AT95" s="361" t="str">
        <f>AT87</f>
        <v>Um/A</v>
      </c>
      <c r="AU95" s="361" t="s">
        <v>45</v>
      </c>
      <c r="AV95" s="361" t="str">
        <f>AV87</f>
        <v>PmO</v>
      </c>
      <c r="AW95" s="361" t="s">
        <v>49</v>
      </c>
      <c r="AX95" s="1175"/>
      <c r="AZ95" s="1172"/>
      <c r="BA95" s="361" t="str">
        <f>BA87</f>
        <v>Coût mensuel</v>
      </c>
      <c r="BB95" s="361" t="s">
        <v>44</v>
      </c>
      <c r="BC95" s="361" t="str">
        <f>BC87</f>
        <v>Achalandage mensuel</v>
      </c>
      <c r="BD95" s="361" t="s">
        <v>45</v>
      </c>
      <c r="BE95" s="361" t="s">
        <v>46</v>
      </c>
      <c r="BF95" s="361" t="str">
        <f>BF87</f>
        <v>Um/A</v>
      </c>
      <c r="BG95" s="361" t="s">
        <v>45</v>
      </c>
      <c r="BH95" s="361" t="str">
        <f>BH87</f>
        <v>CmO</v>
      </c>
      <c r="BI95" s="361" t="s">
        <v>49</v>
      </c>
      <c r="BJ95" s="1175"/>
      <c r="BL95" s="1172"/>
      <c r="BM95" s="361" t="str">
        <f>BM87</f>
        <v>Bénéfice mensuel</v>
      </c>
      <c r="BN95" s="361" t="s">
        <v>44</v>
      </c>
      <c r="BO95" s="361" t="str">
        <f>BO87</f>
        <v>Achalandage mensuel</v>
      </c>
      <c r="BP95" s="361" t="s">
        <v>45</v>
      </c>
      <c r="BQ95" s="361" t="s">
        <v>46</v>
      </c>
      <c r="BR95" s="361" t="str">
        <f>BR87</f>
        <v>Um/A</v>
      </c>
      <c r="BS95" s="361" t="s">
        <v>45</v>
      </c>
      <c r="BT95" s="361" t="str">
        <f>BT87</f>
        <v>BmO</v>
      </c>
      <c r="BU95" s="361" t="s">
        <v>49</v>
      </c>
      <c r="BV95" s="1175"/>
    </row>
    <row r="96" spans="2:74" ht="19" x14ac:dyDescent="0.25">
      <c r="B96" s="1227"/>
      <c r="C96" s="1229"/>
      <c r="D96" s="1172"/>
      <c r="E96" s="362" t="s">
        <v>2</v>
      </c>
      <c r="F96" s="363"/>
      <c r="G96" s="362"/>
      <c r="H96" s="363"/>
      <c r="I96" s="363"/>
      <c r="J96" s="363"/>
      <c r="K96" s="363"/>
      <c r="L96" s="363"/>
      <c r="M96" s="363"/>
      <c r="N96" s="1175"/>
      <c r="P96" s="1172"/>
      <c r="Q96" s="362" t="s">
        <v>2</v>
      </c>
      <c r="R96" s="363"/>
      <c r="S96" s="362"/>
      <c r="T96" s="363"/>
      <c r="U96" s="363"/>
      <c r="V96" s="363"/>
      <c r="W96" s="363"/>
      <c r="X96" s="363"/>
      <c r="Y96" s="363"/>
      <c r="Z96" s="1175"/>
      <c r="AB96" s="1172"/>
      <c r="AC96" s="362" t="s">
        <v>2</v>
      </c>
      <c r="AD96" s="363"/>
      <c r="AE96" s="362"/>
      <c r="AF96" s="363"/>
      <c r="AG96" s="363"/>
      <c r="AH96" s="363"/>
      <c r="AI96" s="363"/>
      <c r="AJ96" s="363"/>
      <c r="AK96" s="363"/>
      <c r="AL96" s="1175"/>
      <c r="AN96" s="1172"/>
      <c r="AO96" s="362" t="s">
        <v>2</v>
      </c>
      <c r="AP96" s="363"/>
      <c r="AQ96" s="362"/>
      <c r="AR96" s="363"/>
      <c r="AS96" s="363"/>
      <c r="AT96" s="363"/>
      <c r="AU96" s="363"/>
      <c r="AV96" s="363"/>
      <c r="AW96" s="363"/>
      <c r="AX96" s="1175"/>
      <c r="AZ96" s="1172"/>
      <c r="BA96" s="362" t="s">
        <v>2</v>
      </c>
      <c r="BB96" s="363"/>
      <c r="BC96" s="362"/>
      <c r="BD96" s="363"/>
      <c r="BE96" s="363"/>
      <c r="BF96" s="363"/>
      <c r="BG96" s="363"/>
      <c r="BH96" s="363"/>
      <c r="BI96" s="363"/>
      <c r="BJ96" s="1175"/>
      <c r="BL96" s="1172"/>
      <c r="BM96" s="362" t="s">
        <v>2</v>
      </c>
      <c r="BN96" s="363"/>
      <c r="BO96" s="362"/>
      <c r="BP96" s="363"/>
      <c r="BQ96" s="363"/>
      <c r="BR96" s="363"/>
      <c r="BS96" s="363"/>
      <c r="BT96" s="363"/>
      <c r="BU96" s="363"/>
      <c r="BV96" s="1175"/>
    </row>
    <row r="97" spans="2:74" ht="26" x14ac:dyDescent="0.3">
      <c r="B97" s="1227"/>
      <c r="C97" s="1229"/>
      <c r="D97" s="1172"/>
      <c r="E97" s="364" t="str">
        <f>E89</f>
        <v>D</v>
      </c>
      <c r="F97" s="365"/>
      <c r="G97" s="364" t="str">
        <f>G89</f>
        <v>A</v>
      </c>
      <c r="H97" s="365"/>
      <c r="I97" s="365"/>
      <c r="J97" s="364" t="str">
        <f>+J95</f>
        <v>Um/A</v>
      </c>
      <c r="K97" s="365"/>
      <c r="L97" s="364" t="str">
        <f>+L95</f>
        <v>PmO</v>
      </c>
      <c r="M97" s="365"/>
      <c r="N97" s="1175"/>
      <c r="P97" s="1172"/>
      <c r="Q97" s="364" t="str">
        <f>Q89</f>
        <v>D</v>
      </c>
      <c r="R97" s="365"/>
      <c r="S97" s="364" t="str">
        <f>S89</f>
        <v>A</v>
      </c>
      <c r="T97" s="365"/>
      <c r="U97" s="365"/>
      <c r="V97" s="364" t="str">
        <f>+V95</f>
        <v>Um/A</v>
      </c>
      <c r="W97" s="365"/>
      <c r="X97" s="364" t="str">
        <f>+X95</f>
        <v>PmO</v>
      </c>
      <c r="Y97" s="365"/>
      <c r="Z97" s="1175"/>
      <c r="AB97" s="1172"/>
      <c r="AC97" s="364" t="str">
        <f>AC89</f>
        <v>D</v>
      </c>
      <c r="AD97" s="365"/>
      <c r="AE97" s="364" t="str">
        <f>AE89</f>
        <v>A</v>
      </c>
      <c r="AF97" s="365"/>
      <c r="AG97" s="365"/>
      <c r="AH97" s="364" t="str">
        <f>+AH95</f>
        <v>Um/A</v>
      </c>
      <c r="AI97" s="365"/>
      <c r="AJ97" s="364" t="str">
        <f>+AJ95</f>
        <v>PmO</v>
      </c>
      <c r="AK97" s="365"/>
      <c r="AL97" s="1175"/>
      <c r="AN97" s="1172"/>
      <c r="AO97" s="364" t="str">
        <f>AO89</f>
        <v>D</v>
      </c>
      <c r="AP97" s="365"/>
      <c r="AQ97" s="364" t="str">
        <f>AQ89</f>
        <v>A</v>
      </c>
      <c r="AR97" s="365"/>
      <c r="AS97" s="365"/>
      <c r="AT97" s="364" t="str">
        <f>+AT95</f>
        <v>Um/A</v>
      </c>
      <c r="AU97" s="365"/>
      <c r="AV97" s="364" t="str">
        <f>+AV95</f>
        <v>PmO</v>
      </c>
      <c r="AW97" s="365"/>
      <c r="AX97" s="1175"/>
      <c r="AZ97" s="1172"/>
      <c r="BA97" s="364" t="str">
        <f>BA89</f>
        <v xml:space="preserve">C </v>
      </c>
      <c r="BB97" s="365"/>
      <c r="BC97" s="364" t="str">
        <f>BC89</f>
        <v>A</v>
      </c>
      <c r="BD97" s="365"/>
      <c r="BE97" s="365"/>
      <c r="BF97" s="364" t="str">
        <f>+BF95</f>
        <v>Um/A</v>
      </c>
      <c r="BG97" s="365"/>
      <c r="BH97" s="364" t="str">
        <f>+BH95</f>
        <v>CmO</v>
      </c>
      <c r="BI97" s="365"/>
      <c r="BJ97" s="1175"/>
      <c r="BL97" s="1172"/>
      <c r="BM97" s="364" t="str">
        <f>BM89</f>
        <v xml:space="preserve">B </v>
      </c>
      <c r="BN97" s="365"/>
      <c r="BO97" s="364" t="str">
        <f>BO89</f>
        <v>A</v>
      </c>
      <c r="BP97" s="365"/>
      <c r="BQ97" s="365"/>
      <c r="BR97" s="364" t="str">
        <f>+BR95</f>
        <v>Um/A</v>
      </c>
      <c r="BS97" s="365"/>
      <c r="BT97" s="364" t="str">
        <f>+BT95</f>
        <v>BmO</v>
      </c>
      <c r="BU97" s="365"/>
      <c r="BV97" s="1175"/>
    </row>
    <row r="98" spans="2:74" ht="21" x14ac:dyDescent="0.25">
      <c r="B98" s="1227"/>
      <c r="C98" s="1229"/>
      <c r="D98" s="1172"/>
      <c r="E98" s="338">
        <f>+Q98+AC98+AO98</f>
        <v>43815</v>
      </c>
      <c r="F98" s="361" t="s">
        <v>44</v>
      </c>
      <c r="G98" s="339">
        <f>'% Occupation'!O19</f>
        <v>4572</v>
      </c>
      <c r="H98" s="361" t="s">
        <v>45</v>
      </c>
      <c r="I98" s="361" t="s">
        <v>46</v>
      </c>
      <c r="J98" s="340">
        <f>+V98+AH98+AT98</f>
        <v>2</v>
      </c>
      <c r="K98" s="361" t="s">
        <v>45</v>
      </c>
      <c r="L98" s="341">
        <f>E98/G98/J98</f>
        <v>4.791666666666667</v>
      </c>
      <c r="M98" s="361" t="s">
        <v>49</v>
      </c>
      <c r="N98" s="1175"/>
      <c r="P98" s="1172"/>
      <c r="Q98" s="338">
        <f>+S98*(V98*X98)</f>
        <v>22021.800000000003</v>
      </c>
      <c r="R98" s="361" t="s">
        <v>44</v>
      </c>
      <c r="S98" s="339">
        <f>G98</f>
        <v>4572</v>
      </c>
      <c r="T98" s="361" t="s">
        <v>45</v>
      </c>
      <c r="U98" s="361" t="s">
        <v>46</v>
      </c>
      <c r="V98" s="376">
        <f>V90</f>
        <v>1</v>
      </c>
      <c r="W98" s="361" t="s">
        <v>45</v>
      </c>
      <c r="X98" s="377">
        <f>'Calcul CmO et PmO'!F494</f>
        <v>4.8166666666666673</v>
      </c>
      <c r="Y98" s="361" t="s">
        <v>49</v>
      </c>
      <c r="Z98" s="1175"/>
      <c r="AB98" s="1172"/>
      <c r="AC98" s="338">
        <f>+AE98*(AH98*AJ98)</f>
        <v>21793.200000000001</v>
      </c>
      <c r="AD98" s="361" t="s">
        <v>44</v>
      </c>
      <c r="AE98" s="339">
        <f>S98</f>
        <v>4572</v>
      </c>
      <c r="AF98" s="361" t="s">
        <v>45</v>
      </c>
      <c r="AG98" s="361" t="s">
        <v>46</v>
      </c>
      <c r="AH98" s="376">
        <f>AH90</f>
        <v>1</v>
      </c>
      <c r="AI98" s="361" t="s">
        <v>45</v>
      </c>
      <c r="AJ98" s="377">
        <f>'Calcul CmO et PmO'!F509</f>
        <v>4.7666666666666666</v>
      </c>
      <c r="AK98" s="361" t="s">
        <v>49</v>
      </c>
      <c r="AL98" s="1175"/>
      <c r="AN98" s="1172"/>
      <c r="AO98" s="338">
        <f>+AQ98*(AT98*AV98)</f>
        <v>0</v>
      </c>
      <c r="AP98" s="361" t="s">
        <v>44</v>
      </c>
      <c r="AQ98" s="339">
        <f>AE98</f>
        <v>4572</v>
      </c>
      <c r="AR98" s="361" t="s">
        <v>45</v>
      </c>
      <c r="AS98" s="361" t="s">
        <v>46</v>
      </c>
      <c r="AT98" s="376">
        <f>AT90</f>
        <v>0</v>
      </c>
      <c r="AU98" s="361" t="s">
        <v>45</v>
      </c>
      <c r="AV98" s="377">
        <f>AV90</f>
        <v>0</v>
      </c>
      <c r="AW98" s="361" t="s">
        <v>49</v>
      </c>
      <c r="AX98" s="1175"/>
      <c r="AZ98" s="1172"/>
      <c r="BA98" s="338">
        <f>'État des Résultats'!AL14-'État des Résultats'!AL45</f>
        <v>28815.084300000002</v>
      </c>
      <c r="BB98" s="361" t="s">
        <v>44</v>
      </c>
      <c r="BC98" s="339">
        <f>G98</f>
        <v>4572</v>
      </c>
      <c r="BD98" s="361" t="s">
        <v>45</v>
      </c>
      <c r="BE98" s="361" t="s">
        <v>46</v>
      </c>
      <c r="BF98" s="340">
        <f>J98</f>
        <v>2</v>
      </c>
      <c r="BG98" s="361" t="s">
        <v>45</v>
      </c>
      <c r="BH98" s="341">
        <f>BA98/BC98/BF98</f>
        <v>3.1512559383202103</v>
      </c>
      <c r="BI98" s="361" t="s">
        <v>49</v>
      </c>
      <c r="BJ98" s="1175"/>
      <c r="BL98" s="1172"/>
      <c r="BM98" s="338">
        <f>'État des Résultats'!AL45</f>
        <v>14999.9157</v>
      </c>
      <c r="BN98" s="361" t="s">
        <v>44</v>
      </c>
      <c r="BO98" s="339">
        <f>G98</f>
        <v>4572</v>
      </c>
      <c r="BP98" s="361" t="s">
        <v>45</v>
      </c>
      <c r="BQ98" s="361" t="s">
        <v>46</v>
      </c>
      <c r="BR98" s="340">
        <f>J98</f>
        <v>2</v>
      </c>
      <c r="BS98" s="361" t="s">
        <v>45</v>
      </c>
      <c r="BT98" s="341">
        <f>BM98/BO98/BR98</f>
        <v>1.6404107283464566</v>
      </c>
      <c r="BU98" s="361" t="s">
        <v>49</v>
      </c>
      <c r="BV98" s="1175"/>
    </row>
    <row r="99" spans="2:74" ht="17" thickBot="1" x14ac:dyDescent="0.25">
      <c r="B99" s="1228"/>
      <c r="C99" s="1229"/>
      <c r="D99" s="1173"/>
      <c r="E99" s="366"/>
      <c r="F99" s="366"/>
      <c r="G99" s="366"/>
      <c r="H99" s="366"/>
      <c r="I99" s="366"/>
      <c r="J99" s="366"/>
      <c r="K99" s="366"/>
      <c r="L99" s="366"/>
      <c r="M99" s="366"/>
      <c r="N99" s="1176"/>
      <c r="P99" s="1173"/>
      <c r="Q99" s="366"/>
      <c r="R99" s="366"/>
      <c r="S99" s="366"/>
      <c r="T99" s="366"/>
      <c r="U99" s="366"/>
      <c r="V99" s="366"/>
      <c r="W99" s="366"/>
      <c r="X99" s="366"/>
      <c r="Y99" s="366"/>
      <c r="Z99" s="1176"/>
      <c r="AB99" s="1173"/>
      <c r="AC99" s="366"/>
      <c r="AD99" s="366"/>
      <c r="AE99" s="366"/>
      <c r="AF99" s="366"/>
      <c r="AG99" s="366"/>
      <c r="AH99" s="366"/>
      <c r="AI99" s="366"/>
      <c r="AJ99" s="366"/>
      <c r="AK99" s="366"/>
      <c r="AL99" s="1176"/>
      <c r="AN99" s="1173"/>
      <c r="AO99" s="366"/>
      <c r="AP99" s="366"/>
      <c r="AQ99" s="366"/>
      <c r="AR99" s="366"/>
      <c r="AS99" s="366"/>
      <c r="AT99" s="366"/>
      <c r="AU99" s="366"/>
      <c r="AV99" s="366"/>
      <c r="AW99" s="366"/>
      <c r="AX99" s="1176"/>
      <c r="AZ99" s="1173"/>
      <c r="BA99" s="366"/>
      <c r="BB99" s="366"/>
      <c r="BC99" s="366"/>
      <c r="BD99" s="366"/>
      <c r="BE99" s="366"/>
      <c r="BF99" s="366"/>
      <c r="BG99" s="366"/>
      <c r="BH99" s="366"/>
      <c r="BI99" s="366"/>
      <c r="BJ99" s="1176"/>
      <c r="BL99" s="1173"/>
      <c r="BM99" s="366"/>
      <c r="BN99" s="366"/>
      <c r="BO99" s="366"/>
      <c r="BP99" s="366"/>
      <c r="BQ99" s="366"/>
      <c r="BR99" s="366"/>
      <c r="BS99" s="366"/>
      <c r="BT99" s="366"/>
      <c r="BU99" s="366"/>
      <c r="BV99" s="1176"/>
    </row>
    <row r="100" spans="2:74" ht="10" customHeight="1" thickBot="1" x14ac:dyDescent="0.2">
      <c r="C100" s="209"/>
    </row>
    <row r="101" spans="2:74" ht="17" thickTop="1" x14ac:dyDescent="0.2">
      <c r="B101" s="1212" t="s">
        <v>193</v>
      </c>
      <c r="C101" s="1218"/>
      <c r="D101" s="1195" t="s">
        <v>42</v>
      </c>
      <c r="E101" s="367"/>
      <c r="F101" s="367"/>
      <c r="G101" s="367"/>
      <c r="H101" s="367"/>
      <c r="I101" s="367"/>
      <c r="J101" s="367"/>
      <c r="K101" s="367"/>
      <c r="L101" s="367"/>
      <c r="M101" s="367"/>
      <c r="N101" s="1198" t="s">
        <v>43</v>
      </c>
      <c r="P101" s="1195" t="s">
        <v>42</v>
      </c>
      <c r="Q101" s="367"/>
      <c r="R101" s="367"/>
      <c r="S101" s="367"/>
      <c r="T101" s="367"/>
      <c r="U101" s="367"/>
      <c r="V101" s="367"/>
      <c r="W101" s="367"/>
      <c r="X101" s="367"/>
      <c r="Y101" s="367"/>
      <c r="Z101" s="1198" t="s">
        <v>43</v>
      </c>
      <c r="AB101" s="1195" t="s">
        <v>42</v>
      </c>
      <c r="AC101" s="367"/>
      <c r="AD101" s="367"/>
      <c r="AE101" s="367"/>
      <c r="AF101" s="367"/>
      <c r="AG101" s="367"/>
      <c r="AH101" s="367"/>
      <c r="AI101" s="367"/>
      <c r="AJ101" s="367"/>
      <c r="AK101" s="367"/>
      <c r="AL101" s="1198" t="s">
        <v>43</v>
      </c>
      <c r="AN101" s="1195" t="s">
        <v>42</v>
      </c>
      <c r="AO101" s="367"/>
      <c r="AP101" s="367"/>
      <c r="AQ101" s="367"/>
      <c r="AR101" s="367"/>
      <c r="AS101" s="367"/>
      <c r="AT101" s="367"/>
      <c r="AU101" s="367"/>
      <c r="AV101" s="367"/>
      <c r="AW101" s="367"/>
      <c r="AX101" s="1198" t="s">
        <v>43</v>
      </c>
      <c r="AZ101" s="1195" t="s">
        <v>42</v>
      </c>
      <c r="BA101" s="367"/>
      <c r="BB101" s="367"/>
      <c r="BC101" s="367"/>
      <c r="BD101" s="367"/>
      <c r="BE101" s="367"/>
      <c r="BF101" s="367"/>
      <c r="BG101" s="367"/>
      <c r="BH101" s="367"/>
      <c r="BI101" s="367"/>
      <c r="BJ101" s="1198" t="s">
        <v>43</v>
      </c>
      <c r="BL101" s="1195" t="s">
        <v>42</v>
      </c>
      <c r="BM101" s="367"/>
      <c r="BN101" s="367"/>
      <c r="BO101" s="367"/>
      <c r="BP101" s="367"/>
      <c r="BQ101" s="367"/>
      <c r="BR101" s="367"/>
      <c r="BS101" s="367"/>
      <c r="BT101" s="367"/>
      <c r="BU101" s="367"/>
      <c r="BV101" s="1198" t="s">
        <v>43</v>
      </c>
    </row>
    <row r="102" spans="2:74" ht="16" x14ac:dyDescent="0.2">
      <c r="B102" s="1213"/>
      <c r="C102" s="1218"/>
      <c r="D102" s="1196"/>
      <c r="E102" s="368"/>
      <c r="F102" s="368"/>
      <c r="G102" s="368"/>
      <c r="H102" s="368"/>
      <c r="I102" s="368"/>
      <c r="J102" s="368"/>
      <c r="K102" s="368"/>
      <c r="L102" s="368"/>
      <c r="M102" s="368"/>
      <c r="N102" s="1199"/>
      <c r="P102" s="1196"/>
      <c r="Q102" s="368"/>
      <c r="R102" s="368"/>
      <c r="S102" s="368"/>
      <c r="T102" s="368"/>
      <c r="U102" s="368"/>
      <c r="V102" s="368"/>
      <c r="W102" s="368"/>
      <c r="X102" s="368"/>
      <c r="Y102" s="368"/>
      <c r="Z102" s="1199"/>
      <c r="AB102" s="1196"/>
      <c r="AC102" s="368"/>
      <c r="AD102" s="368"/>
      <c r="AE102" s="368"/>
      <c r="AF102" s="368"/>
      <c r="AG102" s="368"/>
      <c r="AH102" s="368"/>
      <c r="AI102" s="368"/>
      <c r="AJ102" s="368"/>
      <c r="AK102" s="368"/>
      <c r="AL102" s="1199"/>
      <c r="AN102" s="1196"/>
      <c r="AO102" s="368"/>
      <c r="AP102" s="368"/>
      <c r="AQ102" s="368"/>
      <c r="AR102" s="368"/>
      <c r="AS102" s="368"/>
      <c r="AT102" s="368"/>
      <c r="AU102" s="368"/>
      <c r="AV102" s="368"/>
      <c r="AW102" s="368"/>
      <c r="AX102" s="1199"/>
      <c r="AZ102" s="1196"/>
      <c r="BA102" s="368"/>
      <c r="BB102" s="368"/>
      <c r="BC102" s="368"/>
      <c r="BD102" s="368"/>
      <c r="BE102" s="368"/>
      <c r="BF102" s="368"/>
      <c r="BG102" s="368"/>
      <c r="BH102" s="368"/>
      <c r="BI102" s="368"/>
      <c r="BJ102" s="1199"/>
      <c r="BL102" s="1196"/>
      <c r="BM102" s="368"/>
      <c r="BN102" s="368"/>
      <c r="BO102" s="368"/>
      <c r="BP102" s="368"/>
      <c r="BQ102" s="368"/>
      <c r="BR102" s="368"/>
      <c r="BS102" s="368"/>
      <c r="BT102" s="368"/>
      <c r="BU102" s="368"/>
      <c r="BV102" s="1199"/>
    </row>
    <row r="103" spans="2:74" ht="21" x14ac:dyDescent="0.25">
      <c r="B103" s="1213"/>
      <c r="C103" s="1218"/>
      <c r="D103" s="1196"/>
      <c r="E103" s="369" t="str">
        <f>E95</f>
        <v>Demande mensuelle</v>
      </c>
      <c r="F103" s="369" t="s">
        <v>44</v>
      </c>
      <c r="G103" s="369" t="s">
        <v>164</v>
      </c>
      <c r="H103" s="369" t="s">
        <v>45</v>
      </c>
      <c r="I103" s="369" t="s">
        <v>46</v>
      </c>
      <c r="J103" s="369" t="str">
        <f>J95</f>
        <v>Um/A</v>
      </c>
      <c r="K103" s="369" t="s">
        <v>45</v>
      </c>
      <c r="L103" s="369" t="str">
        <f>L95</f>
        <v>PmO</v>
      </c>
      <c r="M103" s="369" t="s">
        <v>49</v>
      </c>
      <c r="N103" s="1199"/>
      <c r="P103" s="1196"/>
      <c r="Q103" s="369" t="str">
        <f>E103</f>
        <v>Demande mensuelle</v>
      </c>
      <c r="R103" s="369" t="s">
        <v>44</v>
      </c>
      <c r="S103" s="369" t="str">
        <f>G103</f>
        <v>Achalandage annuelle</v>
      </c>
      <c r="T103" s="369" t="s">
        <v>45</v>
      </c>
      <c r="U103" s="369" t="s">
        <v>46</v>
      </c>
      <c r="V103" s="369" t="str">
        <f>J103</f>
        <v>Um/A</v>
      </c>
      <c r="W103" s="369" t="s">
        <v>45</v>
      </c>
      <c r="X103" s="369" t="str">
        <f>L103</f>
        <v>PmO</v>
      </c>
      <c r="Y103" s="369" t="s">
        <v>49</v>
      </c>
      <c r="Z103" s="1199"/>
      <c r="AB103" s="1196"/>
      <c r="AC103" s="369" t="str">
        <f>AC95</f>
        <v>Demande mensuelle</v>
      </c>
      <c r="AD103" s="369" t="s">
        <v>44</v>
      </c>
      <c r="AE103" s="369" t="str">
        <f>S103</f>
        <v>Achalandage annuelle</v>
      </c>
      <c r="AF103" s="369" t="s">
        <v>45</v>
      </c>
      <c r="AG103" s="369" t="s">
        <v>46</v>
      </c>
      <c r="AH103" s="369" t="str">
        <f>V103</f>
        <v>Um/A</v>
      </c>
      <c r="AI103" s="369" t="s">
        <v>45</v>
      </c>
      <c r="AJ103" s="369" t="str">
        <f>X103</f>
        <v>PmO</v>
      </c>
      <c r="AK103" s="369" t="s">
        <v>49</v>
      </c>
      <c r="AL103" s="1199"/>
      <c r="AN103" s="1196"/>
      <c r="AO103" s="369" t="str">
        <f>AC103</f>
        <v>Demande mensuelle</v>
      </c>
      <c r="AP103" s="369" t="s">
        <v>44</v>
      </c>
      <c r="AQ103" s="369" t="str">
        <f>AE103</f>
        <v>Achalandage annuelle</v>
      </c>
      <c r="AR103" s="369" t="s">
        <v>45</v>
      </c>
      <c r="AS103" s="369" t="s">
        <v>46</v>
      </c>
      <c r="AT103" s="369" t="str">
        <f>AH103</f>
        <v>Um/A</v>
      </c>
      <c r="AU103" s="369" t="s">
        <v>45</v>
      </c>
      <c r="AV103" s="369" t="str">
        <f>AJ103</f>
        <v>PmO</v>
      </c>
      <c r="AW103" s="369" t="s">
        <v>49</v>
      </c>
      <c r="AX103" s="1199"/>
      <c r="AZ103" s="1196"/>
      <c r="BA103" s="369" t="s">
        <v>230</v>
      </c>
      <c r="BB103" s="369" t="s">
        <v>44</v>
      </c>
      <c r="BC103" s="369" t="s">
        <v>164</v>
      </c>
      <c r="BD103" s="369" t="s">
        <v>45</v>
      </c>
      <c r="BE103" s="369" t="s">
        <v>46</v>
      </c>
      <c r="BF103" s="369" t="str">
        <f>AT103</f>
        <v>Um/A</v>
      </c>
      <c r="BG103" s="369" t="s">
        <v>45</v>
      </c>
      <c r="BH103" s="369" t="s">
        <v>232</v>
      </c>
      <c r="BI103" s="369" t="s">
        <v>49</v>
      </c>
      <c r="BJ103" s="1199"/>
      <c r="BL103" s="1196"/>
      <c r="BM103" s="369" t="s">
        <v>235</v>
      </c>
      <c r="BN103" s="369" t="s">
        <v>44</v>
      </c>
      <c r="BO103" s="369" t="str">
        <f>BC103</f>
        <v>Achalandage annuelle</v>
      </c>
      <c r="BP103" s="369" t="s">
        <v>45</v>
      </c>
      <c r="BQ103" s="369" t="s">
        <v>46</v>
      </c>
      <c r="BR103" s="369" t="str">
        <f>BF103</f>
        <v>Um/A</v>
      </c>
      <c r="BS103" s="369" t="s">
        <v>45</v>
      </c>
      <c r="BT103" s="369" t="s">
        <v>236</v>
      </c>
      <c r="BU103" s="369" t="s">
        <v>49</v>
      </c>
      <c r="BV103" s="1199"/>
    </row>
    <row r="104" spans="2:74" ht="19" x14ac:dyDescent="0.25">
      <c r="B104" s="1213"/>
      <c r="C104" s="1218"/>
      <c r="D104" s="1196"/>
      <c r="E104" s="370" t="s">
        <v>2</v>
      </c>
      <c r="F104" s="371"/>
      <c r="G104" s="370"/>
      <c r="H104" s="371"/>
      <c r="I104" s="371"/>
      <c r="J104" s="371"/>
      <c r="K104" s="371"/>
      <c r="L104" s="371"/>
      <c r="M104" s="371"/>
      <c r="N104" s="1199"/>
      <c r="P104" s="1196"/>
      <c r="Q104" s="370" t="s">
        <v>2</v>
      </c>
      <c r="R104" s="371"/>
      <c r="S104" s="370"/>
      <c r="T104" s="371"/>
      <c r="U104" s="371"/>
      <c r="V104" s="371"/>
      <c r="W104" s="371"/>
      <c r="X104" s="371"/>
      <c r="Y104" s="371"/>
      <c r="Z104" s="1199"/>
      <c r="AB104" s="1196"/>
      <c r="AC104" s="370" t="s">
        <v>2</v>
      </c>
      <c r="AD104" s="371"/>
      <c r="AE104" s="370"/>
      <c r="AF104" s="371"/>
      <c r="AG104" s="371"/>
      <c r="AH104" s="371"/>
      <c r="AI104" s="371"/>
      <c r="AJ104" s="371"/>
      <c r="AK104" s="371"/>
      <c r="AL104" s="1199"/>
      <c r="AN104" s="1196"/>
      <c r="AO104" s="370" t="s">
        <v>2</v>
      </c>
      <c r="AP104" s="371"/>
      <c r="AQ104" s="370"/>
      <c r="AR104" s="371"/>
      <c r="AS104" s="371"/>
      <c r="AT104" s="371"/>
      <c r="AU104" s="371"/>
      <c r="AV104" s="371"/>
      <c r="AW104" s="371"/>
      <c r="AX104" s="1199"/>
      <c r="AZ104" s="1196"/>
      <c r="BA104" s="370" t="s">
        <v>2</v>
      </c>
      <c r="BB104" s="371"/>
      <c r="BC104" s="370"/>
      <c r="BD104" s="371"/>
      <c r="BE104" s="371"/>
      <c r="BF104" s="371"/>
      <c r="BG104" s="371"/>
      <c r="BH104" s="371"/>
      <c r="BI104" s="371"/>
      <c r="BJ104" s="1199"/>
      <c r="BL104" s="1196"/>
      <c r="BM104" s="370" t="s">
        <v>2</v>
      </c>
      <c r="BN104" s="371"/>
      <c r="BO104" s="370"/>
      <c r="BP104" s="371"/>
      <c r="BQ104" s="371"/>
      <c r="BR104" s="371"/>
      <c r="BS104" s="371"/>
      <c r="BT104" s="371"/>
      <c r="BU104" s="371"/>
      <c r="BV104" s="1199"/>
    </row>
    <row r="105" spans="2:74" ht="26" x14ac:dyDescent="0.3">
      <c r="B105" s="1213"/>
      <c r="C105" s="1218"/>
      <c r="D105" s="1196"/>
      <c r="E105" s="372" t="str">
        <f>E97</f>
        <v>D</v>
      </c>
      <c r="F105" s="373"/>
      <c r="G105" s="372" t="str">
        <f>G97</f>
        <v>A</v>
      </c>
      <c r="H105" s="373"/>
      <c r="I105" s="373"/>
      <c r="J105" s="372" t="str">
        <f>J103</f>
        <v>Um/A</v>
      </c>
      <c r="K105" s="373"/>
      <c r="L105" s="372" t="str">
        <f>L103</f>
        <v>PmO</v>
      </c>
      <c r="M105" s="373"/>
      <c r="N105" s="1199"/>
      <c r="P105" s="1196"/>
      <c r="Q105" s="372" t="str">
        <f>E105</f>
        <v>D</v>
      </c>
      <c r="R105" s="373"/>
      <c r="S105" s="372" t="str">
        <f>G105</f>
        <v>A</v>
      </c>
      <c r="T105" s="373"/>
      <c r="U105" s="373"/>
      <c r="V105" s="372" t="str">
        <f>V103</f>
        <v>Um/A</v>
      </c>
      <c r="W105" s="373"/>
      <c r="X105" s="372" t="str">
        <f>X103</f>
        <v>PmO</v>
      </c>
      <c r="Y105" s="373"/>
      <c r="Z105" s="1199"/>
      <c r="AB105" s="1196"/>
      <c r="AC105" s="372" t="str">
        <f>AC97</f>
        <v>D</v>
      </c>
      <c r="AD105" s="373"/>
      <c r="AE105" s="372" t="str">
        <f>S105</f>
        <v>A</v>
      </c>
      <c r="AF105" s="373"/>
      <c r="AG105" s="373"/>
      <c r="AH105" s="372" t="str">
        <f>AH103</f>
        <v>Um/A</v>
      </c>
      <c r="AI105" s="373"/>
      <c r="AJ105" s="372" t="str">
        <f>AJ103</f>
        <v>PmO</v>
      </c>
      <c r="AK105" s="373"/>
      <c r="AL105" s="1199"/>
      <c r="AN105" s="1196"/>
      <c r="AO105" s="372" t="str">
        <f>AC105</f>
        <v>D</v>
      </c>
      <c r="AP105" s="373"/>
      <c r="AQ105" s="372" t="str">
        <f>AE105</f>
        <v>A</v>
      </c>
      <c r="AR105" s="373"/>
      <c r="AS105" s="373"/>
      <c r="AT105" s="372" t="str">
        <f>AT103</f>
        <v>Um/A</v>
      </c>
      <c r="AU105" s="373"/>
      <c r="AV105" s="372" t="str">
        <f>AV103</f>
        <v>PmO</v>
      </c>
      <c r="AW105" s="373"/>
      <c r="AX105" s="1199"/>
      <c r="AZ105" s="1196"/>
      <c r="BA105" s="372" t="s">
        <v>233</v>
      </c>
      <c r="BB105" s="373"/>
      <c r="BC105" s="372" t="s">
        <v>50</v>
      </c>
      <c r="BD105" s="373"/>
      <c r="BE105" s="373"/>
      <c r="BF105" s="372" t="str">
        <f>BF103</f>
        <v>Um/A</v>
      </c>
      <c r="BG105" s="373"/>
      <c r="BH105" s="372" t="str">
        <f>+BH103</f>
        <v>CmO</v>
      </c>
      <c r="BI105" s="373"/>
      <c r="BJ105" s="1199"/>
      <c r="BL105" s="1196"/>
      <c r="BM105" s="372" t="s">
        <v>234</v>
      </c>
      <c r="BN105" s="373"/>
      <c r="BO105" s="372" t="str">
        <f>BC105</f>
        <v>A</v>
      </c>
      <c r="BP105" s="373"/>
      <c r="BQ105" s="373"/>
      <c r="BR105" s="372" t="str">
        <f>BR103</f>
        <v>Um/A</v>
      </c>
      <c r="BS105" s="373"/>
      <c r="BT105" s="372" t="str">
        <f>+BT103</f>
        <v>BmO</v>
      </c>
      <c r="BU105" s="373"/>
      <c r="BV105" s="1199"/>
    </row>
    <row r="106" spans="2:74" ht="21" x14ac:dyDescent="0.25">
      <c r="B106" s="1213"/>
      <c r="C106" s="1218"/>
      <c r="D106" s="1196"/>
      <c r="E106" s="338">
        <f>+Q106+AC106+AO106</f>
        <v>498333.33333333337</v>
      </c>
      <c r="F106" s="369" t="s">
        <v>44</v>
      </c>
      <c r="G106" s="339">
        <f>+G10+G18+G26+G34+G42+G50+G58+G66+G74+G82+G90+G98</f>
        <v>52000</v>
      </c>
      <c r="H106" s="369" t="s">
        <v>45</v>
      </c>
      <c r="I106" s="369" t="s">
        <v>46</v>
      </c>
      <c r="J106" s="340">
        <f>+V106+AH106+AT106</f>
        <v>2</v>
      </c>
      <c r="K106" s="369" t="s">
        <v>45</v>
      </c>
      <c r="L106" s="341">
        <f>E106/G106/J106</f>
        <v>4.791666666666667</v>
      </c>
      <c r="M106" s="369" t="s">
        <v>49</v>
      </c>
      <c r="N106" s="1199"/>
      <c r="P106" s="1196"/>
      <c r="Q106" s="378">
        <f>+Q10+Q18+Q26+Q34+Q42+Q50+Q58+Q66+Q74+Q82+Q90+Q98</f>
        <v>250466.66666666669</v>
      </c>
      <c r="R106" s="369" t="s">
        <v>44</v>
      </c>
      <c r="S106" s="339">
        <f>+S10+S18+S26+S34+S42+S50+S58+S66+S74+S82+S90+S98</f>
        <v>52000</v>
      </c>
      <c r="T106" s="369" t="s">
        <v>45</v>
      </c>
      <c r="U106" s="369" t="s">
        <v>46</v>
      </c>
      <c r="V106" s="340">
        <f>+(V10+V18+V26+V34+V42+V50+V58+V66+V74+V82+V90+V98)/12</f>
        <v>1</v>
      </c>
      <c r="W106" s="369" t="s">
        <v>45</v>
      </c>
      <c r="X106" s="341">
        <f>Q106/S106/V106</f>
        <v>4.8166666666666673</v>
      </c>
      <c r="Y106" s="369" t="s">
        <v>49</v>
      </c>
      <c r="Z106" s="1199"/>
      <c r="AB106" s="1196"/>
      <c r="AC106" s="378">
        <f>+AC10+AC18+AC26+AC34+AC42+AC50+AC58+AC66+AC74+AC82+AC90+AC98</f>
        <v>247866.66666666669</v>
      </c>
      <c r="AD106" s="369" t="s">
        <v>44</v>
      </c>
      <c r="AE106" s="339">
        <f>+AE10+AE18+AE26+AE34+AE42+AE50+AE58+AE66+AE74+AE82+AE90+AE98</f>
        <v>52000</v>
      </c>
      <c r="AF106" s="369" t="s">
        <v>45</v>
      </c>
      <c r="AG106" s="369" t="s">
        <v>46</v>
      </c>
      <c r="AH106" s="340">
        <f>+(AH10+AH18+AH26+AH34+AH42+AH50+AH58+AH66+AH74+AH82+AH90+AH98)/12</f>
        <v>1</v>
      </c>
      <c r="AI106" s="369" t="s">
        <v>45</v>
      </c>
      <c r="AJ106" s="341">
        <f>AC106/AE106/AH106</f>
        <v>4.7666666666666666</v>
      </c>
      <c r="AK106" s="369" t="s">
        <v>49</v>
      </c>
      <c r="AL106" s="1199"/>
      <c r="AN106" s="1196"/>
      <c r="AO106" s="378">
        <f>+AO10+AO18+AO26+AO34+AO42+AO50+AO58+AO66+AO74+AO82+AO90+AO98</f>
        <v>0</v>
      </c>
      <c r="AP106" s="369" t="s">
        <v>44</v>
      </c>
      <c r="AQ106" s="339">
        <f>+AQ10+AQ18+AQ26+AQ34+AQ42+AQ50+AQ58+AQ66+AQ74+AQ82+AQ90+AQ98</f>
        <v>52000</v>
      </c>
      <c r="AR106" s="369" t="s">
        <v>45</v>
      </c>
      <c r="AS106" s="369" t="s">
        <v>46</v>
      </c>
      <c r="AT106" s="340">
        <f>+(AT10+AT18+AT26+AT34+AT42+AT50+AT58+AT66+AT74+AT82+AT90+AT98)/12</f>
        <v>0</v>
      </c>
      <c r="AU106" s="369" t="s">
        <v>45</v>
      </c>
      <c r="AV106" s="341" t="e">
        <f>AO106/AQ106/AT106</f>
        <v>#DIV/0!</v>
      </c>
      <c r="AW106" s="369" t="s">
        <v>49</v>
      </c>
      <c r="AX106" s="1199"/>
      <c r="AZ106" s="1196"/>
      <c r="BA106" s="378">
        <f>+('État des Résultats'!AP14-'État des Résultats'!AP45)</f>
        <v>348279.35343333328</v>
      </c>
      <c r="BB106" s="369" t="s">
        <v>44</v>
      </c>
      <c r="BC106" s="339">
        <f>G106</f>
        <v>52000</v>
      </c>
      <c r="BD106" s="369" t="s">
        <v>45</v>
      </c>
      <c r="BE106" s="369" t="s">
        <v>46</v>
      </c>
      <c r="BF106" s="340">
        <f>J106</f>
        <v>2</v>
      </c>
      <c r="BG106" s="369" t="s">
        <v>45</v>
      </c>
      <c r="BH106" s="341">
        <f>BA106/BC106/BF106</f>
        <v>3.3488399368589739</v>
      </c>
      <c r="BI106" s="369" t="s">
        <v>49</v>
      </c>
      <c r="BJ106" s="1199"/>
      <c r="BL106" s="1196"/>
      <c r="BM106" s="378">
        <f>'État des Résultats'!AP45</f>
        <v>150053.97990000003</v>
      </c>
      <c r="BN106" s="369" t="s">
        <v>44</v>
      </c>
      <c r="BO106" s="339">
        <f>S106</f>
        <v>52000</v>
      </c>
      <c r="BP106" s="369" t="s">
        <v>45</v>
      </c>
      <c r="BQ106" s="369" t="s">
        <v>46</v>
      </c>
      <c r="BR106" s="340">
        <f>J106</f>
        <v>2</v>
      </c>
      <c r="BS106" s="369" t="s">
        <v>45</v>
      </c>
      <c r="BT106" s="341">
        <f>BM106/BO106/BR106</f>
        <v>1.4428267298076927</v>
      </c>
      <c r="BU106" s="369" t="s">
        <v>49</v>
      </c>
      <c r="BV106" s="1199"/>
    </row>
    <row r="107" spans="2:74" ht="17" thickBot="1" x14ac:dyDescent="0.25">
      <c r="B107" s="1213"/>
      <c r="C107" s="1218"/>
      <c r="D107" s="1197"/>
      <c r="E107" s="374"/>
      <c r="F107" s="374"/>
      <c r="G107" s="374"/>
      <c r="H107" s="374"/>
      <c r="I107" s="374"/>
      <c r="J107" s="374"/>
      <c r="K107" s="374"/>
      <c r="L107" s="374"/>
      <c r="M107" s="374"/>
      <c r="N107" s="1200"/>
      <c r="P107" s="1197"/>
      <c r="Q107" s="374"/>
      <c r="R107" s="374"/>
      <c r="S107" s="374"/>
      <c r="T107" s="374"/>
      <c r="U107" s="374"/>
      <c r="V107" s="374"/>
      <c r="W107" s="374"/>
      <c r="X107" s="374"/>
      <c r="Y107" s="374"/>
      <c r="Z107" s="1200"/>
      <c r="AB107" s="1197"/>
      <c r="AC107" s="374"/>
      <c r="AD107" s="374"/>
      <c r="AE107" s="374"/>
      <c r="AF107" s="374"/>
      <c r="AG107" s="374"/>
      <c r="AH107" s="374"/>
      <c r="AI107" s="374"/>
      <c r="AJ107" s="374"/>
      <c r="AK107" s="374"/>
      <c r="AL107" s="1200"/>
      <c r="AN107" s="1197"/>
      <c r="AO107" s="374"/>
      <c r="AP107" s="374"/>
      <c r="AQ107" s="374"/>
      <c r="AR107" s="374"/>
      <c r="AS107" s="374"/>
      <c r="AT107" s="374"/>
      <c r="AU107" s="374"/>
      <c r="AV107" s="374"/>
      <c r="AW107" s="374"/>
      <c r="AX107" s="1200"/>
      <c r="AZ107" s="1197"/>
      <c r="BA107" s="374"/>
      <c r="BB107" s="374"/>
      <c r="BC107" s="374"/>
      <c r="BD107" s="374"/>
      <c r="BE107" s="374"/>
      <c r="BF107" s="374"/>
      <c r="BG107" s="374"/>
      <c r="BH107" s="374"/>
      <c r="BI107" s="374"/>
      <c r="BJ107" s="1200"/>
      <c r="BL107" s="1197"/>
      <c r="BM107" s="374"/>
      <c r="BN107" s="374"/>
      <c r="BO107" s="374"/>
      <c r="BP107" s="374"/>
      <c r="BQ107" s="374"/>
      <c r="BR107" s="374"/>
      <c r="BS107" s="374"/>
      <c r="BT107" s="374"/>
      <c r="BU107" s="374"/>
      <c r="BV107" s="1200"/>
    </row>
    <row r="108" spans="2:74" ht="5" customHeight="1" thickTop="1" thickBot="1" x14ac:dyDescent="0.2">
      <c r="B108" s="1213"/>
      <c r="C108" s="209"/>
    </row>
    <row r="109" spans="2:74" ht="17" thickTop="1" x14ac:dyDescent="0.2">
      <c r="B109" s="1213"/>
      <c r="C109" s="1218"/>
      <c r="D109" s="1195" t="s">
        <v>42</v>
      </c>
      <c r="E109" s="367"/>
      <c r="F109" s="367"/>
      <c r="G109" s="367"/>
      <c r="H109" s="367"/>
      <c r="I109" s="367"/>
      <c r="J109" s="367"/>
      <c r="K109" s="367"/>
      <c r="L109" s="367"/>
      <c r="M109" s="367"/>
      <c r="N109" s="1198" t="s">
        <v>43</v>
      </c>
      <c r="P109" s="1195" t="s">
        <v>42</v>
      </c>
      <c r="Q109" s="367"/>
      <c r="R109" s="367"/>
      <c r="S109" s="367"/>
      <c r="T109" s="367"/>
      <c r="U109" s="367"/>
      <c r="V109" s="367"/>
      <c r="W109" s="367"/>
      <c r="X109" s="367"/>
      <c r="Y109" s="367"/>
      <c r="Z109" s="1198" t="s">
        <v>43</v>
      </c>
      <c r="AB109" s="1195" t="s">
        <v>42</v>
      </c>
      <c r="AC109" s="367"/>
      <c r="AD109" s="367"/>
      <c r="AE109" s="367"/>
      <c r="AF109" s="367"/>
      <c r="AG109" s="367"/>
      <c r="AH109" s="367"/>
      <c r="AI109" s="367"/>
      <c r="AJ109" s="367"/>
      <c r="AK109" s="367"/>
      <c r="AL109" s="1198" t="s">
        <v>43</v>
      </c>
      <c r="AN109" s="1195" t="s">
        <v>42</v>
      </c>
      <c r="AO109" s="367"/>
      <c r="AP109" s="367"/>
      <c r="AQ109" s="367"/>
      <c r="AR109" s="367"/>
      <c r="AS109" s="367"/>
      <c r="AT109" s="367"/>
      <c r="AU109" s="367"/>
      <c r="AV109" s="367"/>
      <c r="AW109" s="367"/>
      <c r="AX109" s="1198" t="s">
        <v>43</v>
      </c>
      <c r="AZ109" s="1195" t="s">
        <v>42</v>
      </c>
      <c r="BA109" s="367"/>
      <c r="BB109" s="367"/>
      <c r="BC109" s="367"/>
      <c r="BD109" s="367"/>
      <c r="BE109" s="367"/>
      <c r="BF109" s="367"/>
      <c r="BG109" s="367"/>
      <c r="BH109" s="367"/>
      <c r="BI109" s="367"/>
      <c r="BJ109" s="1198" t="s">
        <v>43</v>
      </c>
      <c r="BL109" s="1195" t="s">
        <v>42</v>
      </c>
      <c r="BM109" s="367"/>
      <c r="BN109" s="367"/>
      <c r="BO109" s="367"/>
      <c r="BP109" s="367"/>
      <c r="BQ109" s="367"/>
      <c r="BR109" s="367"/>
      <c r="BS109" s="367"/>
      <c r="BT109" s="367"/>
      <c r="BU109" s="367"/>
      <c r="BV109" s="1198" t="s">
        <v>43</v>
      </c>
    </row>
    <row r="110" spans="2:74" ht="16" x14ac:dyDescent="0.2">
      <c r="B110" s="1213"/>
      <c r="C110" s="1218"/>
      <c r="D110" s="1196"/>
      <c r="E110" s="368"/>
      <c r="F110" s="368"/>
      <c r="G110" s="368"/>
      <c r="H110" s="368"/>
      <c r="I110" s="368"/>
      <c r="J110" s="368"/>
      <c r="K110" s="368"/>
      <c r="L110" s="368"/>
      <c r="M110" s="368"/>
      <c r="N110" s="1199"/>
      <c r="P110" s="1196"/>
      <c r="Q110" s="368"/>
      <c r="R110" s="368"/>
      <c r="S110" s="368"/>
      <c r="T110" s="368"/>
      <c r="U110" s="368"/>
      <c r="V110" s="368"/>
      <c r="W110" s="368"/>
      <c r="X110" s="368"/>
      <c r="Y110" s="368"/>
      <c r="Z110" s="1199"/>
      <c r="AB110" s="1196"/>
      <c r="AC110" s="368"/>
      <c r="AD110" s="368"/>
      <c r="AE110" s="368"/>
      <c r="AF110" s="368"/>
      <c r="AG110" s="368"/>
      <c r="AH110" s="368"/>
      <c r="AI110" s="368"/>
      <c r="AJ110" s="368"/>
      <c r="AK110" s="368"/>
      <c r="AL110" s="1199"/>
      <c r="AN110" s="1196"/>
      <c r="AO110" s="368"/>
      <c r="AP110" s="368"/>
      <c r="AQ110" s="368"/>
      <c r="AR110" s="368"/>
      <c r="AS110" s="368"/>
      <c r="AT110" s="368"/>
      <c r="AU110" s="368"/>
      <c r="AV110" s="368"/>
      <c r="AW110" s="368"/>
      <c r="AX110" s="1199"/>
      <c r="AZ110" s="1196"/>
      <c r="BA110" s="368"/>
      <c r="BB110" s="368"/>
      <c r="BC110" s="368"/>
      <c r="BD110" s="368"/>
      <c r="BE110" s="368"/>
      <c r="BF110" s="368"/>
      <c r="BG110" s="368"/>
      <c r="BH110" s="368"/>
      <c r="BI110" s="368"/>
      <c r="BJ110" s="1199"/>
      <c r="BL110" s="1196"/>
      <c r="BM110" s="368"/>
      <c r="BN110" s="368"/>
      <c r="BO110" s="368"/>
      <c r="BP110" s="368"/>
      <c r="BQ110" s="368"/>
      <c r="BR110" s="368"/>
      <c r="BS110" s="368"/>
      <c r="BT110" s="368"/>
      <c r="BU110" s="368"/>
      <c r="BV110" s="1199"/>
    </row>
    <row r="111" spans="2:74" ht="21" x14ac:dyDescent="0.25">
      <c r="B111" s="1213"/>
      <c r="C111" s="1218"/>
      <c r="D111" s="1196"/>
      <c r="E111" s="369" t="str">
        <f>E103</f>
        <v>Demande mensuelle</v>
      </c>
      <c r="F111" s="369" t="s">
        <v>44</v>
      </c>
      <c r="G111" s="369" t="str">
        <f>G103</f>
        <v>Achalandage annuelle</v>
      </c>
      <c r="H111" s="369" t="s">
        <v>45</v>
      </c>
      <c r="I111" s="369" t="s">
        <v>46</v>
      </c>
      <c r="J111" s="1201" t="s">
        <v>132</v>
      </c>
      <c r="K111" s="1202"/>
      <c r="L111" s="1202"/>
      <c r="M111" s="369" t="s">
        <v>49</v>
      </c>
      <c r="N111" s="1199"/>
      <c r="P111" s="1196"/>
      <c r="Q111" s="369" t="str">
        <f>Q103</f>
        <v>Demande mensuelle</v>
      </c>
      <c r="R111" s="369" t="s">
        <v>44</v>
      </c>
      <c r="S111" s="369" t="str">
        <f>S103</f>
        <v>Achalandage annuelle</v>
      </c>
      <c r="T111" s="369" t="s">
        <v>45</v>
      </c>
      <c r="U111" s="369" t="s">
        <v>46</v>
      </c>
      <c r="V111" s="1201" t="str">
        <f>J111</f>
        <v>Dm/A</v>
      </c>
      <c r="W111" s="1202"/>
      <c r="X111" s="1202"/>
      <c r="Y111" s="369" t="s">
        <v>49</v>
      </c>
      <c r="Z111" s="1199"/>
      <c r="AB111" s="1196"/>
      <c r="AC111" s="369" t="str">
        <f>AC103</f>
        <v>Demande mensuelle</v>
      </c>
      <c r="AD111" s="369" t="s">
        <v>44</v>
      </c>
      <c r="AE111" s="369" t="str">
        <f>AE103</f>
        <v>Achalandage annuelle</v>
      </c>
      <c r="AF111" s="369" t="s">
        <v>45</v>
      </c>
      <c r="AG111" s="369" t="s">
        <v>46</v>
      </c>
      <c r="AH111" s="1201" t="str">
        <f>V111</f>
        <v>Dm/A</v>
      </c>
      <c r="AI111" s="1202"/>
      <c r="AJ111" s="1202"/>
      <c r="AK111" s="369" t="s">
        <v>49</v>
      </c>
      <c r="AL111" s="1199"/>
      <c r="AN111" s="1196"/>
      <c r="AO111" s="369" t="str">
        <f>AO103</f>
        <v>Demande mensuelle</v>
      </c>
      <c r="AP111" s="369" t="s">
        <v>44</v>
      </c>
      <c r="AQ111" s="369" t="str">
        <f>AQ103</f>
        <v>Achalandage annuelle</v>
      </c>
      <c r="AR111" s="369" t="s">
        <v>45</v>
      </c>
      <c r="AS111" s="369" t="s">
        <v>46</v>
      </c>
      <c r="AT111" s="1201" t="str">
        <f>AH111</f>
        <v>Dm/A</v>
      </c>
      <c r="AU111" s="1202"/>
      <c r="AV111" s="1202"/>
      <c r="AW111" s="369" t="s">
        <v>49</v>
      </c>
      <c r="AX111" s="1199"/>
      <c r="AZ111" s="1196"/>
      <c r="BA111" s="369" t="str">
        <f>BA103</f>
        <v>Coût annuel</v>
      </c>
      <c r="BB111" s="369" t="s">
        <v>44</v>
      </c>
      <c r="BC111" s="369" t="str">
        <f>BC103</f>
        <v>Achalandage annuelle</v>
      </c>
      <c r="BD111" s="369" t="s">
        <v>45</v>
      </c>
      <c r="BE111" s="369" t="s">
        <v>46</v>
      </c>
      <c r="BF111" s="1201" t="s">
        <v>239</v>
      </c>
      <c r="BG111" s="1202"/>
      <c r="BH111" s="1202"/>
      <c r="BI111" s="369" t="s">
        <v>49</v>
      </c>
      <c r="BJ111" s="1199"/>
      <c r="BL111" s="1196"/>
      <c r="BM111" s="369" t="str">
        <f>BM103</f>
        <v>Bénéfice annuel</v>
      </c>
      <c r="BN111" s="369" t="s">
        <v>44</v>
      </c>
      <c r="BO111" s="369" t="str">
        <f>BO103</f>
        <v>Achalandage annuelle</v>
      </c>
      <c r="BP111" s="369" t="s">
        <v>45</v>
      </c>
      <c r="BQ111" s="369" t="s">
        <v>46</v>
      </c>
      <c r="BR111" s="1201" t="s">
        <v>240</v>
      </c>
      <c r="BS111" s="1202"/>
      <c r="BT111" s="1202"/>
      <c r="BU111" s="369" t="s">
        <v>49</v>
      </c>
      <c r="BV111" s="1199"/>
    </row>
    <row r="112" spans="2:74" ht="19" x14ac:dyDescent="0.25">
      <c r="B112" s="1213"/>
      <c r="C112" s="1218"/>
      <c r="D112" s="1196"/>
      <c r="E112" s="370" t="s">
        <v>2</v>
      </c>
      <c r="F112" s="371"/>
      <c r="G112" s="370"/>
      <c r="H112" s="371"/>
      <c r="I112" s="371"/>
      <c r="J112" s="371"/>
      <c r="K112" s="371"/>
      <c r="L112" s="371"/>
      <c r="M112" s="371"/>
      <c r="N112" s="1199"/>
      <c r="P112" s="1196"/>
      <c r="Q112" s="370" t="s">
        <v>2</v>
      </c>
      <c r="R112" s="371"/>
      <c r="S112" s="370"/>
      <c r="T112" s="371"/>
      <c r="U112" s="371"/>
      <c r="V112" s="371"/>
      <c r="W112" s="371"/>
      <c r="X112" s="371"/>
      <c r="Y112" s="371"/>
      <c r="Z112" s="1199"/>
      <c r="AB112" s="1196"/>
      <c r="AC112" s="370" t="s">
        <v>2</v>
      </c>
      <c r="AD112" s="371"/>
      <c r="AE112" s="370"/>
      <c r="AF112" s="371"/>
      <c r="AG112" s="371"/>
      <c r="AH112" s="371"/>
      <c r="AI112" s="371"/>
      <c r="AJ112" s="371"/>
      <c r="AK112" s="371"/>
      <c r="AL112" s="1199"/>
      <c r="AN112" s="1196"/>
      <c r="AO112" s="370" t="s">
        <v>2</v>
      </c>
      <c r="AP112" s="371"/>
      <c r="AQ112" s="370"/>
      <c r="AR112" s="371"/>
      <c r="AS112" s="371"/>
      <c r="AT112" s="371"/>
      <c r="AU112" s="371"/>
      <c r="AV112" s="371"/>
      <c r="AW112" s="371"/>
      <c r="AX112" s="1199"/>
      <c r="AZ112" s="1196"/>
      <c r="BA112" s="370" t="s">
        <v>2</v>
      </c>
      <c r="BB112" s="371"/>
      <c r="BC112" s="370"/>
      <c r="BD112" s="371"/>
      <c r="BE112" s="371"/>
      <c r="BF112" s="371"/>
      <c r="BG112" s="371"/>
      <c r="BH112" s="371"/>
      <c r="BI112" s="371"/>
      <c r="BJ112" s="1199"/>
      <c r="BL112" s="1196"/>
      <c r="BM112" s="370" t="s">
        <v>2</v>
      </c>
      <c r="BN112" s="371"/>
      <c r="BO112" s="370"/>
      <c r="BP112" s="371"/>
      <c r="BQ112" s="371"/>
      <c r="BR112" s="371"/>
      <c r="BS112" s="371"/>
      <c r="BT112" s="371"/>
      <c r="BU112" s="371"/>
      <c r="BV112" s="1199"/>
    </row>
    <row r="113" spans="2:74" ht="26" x14ac:dyDescent="0.3">
      <c r="B113" s="1213"/>
      <c r="C113" s="1218"/>
      <c r="D113" s="1196"/>
      <c r="E113" s="372" t="str">
        <f>E105</f>
        <v>D</v>
      </c>
      <c r="F113" s="373"/>
      <c r="G113" s="372" t="str">
        <f>G105</f>
        <v>A</v>
      </c>
      <c r="H113" s="373"/>
      <c r="I113" s="373"/>
      <c r="J113" s="1203" t="str">
        <f>J111</f>
        <v>Dm/A</v>
      </c>
      <c r="K113" s="1202"/>
      <c r="L113" s="1202"/>
      <c r="M113" s="373"/>
      <c r="N113" s="1199"/>
      <c r="P113" s="1196"/>
      <c r="Q113" s="372" t="str">
        <f>E113</f>
        <v>D</v>
      </c>
      <c r="R113" s="373"/>
      <c r="S113" s="372" t="str">
        <f>G113</f>
        <v>A</v>
      </c>
      <c r="T113" s="373"/>
      <c r="U113" s="373"/>
      <c r="V113" s="1203" t="str">
        <f>V111</f>
        <v>Dm/A</v>
      </c>
      <c r="W113" s="1202"/>
      <c r="X113" s="1202"/>
      <c r="Y113" s="373"/>
      <c r="Z113" s="1199"/>
      <c r="AB113" s="1196"/>
      <c r="AC113" s="372" t="str">
        <f>AC105</f>
        <v>D</v>
      </c>
      <c r="AD113" s="373"/>
      <c r="AE113" s="372" t="str">
        <f>AE105</f>
        <v>A</v>
      </c>
      <c r="AF113" s="373"/>
      <c r="AG113" s="373"/>
      <c r="AH113" s="1203" t="str">
        <f>AH111</f>
        <v>Dm/A</v>
      </c>
      <c r="AI113" s="1202"/>
      <c r="AJ113" s="1202"/>
      <c r="AK113" s="373"/>
      <c r="AL113" s="1199"/>
      <c r="AN113" s="1196"/>
      <c r="AO113" s="372" t="str">
        <f>AO105</f>
        <v>D</v>
      </c>
      <c r="AP113" s="373"/>
      <c r="AQ113" s="372" t="str">
        <f>AQ105</f>
        <v>A</v>
      </c>
      <c r="AR113" s="373"/>
      <c r="AS113" s="373"/>
      <c r="AT113" s="1203" t="str">
        <f>AT111</f>
        <v>Dm/A</v>
      </c>
      <c r="AU113" s="1202"/>
      <c r="AV113" s="1202"/>
      <c r="AW113" s="373"/>
      <c r="AX113" s="1199"/>
      <c r="AZ113" s="1196"/>
      <c r="BA113" s="372" t="str">
        <f>BA105</f>
        <v xml:space="preserve">C </v>
      </c>
      <c r="BB113" s="373"/>
      <c r="BC113" s="372" t="s">
        <v>50</v>
      </c>
      <c r="BD113" s="373"/>
      <c r="BE113" s="373"/>
      <c r="BF113" s="1203" t="str">
        <f>+BF111</f>
        <v>Cm/A</v>
      </c>
      <c r="BG113" s="1202"/>
      <c r="BH113" s="1202"/>
      <c r="BI113" s="373"/>
      <c r="BJ113" s="1199"/>
      <c r="BL113" s="1196"/>
      <c r="BM113" s="372" t="str">
        <f>BM105</f>
        <v xml:space="preserve">B </v>
      </c>
      <c r="BN113" s="373"/>
      <c r="BO113" s="372" t="str">
        <f>BO105</f>
        <v>A</v>
      </c>
      <c r="BP113" s="373"/>
      <c r="BQ113" s="373"/>
      <c r="BR113" s="1203" t="str">
        <f>+BR111</f>
        <v>Bm/A</v>
      </c>
      <c r="BS113" s="1202"/>
      <c r="BT113" s="1202"/>
      <c r="BU113" s="373"/>
      <c r="BV113" s="1199"/>
    </row>
    <row r="114" spans="2:74" ht="21" x14ac:dyDescent="0.25">
      <c r="B114" s="1213"/>
      <c r="C114" s="1218"/>
      <c r="D114" s="1196"/>
      <c r="E114" s="338">
        <f>+Q114+AC114+AO114</f>
        <v>498333.33333333337</v>
      </c>
      <c r="F114" s="369" t="s">
        <v>44</v>
      </c>
      <c r="G114" s="339">
        <f>+G106</f>
        <v>52000</v>
      </c>
      <c r="H114" s="369" t="s">
        <v>45</v>
      </c>
      <c r="I114" s="369" t="s">
        <v>46</v>
      </c>
      <c r="J114" s="1204">
        <f>+E114/G114</f>
        <v>9.5833333333333339</v>
      </c>
      <c r="K114" s="1205"/>
      <c r="L114" s="1205"/>
      <c r="M114" s="369" t="s">
        <v>49</v>
      </c>
      <c r="N114" s="1199"/>
      <c r="P114" s="1196"/>
      <c r="Q114" s="378">
        <f>+Q106</f>
        <v>250466.66666666669</v>
      </c>
      <c r="R114" s="369" t="s">
        <v>44</v>
      </c>
      <c r="S114" s="339">
        <f>+S106</f>
        <v>52000</v>
      </c>
      <c r="T114" s="369" t="s">
        <v>45</v>
      </c>
      <c r="U114" s="369" t="s">
        <v>46</v>
      </c>
      <c r="V114" s="1204">
        <f>Q114/S114</f>
        <v>4.8166666666666673</v>
      </c>
      <c r="W114" s="1205"/>
      <c r="X114" s="1205"/>
      <c r="Y114" s="369" t="s">
        <v>49</v>
      </c>
      <c r="Z114" s="1199"/>
      <c r="AB114" s="1196"/>
      <c r="AC114" s="378">
        <f>+AC106</f>
        <v>247866.66666666669</v>
      </c>
      <c r="AD114" s="369" t="s">
        <v>44</v>
      </c>
      <c r="AE114" s="339">
        <f>+AE106</f>
        <v>52000</v>
      </c>
      <c r="AF114" s="369" t="s">
        <v>45</v>
      </c>
      <c r="AG114" s="369" t="s">
        <v>46</v>
      </c>
      <c r="AH114" s="1204">
        <f>AC114/AE114</f>
        <v>4.7666666666666666</v>
      </c>
      <c r="AI114" s="1205"/>
      <c r="AJ114" s="1205"/>
      <c r="AK114" s="369" t="s">
        <v>49</v>
      </c>
      <c r="AL114" s="1199"/>
      <c r="AN114" s="1196"/>
      <c r="AO114" s="378">
        <f>+AO106</f>
        <v>0</v>
      </c>
      <c r="AP114" s="369" t="s">
        <v>44</v>
      </c>
      <c r="AQ114" s="339">
        <f>+AQ106</f>
        <v>52000</v>
      </c>
      <c r="AR114" s="369" t="s">
        <v>45</v>
      </c>
      <c r="AS114" s="369" t="s">
        <v>46</v>
      </c>
      <c r="AT114" s="1204">
        <f>AO114/AQ114</f>
        <v>0</v>
      </c>
      <c r="AU114" s="1205"/>
      <c r="AV114" s="1205"/>
      <c r="AW114" s="369" t="s">
        <v>49</v>
      </c>
      <c r="AX114" s="1199"/>
      <c r="AZ114" s="1196"/>
      <c r="BA114" s="378">
        <f>+BA106</f>
        <v>348279.35343333328</v>
      </c>
      <c r="BB114" s="369" t="s">
        <v>44</v>
      </c>
      <c r="BC114" s="339">
        <f>G114</f>
        <v>52000</v>
      </c>
      <c r="BD114" s="369" t="s">
        <v>45</v>
      </c>
      <c r="BE114" s="369" t="s">
        <v>46</v>
      </c>
      <c r="BF114" s="1204">
        <f>BA114/BC114</f>
        <v>6.6976798737179477</v>
      </c>
      <c r="BG114" s="1205"/>
      <c r="BH114" s="1205"/>
      <c r="BI114" s="369" t="s">
        <v>49</v>
      </c>
      <c r="BJ114" s="1199"/>
      <c r="BL114" s="1196"/>
      <c r="BM114" s="378">
        <f>+BM106</f>
        <v>150053.97990000003</v>
      </c>
      <c r="BN114" s="369" t="s">
        <v>44</v>
      </c>
      <c r="BO114" s="339">
        <f>S114</f>
        <v>52000</v>
      </c>
      <c r="BP114" s="369" t="s">
        <v>45</v>
      </c>
      <c r="BQ114" s="369" t="s">
        <v>46</v>
      </c>
      <c r="BR114" s="1204">
        <f>BM114/BO114</f>
        <v>2.8856534596153853</v>
      </c>
      <c r="BS114" s="1205"/>
      <c r="BT114" s="1205"/>
      <c r="BU114" s="369" t="s">
        <v>49</v>
      </c>
      <c r="BV114" s="1199"/>
    </row>
    <row r="115" spans="2:74" ht="17" thickBot="1" x14ac:dyDescent="0.25">
      <c r="B115" s="1214"/>
      <c r="C115" s="1218"/>
      <c r="D115" s="1197"/>
      <c r="E115" s="374"/>
      <c r="F115" s="374"/>
      <c r="G115" s="374"/>
      <c r="H115" s="374"/>
      <c r="I115" s="374"/>
      <c r="J115" s="374"/>
      <c r="K115" s="374"/>
      <c r="L115" s="374"/>
      <c r="M115" s="374"/>
      <c r="N115" s="1200"/>
      <c r="P115" s="1197"/>
      <c r="Q115" s="374"/>
      <c r="R115" s="374"/>
      <c r="S115" s="374"/>
      <c r="T115" s="374"/>
      <c r="U115" s="374"/>
      <c r="V115" s="374"/>
      <c r="W115" s="374"/>
      <c r="X115" s="374"/>
      <c r="Y115" s="374"/>
      <c r="Z115" s="1200"/>
      <c r="AB115" s="1197"/>
      <c r="AC115" s="374"/>
      <c r="AD115" s="374"/>
      <c r="AE115" s="374"/>
      <c r="AF115" s="374"/>
      <c r="AG115" s="374"/>
      <c r="AH115" s="374"/>
      <c r="AI115" s="374"/>
      <c r="AJ115" s="374"/>
      <c r="AK115" s="374"/>
      <c r="AL115" s="1200"/>
      <c r="AN115" s="1197"/>
      <c r="AO115" s="374"/>
      <c r="AP115" s="374"/>
      <c r="AQ115" s="374"/>
      <c r="AR115" s="374"/>
      <c r="AS115" s="374"/>
      <c r="AT115" s="374"/>
      <c r="AU115" s="374"/>
      <c r="AV115" s="374"/>
      <c r="AW115" s="374"/>
      <c r="AX115" s="1200"/>
      <c r="AZ115" s="1197"/>
      <c r="BA115" s="374"/>
      <c r="BB115" s="374"/>
      <c r="BC115" s="374"/>
      <c r="BD115" s="374"/>
      <c r="BE115" s="374"/>
      <c r="BF115" s="374"/>
      <c r="BG115" s="374"/>
      <c r="BH115" s="374"/>
      <c r="BI115" s="374"/>
      <c r="BJ115" s="1200"/>
      <c r="BL115" s="1197"/>
      <c r="BM115" s="374"/>
      <c r="BN115" s="374"/>
      <c r="BO115" s="374"/>
      <c r="BP115" s="374"/>
      <c r="BQ115" s="374"/>
      <c r="BR115" s="374"/>
      <c r="BS115" s="374"/>
      <c r="BT115" s="374"/>
      <c r="BU115" s="374"/>
      <c r="BV115" s="1200"/>
    </row>
    <row r="116" spans="2:74" x14ac:dyDescent="0.15">
      <c r="C116" s="209"/>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166</v>
      </c>
      <c r="E123" s="164"/>
      <c r="F123" s="163"/>
      <c r="G123" s="163"/>
      <c r="H123" s="163"/>
      <c r="I123" s="163"/>
    </row>
  </sheetData>
  <sheetProtection algorithmName="SHA-512" hashValue="B+X9Dz+zXyC1PnzXAH6SLCjLb54Oy+/DxBCD862lnvnleAdGsiH3zRlpwXkpBvDNXMfNR97NI0o2CxnV5ldleA==" saltValue="rfb1USgBrXfuWITS4WA1kw==" spinCount="100000" sheet="1" objects="1" scenarios="1"/>
  <mergeCells count="214">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 ref="D61:D67"/>
    <mergeCell ref="N61:N67"/>
    <mergeCell ref="C69:C75"/>
    <mergeCell ref="D69:D75"/>
    <mergeCell ref="N69:N75"/>
    <mergeCell ref="C45:C51"/>
    <mergeCell ref="D45:D51"/>
    <mergeCell ref="N45:N51"/>
    <mergeCell ref="C53:C59"/>
    <mergeCell ref="D53:D59"/>
    <mergeCell ref="N53:N59"/>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P13:P19"/>
    <mergeCell ref="Z13:Z19"/>
    <mergeCell ref="P21:P27"/>
    <mergeCell ref="Z21:Z27"/>
    <mergeCell ref="P29:P35"/>
    <mergeCell ref="Z29:Z35"/>
    <mergeCell ref="P2:Z3"/>
    <mergeCell ref="P5:P11"/>
    <mergeCell ref="Z5:Z11"/>
    <mergeCell ref="P61:P67"/>
    <mergeCell ref="Z61:Z67"/>
    <mergeCell ref="P69:P75"/>
    <mergeCell ref="Z69:Z75"/>
    <mergeCell ref="P77:P83"/>
    <mergeCell ref="Z77:Z83"/>
    <mergeCell ref="P37:P43"/>
    <mergeCell ref="Z37:Z43"/>
    <mergeCell ref="P45:P51"/>
    <mergeCell ref="Z45:Z51"/>
    <mergeCell ref="P53:P59"/>
    <mergeCell ref="Z53:Z59"/>
    <mergeCell ref="P109:P115"/>
    <mergeCell ref="Z109:Z115"/>
    <mergeCell ref="V111:X111"/>
    <mergeCell ref="V113:X113"/>
    <mergeCell ref="V114:X114"/>
    <mergeCell ref="P85:P91"/>
    <mergeCell ref="Z85:Z91"/>
    <mergeCell ref="P93:P99"/>
    <mergeCell ref="Z93:Z99"/>
    <mergeCell ref="P101:P107"/>
    <mergeCell ref="Z101:Z107"/>
    <mergeCell ref="AB21:AB27"/>
    <mergeCell ref="AL21:AL27"/>
    <mergeCell ref="AB29:AB35"/>
    <mergeCell ref="AL29:AL35"/>
    <mergeCell ref="AB37:AB43"/>
    <mergeCell ref="AL37:AL43"/>
    <mergeCell ref="AB2:AL3"/>
    <mergeCell ref="AA5:AA11"/>
    <mergeCell ref="AB5:AB11"/>
    <mergeCell ref="AL5:AL11"/>
    <mergeCell ref="AB13:AB19"/>
    <mergeCell ref="AL13:AL19"/>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93:AB99"/>
    <mergeCell ref="AL93:AL99"/>
    <mergeCell ref="AB101:AB107"/>
    <mergeCell ref="AL101:AL107"/>
    <mergeCell ref="AB109:AB115"/>
    <mergeCell ref="AL109:AL115"/>
    <mergeCell ref="AH111:AJ111"/>
    <mergeCell ref="AH113:AJ113"/>
    <mergeCell ref="AH114:AJ114"/>
    <mergeCell ref="AX21:AX27"/>
    <mergeCell ref="AN29:AN35"/>
    <mergeCell ref="AX29:AX35"/>
    <mergeCell ref="AN37:AN43"/>
    <mergeCell ref="AX37:AX43"/>
    <mergeCell ref="AN2:AX3"/>
    <mergeCell ref="AM5:AM11"/>
    <mergeCell ref="AN5:AN11"/>
    <mergeCell ref="AX5:AX11"/>
    <mergeCell ref="AN13:AN19"/>
    <mergeCell ref="AX13:AX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77:AZ83"/>
    <mergeCell ref="BJ77:BJ83"/>
    <mergeCell ref="AZ85:AZ91"/>
    <mergeCell ref="BJ85:BJ91"/>
    <mergeCell ref="AZ93:AZ99"/>
    <mergeCell ref="BJ93:BJ99"/>
    <mergeCell ref="BL77:BL83"/>
    <mergeCell ref="BV77:BV83"/>
    <mergeCell ref="BL85:BL91"/>
    <mergeCell ref="BV85:BV91"/>
    <mergeCell ref="BL93:BL99"/>
    <mergeCell ref="BV93:BV99"/>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8A52-7FBA-3447-AE98-DAC1305C7572}">
  <dimension ref="A1:T560"/>
  <sheetViews>
    <sheetView zoomScale="110" zoomScaleNormal="110" workbookViewId="0">
      <selection sqref="A1:A258"/>
    </sheetView>
  </sheetViews>
  <sheetFormatPr baseColWidth="10" defaultColWidth="10.6640625" defaultRowHeight="13" x14ac:dyDescent="0.15"/>
  <cols>
    <col min="1" max="1" width="10.6640625" style="161"/>
    <col min="2" max="2" width="5.33203125" style="161" customWidth="1"/>
    <col min="3" max="3" width="3.6640625" style="161" customWidth="1"/>
    <col min="4" max="4" width="69" style="161" bestFit="1" customWidth="1"/>
    <col min="5" max="5" width="52.1640625" style="161" bestFit="1" customWidth="1"/>
    <col min="6" max="6" width="21.6640625" style="161" bestFit="1" customWidth="1"/>
    <col min="7" max="7" width="30.1640625" style="161" bestFit="1" customWidth="1"/>
    <col min="8" max="8" width="47.5" style="161" bestFit="1" customWidth="1"/>
    <col min="9" max="9" width="4.33203125" style="161" customWidth="1"/>
    <col min="10" max="10" width="3.83203125" style="161" customWidth="1"/>
    <col min="11" max="11" width="92.33203125" style="161" bestFit="1" customWidth="1"/>
    <col min="12" max="12" width="10.6640625" style="161" customWidth="1"/>
    <col min="13" max="13" width="5" style="161" customWidth="1"/>
    <col min="14" max="14" width="2.5" style="161" customWidth="1"/>
    <col min="15" max="15" width="1.5" style="161" customWidth="1"/>
    <col min="16" max="16" width="7" style="161" customWidth="1"/>
    <col min="17" max="18" width="1.6640625" style="161" customWidth="1"/>
    <col min="19" max="19" width="4.6640625" style="161" customWidth="1"/>
    <col min="20" max="16384" width="10.6640625" style="161"/>
  </cols>
  <sheetData>
    <row r="1" spans="1:13" x14ac:dyDescent="0.15">
      <c r="A1" s="1237" t="s">
        <v>534</v>
      </c>
      <c r="L1" s="1057"/>
    </row>
    <row r="2" spans="1:13" ht="22" customHeight="1" x14ac:dyDescent="0.25">
      <c r="A2" s="1238"/>
      <c r="D2" s="1058" t="s">
        <v>585</v>
      </c>
      <c r="F2" s="1059"/>
      <c r="L2" s="1057"/>
    </row>
    <row r="3" spans="1:13" ht="23" thickBot="1" x14ac:dyDescent="0.3">
      <c r="A3" s="1238"/>
      <c r="D3" s="1060"/>
      <c r="L3" s="1057"/>
    </row>
    <row r="4" spans="1:13" ht="23" thickTop="1" x14ac:dyDescent="0.25">
      <c r="A4" s="1238"/>
      <c r="D4" s="1060"/>
      <c r="E4" s="1232" t="s">
        <v>580</v>
      </c>
      <c r="F4" s="1232" t="s">
        <v>568</v>
      </c>
      <c r="G4" s="1232" t="s">
        <v>567</v>
      </c>
      <c r="H4" s="1232" t="s">
        <v>569</v>
      </c>
      <c r="I4" s="1061"/>
      <c r="L4" s="1057"/>
    </row>
    <row r="5" spans="1:13" ht="22" x14ac:dyDescent="0.25">
      <c r="A5" s="1238"/>
      <c r="D5" s="1060"/>
      <c r="E5" s="1233"/>
      <c r="F5" s="1235"/>
      <c r="G5" s="1235"/>
      <c r="H5" s="1235"/>
      <c r="I5" s="1062"/>
      <c r="L5" s="1057"/>
    </row>
    <row r="6" spans="1:13" ht="17" customHeight="1" thickBot="1" x14ac:dyDescent="0.2">
      <c r="A6" s="1238"/>
      <c r="E6" s="1234"/>
      <c r="F6" s="1236"/>
      <c r="G6" s="1236"/>
      <c r="H6" s="1236"/>
      <c r="I6" s="1062"/>
      <c r="L6" s="1057"/>
    </row>
    <row r="7" spans="1:13" ht="14" thickTop="1" x14ac:dyDescent="0.15">
      <c r="A7" s="1238"/>
      <c r="B7" s="161" t="s">
        <v>2</v>
      </c>
      <c r="E7" s="1059"/>
      <c r="F7" s="1059"/>
      <c r="G7" s="315"/>
      <c r="L7" s="1057"/>
    </row>
    <row r="8" spans="1:13" ht="16" x14ac:dyDescent="0.2">
      <c r="A8" s="1238"/>
      <c r="B8" s="1056"/>
      <c r="C8" s="1056"/>
      <c r="D8" s="1063" t="s">
        <v>535</v>
      </c>
      <c r="E8" s="1064"/>
      <c r="F8" s="1064"/>
      <c r="G8" s="1065"/>
      <c r="H8" s="1056"/>
      <c r="I8" s="1056"/>
      <c r="J8" s="1056"/>
      <c r="K8" s="1056"/>
      <c r="L8" s="1004"/>
    </row>
    <row r="9" spans="1:13" ht="16" x14ac:dyDescent="0.2">
      <c r="A9" s="1238"/>
      <c r="B9" s="1056">
        <v>1</v>
      </c>
      <c r="C9" s="1056">
        <v>1</v>
      </c>
      <c r="D9" s="1056" t="s">
        <v>536</v>
      </c>
      <c r="E9" s="1066">
        <v>1.21</v>
      </c>
      <c r="F9" s="1066">
        <v>3.3</v>
      </c>
      <c r="G9" s="1067">
        <f t="shared" ref="G9:G21" si="0">E9/F9</f>
        <v>0.3666666666666667</v>
      </c>
      <c r="H9" s="1068">
        <f t="shared" ref="H9:H21" si="1">F9-E9</f>
        <v>2.09</v>
      </c>
      <c r="I9" s="1064"/>
      <c r="J9" s="1056"/>
      <c r="K9" s="1063"/>
      <c r="L9" s="1069"/>
    </row>
    <row r="10" spans="1:13" ht="16" x14ac:dyDescent="0.2">
      <c r="A10" s="1238"/>
      <c r="B10" s="1056">
        <v>2</v>
      </c>
      <c r="C10" s="1056">
        <v>2</v>
      </c>
      <c r="D10" s="1056" t="s">
        <v>537</v>
      </c>
      <c r="E10" s="1066">
        <v>1.31</v>
      </c>
      <c r="F10" s="1066">
        <v>3.8</v>
      </c>
      <c r="G10" s="1067">
        <f t="shared" si="0"/>
        <v>0.34473684210526317</v>
      </c>
      <c r="H10" s="1068">
        <f t="shared" si="1"/>
        <v>2.4899999999999998</v>
      </c>
      <c r="I10" s="1064"/>
      <c r="J10" s="1056"/>
      <c r="K10" s="1063"/>
      <c r="L10" s="1069"/>
    </row>
    <row r="11" spans="1:13" ht="16" x14ac:dyDescent="0.2">
      <c r="A11" s="1238"/>
      <c r="B11" s="1056">
        <v>3</v>
      </c>
      <c r="C11" s="1056">
        <v>3</v>
      </c>
      <c r="D11" s="1056" t="s">
        <v>538</v>
      </c>
      <c r="E11" s="1066">
        <v>1.35</v>
      </c>
      <c r="F11" s="1066">
        <v>4</v>
      </c>
      <c r="G11" s="1067">
        <f t="shared" si="0"/>
        <v>0.33750000000000002</v>
      </c>
      <c r="H11" s="1068">
        <f t="shared" si="1"/>
        <v>2.65</v>
      </c>
      <c r="I11" s="1064"/>
      <c r="J11" s="1056"/>
      <c r="K11" s="1063"/>
      <c r="L11" s="1070"/>
    </row>
    <row r="12" spans="1:13" ht="16" x14ac:dyDescent="0.2">
      <c r="A12" s="1238"/>
      <c r="B12" s="1056">
        <v>4</v>
      </c>
      <c r="C12" s="1056">
        <v>4</v>
      </c>
      <c r="D12" s="1056" t="s">
        <v>539</v>
      </c>
      <c r="E12" s="1066">
        <v>1.4</v>
      </c>
      <c r="F12" s="1066">
        <v>4.5</v>
      </c>
      <c r="G12" s="1067">
        <f t="shared" si="0"/>
        <v>0.31111111111111112</v>
      </c>
      <c r="H12" s="1068">
        <f t="shared" si="1"/>
        <v>3.1</v>
      </c>
      <c r="I12" s="1064"/>
      <c r="J12" s="1056"/>
      <c r="K12" s="1063"/>
      <c r="L12" s="1069"/>
    </row>
    <row r="13" spans="1:13" ht="16" x14ac:dyDescent="0.2">
      <c r="A13" s="1238"/>
      <c r="B13" s="1056">
        <v>5</v>
      </c>
      <c r="C13" s="1056">
        <v>5</v>
      </c>
      <c r="D13" s="1056" t="s">
        <v>540</v>
      </c>
      <c r="E13" s="1066">
        <v>1.24</v>
      </c>
      <c r="F13" s="1066">
        <v>4.5999999999999996</v>
      </c>
      <c r="G13" s="1067">
        <f t="shared" si="0"/>
        <v>0.26956521739130435</v>
      </c>
      <c r="H13" s="1068">
        <f t="shared" si="1"/>
        <v>3.3599999999999994</v>
      </c>
      <c r="I13" s="1064"/>
      <c r="J13" s="1056"/>
      <c r="K13" s="1063"/>
      <c r="L13" s="1071"/>
      <c r="M13" s="590"/>
    </row>
    <row r="14" spans="1:13" ht="16" x14ac:dyDescent="0.2">
      <c r="A14" s="1238"/>
      <c r="B14" s="1056">
        <v>6</v>
      </c>
      <c r="C14" s="1056">
        <v>6</v>
      </c>
      <c r="D14" s="1056" t="s">
        <v>541</v>
      </c>
      <c r="E14" s="1066">
        <v>1.39</v>
      </c>
      <c r="F14" s="1066">
        <v>4.7</v>
      </c>
      <c r="G14" s="1067">
        <f t="shared" si="0"/>
        <v>0.29574468085106381</v>
      </c>
      <c r="H14" s="1068">
        <f t="shared" si="1"/>
        <v>3.3100000000000005</v>
      </c>
      <c r="I14" s="1064"/>
      <c r="J14" s="1056"/>
      <c r="K14" s="1063"/>
      <c r="L14" s="1071"/>
      <c r="M14" s="590"/>
    </row>
    <row r="15" spans="1:13" ht="16" x14ac:dyDescent="0.2">
      <c r="A15" s="1238"/>
      <c r="B15" s="1056">
        <v>7</v>
      </c>
      <c r="C15" s="1056">
        <v>7</v>
      </c>
      <c r="D15" s="1056" t="s">
        <v>542</v>
      </c>
      <c r="E15" s="1066">
        <v>1.51</v>
      </c>
      <c r="F15" s="1066">
        <v>4.8</v>
      </c>
      <c r="G15" s="1067">
        <f t="shared" si="0"/>
        <v>0.31458333333333333</v>
      </c>
      <c r="H15" s="1068">
        <f t="shared" si="1"/>
        <v>3.29</v>
      </c>
      <c r="I15" s="1064"/>
      <c r="J15" s="1056"/>
      <c r="K15" s="1063"/>
      <c r="L15" s="1071"/>
      <c r="M15" s="590"/>
    </row>
    <row r="16" spans="1:13" ht="16" x14ac:dyDescent="0.2">
      <c r="A16" s="1238"/>
      <c r="B16" s="1056">
        <v>8</v>
      </c>
      <c r="C16" s="1056">
        <v>8</v>
      </c>
      <c r="D16" s="1056" t="s">
        <v>543</v>
      </c>
      <c r="E16" s="1066">
        <v>1.53</v>
      </c>
      <c r="F16" s="1066">
        <v>4.9000000000000004</v>
      </c>
      <c r="G16" s="1067">
        <f t="shared" si="0"/>
        <v>0.31224489795918364</v>
      </c>
      <c r="H16" s="1068">
        <f t="shared" si="1"/>
        <v>3.37</v>
      </c>
      <c r="I16" s="1064"/>
      <c r="J16" s="1056"/>
      <c r="K16" s="1063"/>
      <c r="L16" s="1071"/>
      <c r="M16" s="590"/>
    </row>
    <row r="17" spans="1:13" ht="16" x14ac:dyDescent="0.2">
      <c r="A17" s="1238"/>
      <c r="B17" s="1056">
        <v>9</v>
      </c>
      <c r="C17" s="1056">
        <v>9</v>
      </c>
      <c r="D17" s="1056" t="s">
        <v>544</v>
      </c>
      <c r="E17" s="1066">
        <v>1.55</v>
      </c>
      <c r="F17" s="1066">
        <v>5</v>
      </c>
      <c r="G17" s="1067">
        <f t="shared" si="0"/>
        <v>0.31</v>
      </c>
      <c r="H17" s="1068">
        <f t="shared" si="1"/>
        <v>3.45</v>
      </c>
      <c r="I17" s="1064"/>
      <c r="J17" s="1056"/>
      <c r="K17" s="1063"/>
      <c r="L17" s="1071"/>
      <c r="M17" s="590"/>
    </row>
    <row r="18" spans="1:13" ht="16" x14ac:dyDescent="0.2">
      <c r="A18" s="1238"/>
      <c r="B18" s="1056">
        <v>10</v>
      </c>
      <c r="C18" s="1056">
        <v>10</v>
      </c>
      <c r="D18" s="1056" t="s">
        <v>545</v>
      </c>
      <c r="E18" s="1066">
        <v>1.59</v>
      </c>
      <c r="F18" s="1066">
        <v>5.2</v>
      </c>
      <c r="G18" s="1067">
        <f t="shared" si="0"/>
        <v>0.30576923076923079</v>
      </c>
      <c r="H18" s="1068">
        <f t="shared" si="1"/>
        <v>3.6100000000000003</v>
      </c>
      <c r="I18" s="1064"/>
      <c r="J18" s="1056"/>
      <c r="K18" s="1063"/>
      <c r="L18" s="1071"/>
      <c r="M18" s="590"/>
    </row>
    <row r="19" spans="1:13" ht="16" x14ac:dyDescent="0.2">
      <c r="A19" s="1238"/>
      <c r="B19" s="1056">
        <v>11</v>
      </c>
      <c r="C19" s="1056">
        <v>11</v>
      </c>
      <c r="D19" s="1056" t="s">
        <v>546</v>
      </c>
      <c r="E19" s="1066">
        <v>1.83</v>
      </c>
      <c r="F19" s="1066">
        <v>6.4</v>
      </c>
      <c r="G19" s="1067">
        <f t="shared" si="0"/>
        <v>0.28593750000000001</v>
      </c>
      <c r="H19" s="1068">
        <f t="shared" si="1"/>
        <v>4.57</v>
      </c>
      <c r="I19" s="1064"/>
      <c r="J19" s="1056"/>
      <c r="K19" s="1063"/>
      <c r="L19" s="1071"/>
      <c r="M19" s="590"/>
    </row>
    <row r="20" spans="1:13" ht="16" x14ac:dyDescent="0.2">
      <c r="A20" s="1238"/>
      <c r="B20" s="1056">
        <v>12</v>
      </c>
      <c r="C20" s="1056">
        <v>12</v>
      </c>
      <c r="D20" s="1056" t="s">
        <v>547</v>
      </c>
      <c r="E20" s="1066">
        <v>1.87</v>
      </c>
      <c r="F20" s="1066">
        <v>6.6</v>
      </c>
      <c r="G20" s="1067">
        <f t="shared" si="0"/>
        <v>0.28333333333333338</v>
      </c>
      <c r="H20" s="1068">
        <f t="shared" si="1"/>
        <v>4.7299999999999995</v>
      </c>
      <c r="I20" s="1064"/>
      <c r="J20" s="1056"/>
      <c r="K20" s="1056"/>
      <c r="L20" s="1004"/>
    </row>
    <row r="21" spans="1:13" ht="19" x14ac:dyDescent="0.35">
      <c r="A21" s="1238"/>
      <c r="B21" s="1056"/>
      <c r="C21" s="1056"/>
      <c r="D21" s="1063" t="s">
        <v>564</v>
      </c>
      <c r="E21" s="1072">
        <f>SUM(E9:E20)/C20</f>
        <v>1.4816666666666667</v>
      </c>
      <c r="F21" s="1072">
        <f>SUM(F9:F20)/C20</f>
        <v>4.8166666666666673</v>
      </c>
      <c r="G21" s="1073">
        <f t="shared" si="0"/>
        <v>0.30761245674740478</v>
      </c>
      <c r="H21" s="1074">
        <f t="shared" si="1"/>
        <v>3.3350000000000009</v>
      </c>
      <c r="I21" s="1075"/>
      <c r="J21" s="1056"/>
      <c r="K21" s="1056"/>
      <c r="L21" s="1004"/>
    </row>
    <row r="22" spans="1:13" ht="16" x14ac:dyDescent="0.2">
      <c r="A22" s="1238"/>
      <c r="B22" s="1056" t="s">
        <v>2</v>
      </c>
      <c r="C22" s="1056"/>
      <c r="D22" s="1056"/>
      <c r="E22" s="1066"/>
      <c r="F22" s="1066"/>
      <c r="G22" s="1067"/>
      <c r="H22" s="1076"/>
      <c r="I22" s="1056"/>
      <c r="J22" s="1056"/>
      <c r="K22" s="1056"/>
      <c r="L22" s="1004"/>
    </row>
    <row r="23" spans="1:13" ht="16" x14ac:dyDescent="0.2">
      <c r="A23" s="1238"/>
      <c r="B23" s="1056"/>
      <c r="C23" s="1056"/>
      <c r="D23" s="1063" t="s">
        <v>548</v>
      </c>
      <c r="E23" s="1066"/>
      <c r="F23" s="1066"/>
      <c r="G23" s="1067"/>
      <c r="H23" s="1076"/>
      <c r="I23" s="1056"/>
      <c r="J23" s="1056"/>
      <c r="K23" s="1056"/>
      <c r="L23" s="1004"/>
    </row>
    <row r="24" spans="1:13" ht="16" x14ac:dyDescent="0.2">
      <c r="A24" s="1238"/>
      <c r="B24" s="1056">
        <v>13</v>
      </c>
      <c r="C24" s="1056">
        <v>1</v>
      </c>
      <c r="D24" s="1056" t="s">
        <v>549</v>
      </c>
      <c r="E24" s="1066">
        <v>1.1399999999999999</v>
      </c>
      <c r="F24" s="1066">
        <v>3.3</v>
      </c>
      <c r="G24" s="1067">
        <f>E24/F24</f>
        <v>0.34545454545454546</v>
      </c>
      <c r="H24" s="1068">
        <f>F24-E24</f>
        <v>2.16</v>
      </c>
      <c r="I24" s="1064"/>
      <c r="J24" s="1056"/>
      <c r="K24" s="1063"/>
      <c r="L24" s="1069"/>
    </row>
    <row r="25" spans="1:13" ht="16" x14ac:dyDescent="0.2">
      <c r="A25" s="1238"/>
      <c r="B25" s="1056">
        <v>14</v>
      </c>
      <c r="C25" s="1056">
        <v>2</v>
      </c>
      <c r="D25" s="1056" t="s">
        <v>550</v>
      </c>
      <c r="E25" s="1066">
        <v>1.33</v>
      </c>
      <c r="F25" s="1066">
        <v>3.8</v>
      </c>
      <c r="G25" s="1067">
        <f>E25/F25</f>
        <v>0.35000000000000003</v>
      </c>
      <c r="H25" s="1068">
        <f>F25-E25</f>
        <v>2.4699999999999998</v>
      </c>
      <c r="I25" s="1064"/>
      <c r="J25" s="1056"/>
      <c r="K25" s="1063"/>
      <c r="L25" s="1069"/>
    </row>
    <row r="26" spans="1:13" ht="16" x14ac:dyDescent="0.2">
      <c r="A26" s="1238"/>
      <c r="B26" s="1056">
        <v>15</v>
      </c>
      <c r="C26" s="1056">
        <v>3</v>
      </c>
      <c r="D26" s="1056" t="s">
        <v>551</v>
      </c>
      <c r="E26" s="1066">
        <v>1.37</v>
      </c>
      <c r="F26" s="1066">
        <v>4</v>
      </c>
      <c r="G26" s="1067">
        <f>E26/F26</f>
        <v>0.34250000000000003</v>
      </c>
      <c r="H26" s="1068">
        <f>F26-E26</f>
        <v>2.63</v>
      </c>
      <c r="I26" s="1064"/>
      <c r="J26" s="1056"/>
      <c r="K26" s="1063"/>
      <c r="L26" s="1070"/>
    </row>
    <row r="27" spans="1:13" ht="16" x14ac:dyDescent="0.2">
      <c r="A27" s="1238"/>
      <c r="B27" s="1056">
        <v>16</v>
      </c>
      <c r="C27" s="1056">
        <v>4</v>
      </c>
      <c r="D27" s="1056" t="s">
        <v>552</v>
      </c>
      <c r="E27" s="1066">
        <v>1.36</v>
      </c>
      <c r="F27" s="1066">
        <v>4.5</v>
      </c>
      <c r="G27" s="1067">
        <f t="shared" ref="G27:G34" si="2">E27/F27</f>
        <v>0.30222222222222223</v>
      </c>
      <c r="H27" s="1068">
        <f t="shared" ref="H27:H34" si="3">F27-E27</f>
        <v>3.1399999999999997</v>
      </c>
      <c r="I27" s="1064"/>
      <c r="J27" s="1056"/>
      <c r="K27" s="1063"/>
      <c r="L27" s="1070"/>
    </row>
    <row r="28" spans="1:13" ht="16" x14ac:dyDescent="0.2">
      <c r="A28" s="1238"/>
      <c r="B28" s="1056">
        <v>17</v>
      </c>
      <c r="C28" s="1056">
        <v>5</v>
      </c>
      <c r="D28" s="1056" t="s">
        <v>553</v>
      </c>
      <c r="E28" s="1066">
        <v>1.38</v>
      </c>
      <c r="F28" s="1066">
        <v>4.5999999999999996</v>
      </c>
      <c r="G28" s="1067">
        <f t="shared" si="2"/>
        <v>0.3</v>
      </c>
      <c r="H28" s="1068">
        <f t="shared" si="3"/>
        <v>3.2199999999999998</v>
      </c>
      <c r="I28" s="1064"/>
      <c r="J28" s="1056"/>
      <c r="K28" s="1063"/>
      <c r="L28" s="1070"/>
    </row>
    <row r="29" spans="1:13" ht="16" x14ac:dyDescent="0.2">
      <c r="A29" s="1238"/>
      <c r="B29" s="1056">
        <v>18</v>
      </c>
      <c r="C29" s="1056">
        <v>6</v>
      </c>
      <c r="D29" s="1056" t="s">
        <v>554</v>
      </c>
      <c r="E29" s="1066">
        <v>1.4</v>
      </c>
      <c r="F29" s="1066">
        <v>4.7</v>
      </c>
      <c r="G29" s="1067">
        <f t="shared" si="2"/>
        <v>0.2978723404255319</v>
      </c>
      <c r="H29" s="1068">
        <f t="shared" si="3"/>
        <v>3.3000000000000003</v>
      </c>
      <c r="I29" s="1064"/>
      <c r="J29" s="1056"/>
      <c r="K29" s="1063"/>
      <c r="L29" s="1070"/>
    </row>
    <row r="30" spans="1:13" ht="16" x14ac:dyDescent="0.2">
      <c r="A30" s="1238"/>
      <c r="B30" s="1056">
        <v>19</v>
      </c>
      <c r="C30" s="1056">
        <v>7</v>
      </c>
      <c r="D30" s="1056" t="s">
        <v>555</v>
      </c>
      <c r="E30" s="1066">
        <v>1.41</v>
      </c>
      <c r="F30" s="1066">
        <v>4.8</v>
      </c>
      <c r="G30" s="1067">
        <f t="shared" si="2"/>
        <v>0.29375000000000001</v>
      </c>
      <c r="H30" s="1068">
        <f t="shared" si="3"/>
        <v>3.3899999999999997</v>
      </c>
      <c r="I30" s="1064"/>
      <c r="J30" s="1056"/>
      <c r="K30" s="1063"/>
      <c r="L30" s="1070"/>
    </row>
    <row r="31" spans="1:13" ht="16" x14ac:dyDescent="0.2">
      <c r="A31" s="1238"/>
      <c r="B31" s="1056">
        <v>20</v>
      </c>
      <c r="C31" s="1056">
        <v>8</v>
      </c>
      <c r="D31" s="1056" t="s">
        <v>556</v>
      </c>
      <c r="E31" s="1066">
        <v>1.43</v>
      </c>
      <c r="F31" s="1066">
        <v>4.9000000000000004</v>
      </c>
      <c r="G31" s="1067">
        <f t="shared" si="2"/>
        <v>0.2918367346938775</v>
      </c>
      <c r="H31" s="1068">
        <f t="shared" si="3"/>
        <v>3.4700000000000006</v>
      </c>
      <c r="I31" s="1064"/>
      <c r="J31" s="1056"/>
      <c r="K31" s="1063"/>
      <c r="L31" s="1070"/>
    </row>
    <row r="32" spans="1:13" ht="16" x14ac:dyDescent="0.2">
      <c r="A32" s="1238"/>
      <c r="B32" s="1056">
        <v>21</v>
      </c>
      <c r="C32" s="1056">
        <v>9</v>
      </c>
      <c r="D32" s="1056" t="s">
        <v>557</v>
      </c>
      <c r="E32" s="1066">
        <v>1.45</v>
      </c>
      <c r="F32" s="1066">
        <v>5</v>
      </c>
      <c r="G32" s="1067">
        <f t="shared" si="2"/>
        <v>0.28999999999999998</v>
      </c>
      <c r="H32" s="1068">
        <f t="shared" si="3"/>
        <v>3.55</v>
      </c>
      <c r="I32" s="1064"/>
      <c r="J32" s="1056"/>
      <c r="K32" s="1063"/>
      <c r="L32" s="1070"/>
    </row>
    <row r="33" spans="1:20" ht="16" x14ac:dyDescent="0.2">
      <c r="A33" s="1238"/>
      <c r="B33" s="1056">
        <v>22</v>
      </c>
      <c r="C33" s="1056">
        <v>10</v>
      </c>
      <c r="D33" s="1056" t="s">
        <v>558</v>
      </c>
      <c r="E33" s="1066">
        <v>1.49</v>
      </c>
      <c r="F33" s="1066">
        <v>5.2</v>
      </c>
      <c r="G33" s="1067">
        <f t="shared" si="2"/>
        <v>0.28653846153846152</v>
      </c>
      <c r="H33" s="1068">
        <f t="shared" si="3"/>
        <v>3.71</v>
      </c>
      <c r="I33" s="1064"/>
      <c r="J33" s="1056"/>
      <c r="K33" s="1063"/>
      <c r="L33" s="1070"/>
    </row>
    <row r="34" spans="1:20" ht="16" x14ac:dyDescent="0.2">
      <c r="A34" s="1238"/>
      <c r="B34" s="1056">
        <v>23</v>
      </c>
      <c r="C34" s="1056">
        <v>11</v>
      </c>
      <c r="D34" s="1056" t="s">
        <v>559</v>
      </c>
      <c r="E34" s="1066">
        <v>1.59</v>
      </c>
      <c r="F34" s="1066">
        <v>5.8</v>
      </c>
      <c r="G34" s="1067">
        <f t="shared" si="2"/>
        <v>0.27413793103448281</v>
      </c>
      <c r="H34" s="1068">
        <f t="shared" si="3"/>
        <v>4.21</v>
      </c>
      <c r="I34" s="1064"/>
      <c r="J34" s="1056"/>
      <c r="K34" s="1063"/>
      <c r="L34" s="1070"/>
    </row>
    <row r="35" spans="1:20" ht="16" x14ac:dyDescent="0.2">
      <c r="A35" s="1238"/>
      <c r="B35" s="1056">
        <v>24</v>
      </c>
      <c r="C35" s="1056">
        <v>12</v>
      </c>
      <c r="D35" s="1056" t="s">
        <v>560</v>
      </c>
      <c r="E35" s="1066">
        <v>1.74</v>
      </c>
      <c r="F35" s="1066">
        <v>6.6</v>
      </c>
      <c r="G35" s="1067">
        <f>E35/F35</f>
        <v>0.26363636363636367</v>
      </c>
      <c r="H35" s="1068">
        <f>F35-E35</f>
        <v>4.8599999999999994</v>
      </c>
      <c r="I35" s="1064"/>
      <c r="J35" s="1056"/>
      <c r="K35" s="1063"/>
      <c r="L35" s="1069"/>
    </row>
    <row r="36" spans="1:20" ht="19" x14ac:dyDescent="0.35">
      <c r="A36" s="1238"/>
      <c r="B36" s="1056"/>
      <c r="C36" s="1056"/>
      <c r="D36" s="1063" t="s">
        <v>563</v>
      </c>
      <c r="E36" s="1072">
        <f>SUM(E24:E35)/C35</f>
        <v>1.4241666666666666</v>
      </c>
      <c r="F36" s="1072">
        <f>SUM(F24:F35)/C35</f>
        <v>4.7666666666666666</v>
      </c>
      <c r="G36" s="1077">
        <f>E36/F36</f>
        <v>0.29877622377622376</v>
      </c>
      <c r="H36" s="1074">
        <f>F36-E36</f>
        <v>3.3425000000000002</v>
      </c>
      <c r="I36" s="1075"/>
      <c r="J36" s="1056"/>
      <c r="K36" s="1063"/>
      <c r="L36" s="1071"/>
      <c r="M36" s="590"/>
    </row>
    <row r="37" spans="1:20" ht="17" thickBot="1" x14ac:dyDescent="0.25">
      <c r="A37" s="1238"/>
      <c r="B37" s="1056"/>
      <c r="C37" s="1056"/>
      <c r="D37" s="1056"/>
      <c r="E37" s="1066"/>
      <c r="F37" s="1066"/>
      <c r="G37" s="1065"/>
      <c r="H37" s="1076"/>
      <c r="I37" s="1056"/>
      <c r="J37" s="1056"/>
      <c r="K37" s="1056"/>
      <c r="L37" s="1004"/>
    </row>
    <row r="38" spans="1:20" ht="21" thickTop="1" thickBot="1" x14ac:dyDescent="0.4">
      <c r="A38" s="1238"/>
      <c r="B38" s="1056"/>
      <c r="C38" s="1078"/>
      <c r="D38" s="1079"/>
      <c r="E38" s="1080"/>
      <c r="F38" s="1080"/>
      <c r="G38" s="1081"/>
      <c r="H38" s="1082"/>
      <c r="I38" s="1083"/>
      <c r="J38" s="1056"/>
      <c r="K38" s="1056"/>
      <c r="L38" s="1056"/>
      <c r="M38" s="1084"/>
      <c r="N38" s="1084"/>
      <c r="O38" s="1084"/>
      <c r="P38" s="1084"/>
      <c r="Q38" s="1084"/>
      <c r="R38" s="1084"/>
      <c r="S38" s="1084"/>
      <c r="T38" s="1084"/>
    </row>
    <row r="39" spans="1:20" ht="18" thickTop="1" thickBot="1" x14ac:dyDescent="0.25">
      <c r="A39" s="1238"/>
      <c r="B39" s="1056"/>
      <c r="C39" s="1085"/>
      <c r="D39" s="1063"/>
      <c r="E39" s="1086" t="s">
        <v>232</v>
      </c>
      <c r="F39" s="1086" t="s">
        <v>48</v>
      </c>
      <c r="G39" s="1087" t="s">
        <v>566</v>
      </c>
      <c r="H39" s="1113" t="s">
        <v>236</v>
      </c>
      <c r="I39" s="1088"/>
      <c r="J39" s="1056"/>
      <c r="K39" s="1056"/>
      <c r="L39" s="1056"/>
      <c r="M39" s="1084"/>
      <c r="N39" s="1084"/>
      <c r="O39" s="1084"/>
      <c r="P39" s="1084"/>
      <c r="Q39" s="1084"/>
      <c r="R39" s="1084"/>
      <c r="S39" s="1084"/>
      <c r="T39" s="1084"/>
    </row>
    <row r="40" spans="1:20" ht="17" thickTop="1" x14ac:dyDescent="0.2">
      <c r="A40" s="1238"/>
      <c r="B40" s="1056"/>
      <c r="C40" s="1085"/>
      <c r="D40" s="1089" t="s">
        <v>561</v>
      </c>
      <c r="E40" s="1066"/>
      <c r="F40" s="1066"/>
      <c r="G40" s="1065"/>
      <c r="H40" s="1076"/>
      <c r="I40" s="1090"/>
      <c r="J40" s="1056"/>
      <c r="K40" s="1091"/>
      <c r="L40" s="1092"/>
      <c r="M40" s="1084"/>
      <c r="N40" s="1084"/>
      <c r="O40" s="1084"/>
      <c r="P40" s="1084"/>
      <c r="Q40" s="1084"/>
      <c r="R40" s="1084"/>
      <c r="S40" s="1084"/>
      <c r="T40" s="1084"/>
    </row>
    <row r="41" spans="1:20" ht="19" x14ac:dyDescent="0.35">
      <c r="A41" s="1238"/>
      <c r="B41" s="1056"/>
      <c r="C41" s="1085"/>
      <c r="D41" s="1063" t="s">
        <v>565</v>
      </c>
      <c r="E41" s="1093">
        <f>+(E9+E10+E11+E12+E13+E14+E15+E16+E17+E18+E19+E20+E24+E25+E26+E27+E28+E29+E30+E31+E32+E33+E34+E35)/B35</f>
        <v>1.4529166666666666</v>
      </c>
      <c r="F41" s="1093">
        <f>+(F9+F10+F11+F12+F13+F14+F15+F16+F17+F18+F19+F20+F24+F25+F26+F27+F28+F29+F30+F31+F32+F33+F34+F35)/B35</f>
        <v>4.791666666666667</v>
      </c>
      <c r="G41" s="1094">
        <f>E41/F41</f>
        <v>0.30321739130434783</v>
      </c>
      <c r="H41" s="1095">
        <f>F41-E41</f>
        <v>3.3387500000000001</v>
      </c>
      <c r="I41" s="1096"/>
      <c r="J41" s="1056"/>
      <c r="K41" s="1091"/>
      <c r="L41" s="1092"/>
      <c r="M41" s="1084"/>
      <c r="N41" s="1084"/>
      <c r="O41" s="1084"/>
      <c r="P41" s="1084"/>
      <c r="Q41" s="1084"/>
      <c r="R41" s="1084"/>
      <c r="S41" s="1084"/>
      <c r="T41" s="1084"/>
    </row>
    <row r="42" spans="1:20" ht="16" x14ac:dyDescent="0.2">
      <c r="A42" s="1238"/>
      <c r="B42" s="1056"/>
      <c r="C42" s="1085"/>
      <c r="D42" s="1056"/>
      <c r="E42" s="1069"/>
      <c r="F42" s="1069"/>
      <c r="G42" s="1070"/>
      <c r="H42" s="1097"/>
      <c r="I42" s="1098"/>
      <c r="J42" s="1056"/>
      <c r="K42" s="1091"/>
      <c r="L42" s="1099"/>
      <c r="M42" s="1084"/>
      <c r="N42" s="1084"/>
      <c r="O42" s="1084"/>
      <c r="P42" s="1084"/>
      <c r="Q42" s="1084"/>
      <c r="R42" s="1084"/>
      <c r="S42" s="1084"/>
      <c r="T42" s="1084"/>
    </row>
    <row r="43" spans="1:20" ht="17" thickBot="1" x14ac:dyDescent="0.25">
      <c r="A43" s="1238"/>
      <c r="B43" s="1056"/>
      <c r="C43" s="1100"/>
      <c r="D43" s="1101"/>
      <c r="E43" s="1102"/>
      <c r="F43" s="1102"/>
      <c r="G43" s="1103"/>
      <c r="H43" s="1104"/>
      <c r="I43" s="1105"/>
      <c r="J43" s="1056"/>
      <c r="K43" s="1091"/>
      <c r="L43" s="1092"/>
      <c r="M43" s="1084"/>
      <c r="N43" s="1084"/>
      <c r="O43" s="1084"/>
      <c r="P43" s="1084"/>
      <c r="Q43" s="1084"/>
      <c r="R43" s="1084"/>
      <c r="S43" s="1084"/>
      <c r="T43" s="1084"/>
    </row>
    <row r="44" spans="1:20" ht="17" thickTop="1" x14ac:dyDescent="0.2">
      <c r="A44" s="1238"/>
      <c r="B44" s="1056"/>
      <c r="C44" s="1056"/>
      <c r="D44" s="1056"/>
      <c r="E44" s="1056"/>
      <c r="F44" s="1056" t="s">
        <v>2</v>
      </c>
      <c r="G44" s="1056"/>
      <c r="H44" s="1056"/>
      <c r="I44" s="1056"/>
      <c r="J44" s="1056"/>
      <c r="K44" s="1091"/>
      <c r="L44" s="1092"/>
      <c r="M44" s="1106"/>
      <c r="N44" s="1084"/>
      <c r="O44" s="1084"/>
      <c r="P44" s="1084"/>
      <c r="Q44" s="1084"/>
      <c r="R44" s="1084"/>
      <c r="S44" s="1084"/>
      <c r="T44" s="1084"/>
    </row>
    <row r="45" spans="1:20" ht="22" x14ac:dyDescent="0.25">
      <c r="A45" s="1238"/>
      <c r="D45" s="1058" t="s">
        <v>586</v>
      </c>
      <c r="F45" s="1059"/>
      <c r="K45" s="1091"/>
      <c r="L45" s="1099"/>
      <c r="M45" s="1084"/>
      <c r="N45" s="1084"/>
      <c r="O45" s="1084"/>
      <c r="P45" s="1084"/>
      <c r="Q45" s="1084"/>
      <c r="R45" s="1084"/>
      <c r="S45" s="1084"/>
      <c r="T45" s="1084"/>
    </row>
    <row r="46" spans="1:20" ht="23" thickBot="1" x14ac:dyDescent="0.3">
      <c r="A46" s="1238"/>
      <c r="D46" s="1060"/>
      <c r="L46" s="1057"/>
    </row>
    <row r="47" spans="1:20" ht="23" thickTop="1" x14ac:dyDescent="0.25">
      <c r="A47" s="1238"/>
      <c r="D47" s="1060"/>
      <c r="E47" s="1232" t="str">
        <f>E4</f>
        <v>Coûts des ressources alimentaires pour chaque produit offert (voir recettes standardisées)</v>
      </c>
      <c r="F47" s="1232" t="str">
        <f>F4</f>
        <v>Prix de vente par produit offert</v>
      </c>
      <c r="G47" s="1232" t="str">
        <f>G4</f>
        <v xml:space="preserve">« Food &amp; Beverage Cost » </v>
      </c>
      <c r="H47" s="1232" t="str">
        <f>+H4</f>
        <v>Marge brute gagnée sur la vente de chaque produit offert</v>
      </c>
      <c r="I47" s="1061"/>
      <c r="L47" s="1057"/>
    </row>
    <row r="48" spans="1:20" ht="22" x14ac:dyDescent="0.25">
      <c r="A48" s="1238"/>
      <c r="D48" s="1060"/>
      <c r="E48" s="1233"/>
      <c r="F48" s="1235"/>
      <c r="G48" s="1235"/>
      <c r="H48" s="1235"/>
      <c r="I48" s="1062"/>
      <c r="L48" s="1057"/>
    </row>
    <row r="49" spans="1:13" ht="14" customHeight="1" thickBot="1" x14ac:dyDescent="0.2">
      <c r="A49" s="1238"/>
      <c r="E49" s="1234"/>
      <c r="F49" s="1236"/>
      <c r="G49" s="1236"/>
      <c r="H49" s="1236"/>
      <c r="I49" s="1062"/>
      <c r="L49" s="1057"/>
    </row>
    <row r="50" spans="1:13" ht="14" thickTop="1" x14ac:dyDescent="0.15">
      <c r="A50" s="1238"/>
      <c r="B50" s="161" t="s">
        <v>2</v>
      </c>
      <c r="E50" s="1059"/>
      <c r="F50" s="1059"/>
      <c r="G50" s="315"/>
      <c r="L50" s="1057"/>
    </row>
    <row r="51" spans="1:13" ht="16" x14ac:dyDescent="0.2">
      <c r="A51" s="1238"/>
      <c r="B51" s="1056"/>
      <c r="C51" s="1056"/>
      <c r="D51" s="1063" t="str">
        <f t="shared" ref="D51:D64" si="4">D8</f>
        <v>Les gâteries</v>
      </c>
      <c r="E51" s="1064"/>
      <c r="F51" s="1064"/>
      <c r="G51" s="1065"/>
      <c r="H51" s="1056"/>
      <c r="I51" s="1056"/>
      <c r="J51" s="1056"/>
      <c r="L51" s="1057"/>
    </row>
    <row r="52" spans="1:13" ht="16" x14ac:dyDescent="0.2">
      <c r="A52" s="1238"/>
      <c r="B52" s="1056">
        <f t="shared" ref="B52:C63" si="5">B9</f>
        <v>1</v>
      </c>
      <c r="C52" s="1056">
        <f t="shared" si="5"/>
        <v>1</v>
      </c>
      <c r="D52" s="1056" t="str">
        <f t="shared" si="4"/>
        <v>Gâterie 1</v>
      </c>
      <c r="E52" s="1066">
        <f t="shared" ref="E52:F63" si="6">E9</f>
        <v>1.21</v>
      </c>
      <c r="F52" s="1107">
        <f t="shared" si="6"/>
        <v>3.3</v>
      </c>
      <c r="G52" s="1067">
        <f t="shared" ref="G52:G64" si="7">E52/F52</f>
        <v>0.3666666666666667</v>
      </c>
      <c r="H52" s="1068">
        <f t="shared" ref="H52:H64" si="8">F52-E52</f>
        <v>2.09</v>
      </c>
      <c r="I52" s="1064"/>
      <c r="J52" s="1056"/>
      <c r="K52" s="1056"/>
      <c r="L52" s="1004"/>
    </row>
    <row r="53" spans="1:13" ht="16" x14ac:dyDescent="0.2">
      <c r="A53" s="1238"/>
      <c r="B53" s="1056">
        <f t="shared" si="5"/>
        <v>2</v>
      </c>
      <c r="C53" s="1056">
        <f t="shared" si="5"/>
        <v>2</v>
      </c>
      <c r="D53" s="1056" t="str">
        <f t="shared" si="4"/>
        <v>Gâterie 2</v>
      </c>
      <c r="E53" s="1066">
        <f t="shared" si="6"/>
        <v>1.31</v>
      </c>
      <c r="F53" s="1066">
        <f t="shared" si="6"/>
        <v>3.8</v>
      </c>
      <c r="G53" s="1067">
        <f t="shared" si="7"/>
        <v>0.34473684210526317</v>
      </c>
      <c r="H53" s="1068">
        <f t="shared" si="8"/>
        <v>2.4899999999999998</v>
      </c>
      <c r="I53" s="1064"/>
      <c r="J53" s="1056"/>
      <c r="K53" s="1063"/>
      <c r="L53" s="1069"/>
    </row>
    <row r="54" spans="1:13" ht="16" x14ac:dyDescent="0.2">
      <c r="A54" s="1238"/>
      <c r="B54" s="1056">
        <f t="shared" si="5"/>
        <v>3</v>
      </c>
      <c r="C54" s="1056">
        <f t="shared" si="5"/>
        <v>3</v>
      </c>
      <c r="D54" s="1056" t="str">
        <f t="shared" si="4"/>
        <v>Gâterie 3</v>
      </c>
      <c r="E54" s="1066">
        <f t="shared" si="6"/>
        <v>1.35</v>
      </c>
      <c r="F54" s="1066">
        <f t="shared" si="6"/>
        <v>4</v>
      </c>
      <c r="G54" s="1067">
        <f t="shared" si="7"/>
        <v>0.33750000000000002</v>
      </c>
      <c r="H54" s="1068">
        <f t="shared" si="8"/>
        <v>2.65</v>
      </c>
      <c r="I54" s="1064"/>
      <c r="J54" s="1056"/>
      <c r="K54" s="1063"/>
      <c r="L54" s="1069"/>
    </row>
    <row r="55" spans="1:13" ht="16" x14ac:dyDescent="0.2">
      <c r="A55" s="1238"/>
      <c r="B55" s="1056">
        <f t="shared" si="5"/>
        <v>4</v>
      </c>
      <c r="C55" s="1056">
        <f t="shared" si="5"/>
        <v>4</v>
      </c>
      <c r="D55" s="1056" t="str">
        <f t="shared" si="4"/>
        <v>Gâterie 4</v>
      </c>
      <c r="E55" s="1066">
        <f t="shared" si="6"/>
        <v>1.4</v>
      </c>
      <c r="F55" s="1066">
        <f t="shared" si="6"/>
        <v>4.5</v>
      </c>
      <c r="G55" s="1067">
        <f t="shared" si="7"/>
        <v>0.31111111111111112</v>
      </c>
      <c r="H55" s="1068">
        <f t="shared" si="8"/>
        <v>3.1</v>
      </c>
      <c r="I55" s="1064"/>
      <c r="J55" s="1056"/>
      <c r="K55" s="1063"/>
      <c r="L55" s="1070"/>
    </row>
    <row r="56" spans="1:13" ht="16" x14ac:dyDescent="0.2">
      <c r="A56" s="1238"/>
      <c r="B56" s="1056">
        <f t="shared" si="5"/>
        <v>5</v>
      </c>
      <c r="C56" s="1056">
        <f t="shared" si="5"/>
        <v>5</v>
      </c>
      <c r="D56" s="1056" t="str">
        <f t="shared" si="4"/>
        <v>Gâterie 5</v>
      </c>
      <c r="E56" s="1066">
        <f t="shared" si="6"/>
        <v>1.24</v>
      </c>
      <c r="F56" s="1066">
        <f t="shared" si="6"/>
        <v>4.5999999999999996</v>
      </c>
      <c r="G56" s="1067">
        <f t="shared" si="7"/>
        <v>0.26956521739130435</v>
      </c>
      <c r="H56" s="1068">
        <f t="shared" si="8"/>
        <v>3.3599999999999994</v>
      </c>
      <c r="I56" s="1064"/>
      <c r="J56" s="1056"/>
      <c r="K56" s="1063"/>
      <c r="L56" s="1069"/>
    </row>
    <row r="57" spans="1:13" ht="16" x14ac:dyDescent="0.2">
      <c r="A57" s="1238"/>
      <c r="B57" s="1056">
        <f t="shared" si="5"/>
        <v>6</v>
      </c>
      <c r="C57" s="1056">
        <f t="shared" si="5"/>
        <v>6</v>
      </c>
      <c r="D57" s="1056" t="str">
        <f t="shared" si="4"/>
        <v>Gâterie 6</v>
      </c>
      <c r="E57" s="1066">
        <f t="shared" si="6"/>
        <v>1.39</v>
      </c>
      <c r="F57" s="1066">
        <f t="shared" si="6"/>
        <v>4.7</v>
      </c>
      <c r="G57" s="1067">
        <f t="shared" si="7"/>
        <v>0.29574468085106381</v>
      </c>
      <c r="H57" s="1068">
        <f t="shared" si="8"/>
        <v>3.3100000000000005</v>
      </c>
      <c r="I57" s="1064"/>
      <c r="J57" s="1056"/>
      <c r="K57" s="1063"/>
      <c r="L57" s="1071"/>
      <c r="M57" s="590"/>
    </row>
    <row r="58" spans="1:13" ht="16" x14ac:dyDescent="0.2">
      <c r="A58" s="1238"/>
      <c r="B58" s="1056">
        <f t="shared" si="5"/>
        <v>7</v>
      </c>
      <c r="C58" s="1056">
        <f t="shared" si="5"/>
        <v>7</v>
      </c>
      <c r="D58" s="1056" t="str">
        <f t="shared" si="4"/>
        <v>Gâterie 7</v>
      </c>
      <c r="E58" s="1066">
        <f t="shared" si="6"/>
        <v>1.51</v>
      </c>
      <c r="F58" s="1066">
        <f t="shared" si="6"/>
        <v>4.8</v>
      </c>
      <c r="G58" s="1067">
        <f t="shared" si="7"/>
        <v>0.31458333333333333</v>
      </c>
      <c r="H58" s="1068">
        <f t="shared" si="8"/>
        <v>3.29</v>
      </c>
      <c r="I58" s="1064"/>
      <c r="J58" s="1056"/>
      <c r="K58" s="1056"/>
      <c r="L58" s="1004"/>
    </row>
    <row r="59" spans="1:13" ht="16" x14ac:dyDescent="0.2">
      <c r="A59" s="1238"/>
      <c r="B59" s="1056">
        <f t="shared" si="5"/>
        <v>8</v>
      </c>
      <c r="C59" s="1056">
        <f t="shared" si="5"/>
        <v>8</v>
      </c>
      <c r="D59" s="1056" t="str">
        <f t="shared" si="4"/>
        <v>Gâterie 8</v>
      </c>
      <c r="E59" s="1066">
        <f t="shared" si="6"/>
        <v>1.53</v>
      </c>
      <c r="F59" s="1066">
        <f t="shared" si="6"/>
        <v>4.9000000000000004</v>
      </c>
      <c r="G59" s="1067">
        <f t="shared" si="7"/>
        <v>0.31224489795918364</v>
      </c>
      <c r="H59" s="1068">
        <f t="shared" si="8"/>
        <v>3.37</v>
      </c>
      <c r="I59" s="1064"/>
      <c r="J59" s="1056"/>
      <c r="K59" s="1056"/>
      <c r="L59" s="1004"/>
    </row>
    <row r="60" spans="1:13" ht="16" x14ac:dyDescent="0.2">
      <c r="A60" s="1238"/>
      <c r="B60" s="1056">
        <f t="shared" si="5"/>
        <v>9</v>
      </c>
      <c r="C60" s="1056">
        <f t="shared" si="5"/>
        <v>9</v>
      </c>
      <c r="D60" s="1056" t="str">
        <f t="shared" si="4"/>
        <v>Gâterie 9</v>
      </c>
      <c r="E60" s="1066">
        <f t="shared" si="6"/>
        <v>1.55</v>
      </c>
      <c r="F60" s="1066">
        <f t="shared" si="6"/>
        <v>5</v>
      </c>
      <c r="G60" s="1067">
        <f t="shared" si="7"/>
        <v>0.31</v>
      </c>
      <c r="H60" s="1068">
        <f t="shared" si="8"/>
        <v>3.45</v>
      </c>
      <c r="I60" s="1064"/>
      <c r="J60" s="1056"/>
      <c r="K60" s="1056"/>
      <c r="L60" s="1004"/>
    </row>
    <row r="61" spans="1:13" ht="16" x14ac:dyDescent="0.2">
      <c r="A61" s="1238"/>
      <c r="B61" s="1056">
        <f t="shared" si="5"/>
        <v>10</v>
      </c>
      <c r="C61" s="1056">
        <f t="shared" si="5"/>
        <v>10</v>
      </c>
      <c r="D61" s="1056" t="str">
        <f t="shared" si="4"/>
        <v>Gâterie 10</v>
      </c>
      <c r="E61" s="1066">
        <f t="shared" si="6"/>
        <v>1.59</v>
      </c>
      <c r="F61" s="1066">
        <f t="shared" si="6"/>
        <v>5.2</v>
      </c>
      <c r="G61" s="1067">
        <f t="shared" si="7"/>
        <v>0.30576923076923079</v>
      </c>
      <c r="H61" s="1068">
        <f t="shared" si="8"/>
        <v>3.6100000000000003</v>
      </c>
      <c r="I61" s="1064"/>
      <c r="J61" s="1056"/>
      <c r="K61" s="1056"/>
      <c r="L61" s="1004"/>
    </row>
    <row r="62" spans="1:13" ht="16" x14ac:dyDescent="0.2">
      <c r="A62" s="1238"/>
      <c r="B62" s="1056">
        <f t="shared" si="5"/>
        <v>11</v>
      </c>
      <c r="C62" s="1056">
        <f t="shared" si="5"/>
        <v>11</v>
      </c>
      <c r="D62" s="1056" t="str">
        <f t="shared" si="4"/>
        <v>Gâterie 11</v>
      </c>
      <c r="E62" s="1066">
        <f t="shared" si="6"/>
        <v>1.83</v>
      </c>
      <c r="F62" s="1066">
        <f t="shared" si="6"/>
        <v>6.4</v>
      </c>
      <c r="G62" s="1067">
        <f t="shared" si="7"/>
        <v>0.28593750000000001</v>
      </c>
      <c r="H62" s="1068">
        <f t="shared" si="8"/>
        <v>4.57</v>
      </c>
      <c r="I62" s="1064"/>
      <c r="J62" s="1056"/>
      <c r="K62" s="1063"/>
      <c r="L62" s="1069"/>
    </row>
    <row r="63" spans="1:13" ht="16" x14ac:dyDescent="0.2">
      <c r="A63" s="1238"/>
      <c r="B63" s="1056">
        <f t="shared" si="5"/>
        <v>12</v>
      </c>
      <c r="C63" s="1056">
        <f t="shared" si="5"/>
        <v>12</v>
      </c>
      <c r="D63" s="1056" t="str">
        <f t="shared" si="4"/>
        <v>Gâterie 12</v>
      </c>
      <c r="E63" s="1066">
        <f t="shared" si="6"/>
        <v>1.87</v>
      </c>
      <c r="F63" s="1066">
        <f t="shared" si="6"/>
        <v>6.6</v>
      </c>
      <c r="G63" s="1067">
        <f t="shared" si="7"/>
        <v>0.28333333333333338</v>
      </c>
      <c r="H63" s="1068">
        <f t="shared" si="8"/>
        <v>4.7299999999999995</v>
      </c>
      <c r="I63" s="1064"/>
      <c r="J63" s="1056"/>
      <c r="K63" s="1063"/>
      <c r="L63" s="1069"/>
    </row>
    <row r="64" spans="1:13" ht="19" x14ac:dyDescent="0.35">
      <c r="A64" s="1238"/>
      <c r="B64" s="1056"/>
      <c r="C64" s="1056"/>
      <c r="D64" s="1063" t="str">
        <f t="shared" si="4"/>
        <v>CmO—PmO—Food Cost—BmO</v>
      </c>
      <c r="E64" s="1072">
        <f>SUM(E52:E63)/C63</f>
        <v>1.4816666666666667</v>
      </c>
      <c r="F64" s="1072">
        <f>SUM(F52:F63)/C63</f>
        <v>4.8166666666666673</v>
      </c>
      <c r="G64" s="1073">
        <f t="shared" si="7"/>
        <v>0.30761245674740478</v>
      </c>
      <c r="H64" s="1074">
        <f t="shared" si="8"/>
        <v>3.3350000000000009</v>
      </c>
      <c r="I64" s="1075"/>
      <c r="J64" s="1056"/>
      <c r="K64" s="1063"/>
      <c r="L64" s="1070"/>
    </row>
    <row r="65" spans="1:15" ht="16" x14ac:dyDescent="0.2">
      <c r="A65" s="1238"/>
      <c r="B65" s="1056" t="s">
        <v>2</v>
      </c>
      <c r="C65" s="1056"/>
      <c r="D65" s="1056"/>
      <c r="E65" s="1066"/>
      <c r="F65" s="1066"/>
      <c r="G65" s="1067"/>
      <c r="H65" s="1076"/>
      <c r="I65" s="1056"/>
      <c r="J65" s="1056"/>
      <c r="K65" s="1063"/>
      <c r="L65" s="1069"/>
    </row>
    <row r="66" spans="1:15" ht="16" x14ac:dyDescent="0.2">
      <c r="A66" s="1238"/>
      <c r="B66" s="1056"/>
      <c r="C66" s="1056"/>
      <c r="D66" s="1063" t="str">
        <f t="shared" ref="D66:D79" si="9">D23</f>
        <v>Les cafés gâteries</v>
      </c>
      <c r="E66" s="1066"/>
      <c r="F66" s="1066"/>
      <c r="G66" s="1067"/>
      <c r="H66" s="1076"/>
      <c r="I66" s="1056"/>
      <c r="J66" s="1056"/>
      <c r="K66" s="1063"/>
      <c r="L66" s="1071"/>
      <c r="M66" s="590"/>
    </row>
    <row r="67" spans="1:15" ht="16" x14ac:dyDescent="0.2">
      <c r="A67" s="1238"/>
      <c r="B67" s="1056">
        <f t="shared" ref="B67:C78" si="10">B24</f>
        <v>13</v>
      </c>
      <c r="C67" s="1056">
        <f t="shared" si="10"/>
        <v>1</v>
      </c>
      <c r="D67" s="1056" t="str">
        <f t="shared" si="9"/>
        <v>Café gâterie le spécial 1</v>
      </c>
      <c r="E67" s="1066">
        <f t="shared" ref="E67:F78" si="11">E24</f>
        <v>1.1399999999999999</v>
      </c>
      <c r="F67" s="1107">
        <f t="shared" si="11"/>
        <v>3.3</v>
      </c>
      <c r="G67" s="1067">
        <f>E67/F67</f>
        <v>0.34545454545454546</v>
      </c>
      <c r="H67" s="1068">
        <f>F67-E67</f>
        <v>2.16</v>
      </c>
      <c r="I67" s="1064"/>
      <c r="J67" s="1056"/>
      <c r="K67" s="1056"/>
      <c r="L67" s="1004"/>
    </row>
    <row r="68" spans="1:15" ht="16" x14ac:dyDescent="0.2">
      <c r="A68" s="1238"/>
      <c r="B68" s="1056">
        <f t="shared" si="10"/>
        <v>14</v>
      </c>
      <c r="C68" s="1056">
        <f t="shared" si="10"/>
        <v>2</v>
      </c>
      <c r="D68" s="1056" t="str">
        <f t="shared" si="9"/>
        <v>Café gâterie le spécial 2</v>
      </c>
      <c r="E68" s="1066">
        <f t="shared" si="11"/>
        <v>1.33</v>
      </c>
      <c r="F68" s="1066">
        <f t="shared" si="11"/>
        <v>3.8</v>
      </c>
      <c r="G68" s="1067">
        <f>E68/F68</f>
        <v>0.35000000000000003</v>
      </c>
      <c r="H68" s="1068">
        <f>F68-E68</f>
        <v>2.4699999999999998</v>
      </c>
      <c r="I68" s="1064"/>
      <c r="J68" s="1056"/>
      <c r="K68" s="1091"/>
      <c r="L68" s="1092"/>
      <c r="M68" s="1084"/>
      <c r="N68" s="1084"/>
      <c r="O68" s="1084"/>
    </row>
    <row r="69" spans="1:15" ht="16" x14ac:dyDescent="0.2">
      <c r="A69" s="1238"/>
      <c r="B69" s="1056">
        <f t="shared" si="10"/>
        <v>15</v>
      </c>
      <c r="C69" s="1056">
        <f t="shared" si="10"/>
        <v>3</v>
      </c>
      <c r="D69" s="1056" t="str">
        <f t="shared" si="9"/>
        <v>Café gâterie le spécial 3</v>
      </c>
      <c r="E69" s="1066">
        <f t="shared" si="11"/>
        <v>1.37</v>
      </c>
      <c r="F69" s="1066">
        <f t="shared" si="11"/>
        <v>4</v>
      </c>
      <c r="G69" s="1067">
        <f>E69/F69</f>
        <v>0.34250000000000003</v>
      </c>
      <c r="H69" s="1068">
        <f>F69-E69</f>
        <v>2.63</v>
      </c>
      <c r="I69" s="1064"/>
      <c r="J69" s="1056"/>
      <c r="K69" s="1091"/>
      <c r="L69" s="1092"/>
      <c r="M69" s="1084"/>
      <c r="N69" s="1084"/>
      <c r="O69" s="1084"/>
    </row>
    <row r="70" spans="1:15" ht="16" x14ac:dyDescent="0.2">
      <c r="A70" s="1238"/>
      <c r="B70" s="1056">
        <f t="shared" si="10"/>
        <v>16</v>
      </c>
      <c r="C70" s="1056">
        <f t="shared" si="10"/>
        <v>4</v>
      </c>
      <c r="D70" s="1056" t="str">
        <f t="shared" si="9"/>
        <v>Café gâterie le spécial 4</v>
      </c>
      <c r="E70" s="1066">
        <f t="shared" si="11"/>
        <v>1.36</v>
      </c>
      <c r="F70" s="1066">
        <f t="shared" si="11"/>
        <v>4.5</v>
      </c>
      <c r="G70" s="1067">
        <f t="shared" ref="G70:G77" si="12">E70/F70</f>
        <v>0.30222222222222223</v>
      </c>
      <c r="H70" s="1068">
        <f t="shared" ref="H70:H77" si="13">F70-E70</f>
        <v>3.1399999999999997</v>
      </c>
      <c r="I70" s="1064"/>
      <c r="J70" s="1056"/>
      <c r="K70" s="1091"/>
      <c r="L70" s="1099"/>
      <c r="M70" s="1084"/>
      <c r="N70" s="1084"/>
      <c r="O70" s="1084"/>
    </row>
    <row r="71" spans="1:15" ht="16" x14ac:dyDescent="0.2">
      <c r="A71" s="1238"/>
      <c r="B71" s="1056">
        <f t="shared" si="10"/>
        <v>17</v>
      </c>
      <c r="C71" s="1056">
        <f t="shared" si="10"/>
        <v>5</v>
      </c>
      <c r="D71" s="1056" t="str">
        <f t="shared" si="9"/>
        <v>Café gâterie le spécial 5</v>
      </c>
      <c r="E71" s="1066">
        <f t="shared" si="11"/>
        <v>1.38</v>
      </c>
      <c r="F71" s="1066">
        <f t="shared" si="11"/>
        <v>4.5999999999999996</v>
      </c>
      <c r="G71" s="1067">
        <f t="shared" si="12"/>
        <v>0.3</v>
      </c>
      <c r="H71" s="1068">
        <f t="shared" si="13"/>
        <v>3.2199999999999998</v>
      </c>
      <c r="I71" s="1064"/>
      <c r="J71" s="1056"/>
      <c r="K71" s="1091"/>
      <c r="L71" s="1092"/>
      <c r="M71" s="1084"/>
      <c r="N71" s="1084"/>
      <c r="O71" s="1084"/>
    </row>
    <row r="72" spans="1:15" ht="16" x14ac:dyDescent="0.2">
      <c r="A72" s="1238"/>
      <c r="B72" s="1056">
        <f t="shared" si="10"/>
        <v>18</v>
      </c>
      <c r="C72" s="1056">
        <f t="shared" si="10"/>
        <v>6</v>
      </c>
      <c r="D72" s="1056" t="str">
        <f t="shared" si="9"/>
        <v>Café gâterie le spécial 6</v>
      </c>
      <c r="E72" s="1066">
        <f t="shared" si="11"/>
        <v>1.4</v>
      </c>
      <c r="F72" s="1066">
        <f t="shared" si="11"/>
        <v>4.7</v>
      </c>
      <c r="G72" s="1067">
        <f t="shared" si="12"/>
        <v>0.2978723404255319</v>
      </c>
      <c r="H72" s="1068">
        <f t="shared" si="13"/>
        <v>3.3000000000000003</v>
      </c>
      <c r="I72" s="1064"/>
      <c r="J72" s="1056"/>
      <c r="K72" s="1091"/>
      <c r="L72" s="1092"/>
      <c r="M72" s="1106"/>
      <c r="N72" s="1084"/>
      <c r="O72" s="1084"/>
    </row>
    <row r="73" spans="1:15" ht="16" x14ac:dyDescent="0.2">
      <c r="A73" s="1238"/>
      <c r="B73" s="1056">
        <f t="shared" si="10"/>
        <v>19</v>
      </c>
      <c r="C73" s="1056">
        <f t="shared" si="10"/>
        <v>7</v>
      </c>
      <c r="D73" s="1056" t="str">
        <f t="shared" si="9"/>
        <v>Café gâterie le spécial 7</v>
      </c>
      <c r="E73" s="1066">
        <f t="shared" si="11"/>
        <v>1.41</v>
      </c>
      <c r="F73" s="1066">
        <f t="shared" si="11"/>
        <v>4.8</v>
      </c>
      <c r="G73" s="1067">
        <f t="shared" si="12"/>
        <v>0.29375000000000001</v>
      </c>
      <c r="H73" s="1068">
        <f t="shared" si="13"/>
        <v>3.3899999999999997</v>
      </c>
      <c r="I73" s="1064"/>
      <c r="J73" s="1056"/>
      <c r="N73" s="1084"/>
      <c r="O73" s="1084"/>
    </row>
    <row r="74" spans="1:15" ht="16" x14ac:dyDescent="0.2">
      <c r="A74" s="1238"/>
      <c r="B74" s="1056">
        <f t="shared" si="10"/>
        <v>20</v>
      </c>
      <c r="C74" s="1056">
        <f t="shared" si="10"/>
        <v>8</v>
      </c>
      <c r="D74" s="1056" t="str">
        <f t="shared" si="9"/>
        <v>Café gâterie le spécial 8</v>
      </c>
      <c r="E74" s="1066">
        <f t="shared" si="11"/>
        <v>1.43</v>
      </c>
      <c r="F74" s="1066">
        <f t="shared" si="11"/>
        <v>4.9000000000000004</v>
      </c>
      <c r="G74" s="1067">
        <f t="shared" si="12"/>
        <v>0.2918367346938775</v>
      </c>
      <c r="H74" s="1068">
        <f t="shared" si="13"/>
        <v>3.4700000000000006</v>
      </c>
      <c r="I74" s="1064"/>
      <c r="J74" s="1056"/>
      <c r="N74" s="1084"/>
      <c r="O74" s="1084"/>
    </row>
    <row r="75" spans="1:15" ht="16" x14ac:dyDescent="0.2">
      <c r="A75" s="1238"/>
      <c r="B75" s="1056">
        <f t="shared" si="10"/>
        <v>21</v>
      </c>
      <c r="C75" s="1056">
        <f t="shared" si="10"/>
        <v>9</v>
      </c>
      <c r="D75" s="1056" t="str">
        <f t="shared" si="9"/>
        <v>Café gâterie le spécial 9</v>
      </c>
      <c r="E75" s="1066">
        <f t="shared" si="11"/>
        <v>1.45</v>
      </c>
      <c r="F75" s="1066">
        <f t="shared" si="11"/>
        <v>5</v>
      </c>
      <c r="G75" s="1067">
        <f t="shared" si="12"/>
        <v>0.28999999999999998</v>
      </c>
      <c r="H75" s="1068">
        <f t="shared" si="13"/>
        <v>3.55</v>
      </c>
      <c r="I75" s="1064"/>
      <c r="J75" s="1056"/>
      <c r="K75" s="1091"/>
      <c r="L75" s="1099"/>
      <c r="M75" s="1084"/>
      <c r="N75" s="1084"/>
      <c r="O75" s="1084"/>
    </row>
    <row r="76" spans="1:15" ht="16" x14ac:dyDescent="0.2">
      <c r="A76" s="1238"/>
      <c r="B76" s="1056">
        <f t="shared" si="10"/>
        <v>22</v>
      </c>
      <c r="C76" s="1056">
        <f t="shared" si="10"/>
        <v>10</v>
      </c>
      <c r="D76" s="1056" t="str">
        <f t="shared" si="9"/>
        <v>Café gâterie le spécial 10</v>
      </c>
      <c r="E76" s="1066">
        <f t="shared" si="11"/>
        <v>1.49</v>
      </c>
      <c r="F76" s="1066">
        <f t="shared" si="11"/>
        <v>5.2</v>
      </c>
      <c r="G76" s="1067">
        <f t="shared" si="12"/>
        <v>0.28653846153846152</v>
      </c>
      <c r="H76" s="1068">
        <f t="shared" si="13"/>
        <v>3.71</v>
      </c>
      <c r="I76" s="1064"/>
      <c r="J76" s="1056"/>
      <c r="L76" s="1057"/>
    </row>
    <row r="77" spans="1:15" ht="16" x14ac:dyDescent="0.2">
      <c r="A77" s="1238"/>
      <c r="B77" s="1056">
        <f t="shared" si="10"/>
        <v>23</v>
      </c>
      <c r="C77" s="1056">
        <f t="shared" si="10"/>
        <v>11</v>
      </c>
      <c r="D77" s="1056" t="str">
        <f t="shared" si="9"/>
        <v>Café gâterie le spécial 11</v>
      </c>
      <c r="E77" s="1066">
        <f t="shared" si="11"/>
        <v>1.59</v>
      </c>
      <c r="F77" s="1066">
        <f t="shared" si="11"/>
        <v>5.8</v>
      </c>
      <c r="G77" s="1067">
        <f t="shared" si="12"/>
        <v>0.27413793103448281</v>
      </c>
      <c r="H77" s="1068">
        <f t="shared" si="13"/>
        <v>4.21</v>
      </c>
      <c r="I77" s="1064"/>
      <c r="J77" s="1056"/>
      <c r="L77" s="1057"/>
    </row>
    <row r="78" spans="1:15" ht="16" x14ac:dyDescent="0.2">
      <c r="A78" s="1238"/>
      <c r="B78" s="1056">
        <f t="shared" si="10"/>
        <v>24</v>
      </c>
      <c r="C78" s="1056">
        <f t="shared" si="10"/>
        <v>12</v>
      </c>
      <c r="D78" s="1056" t="str">
        <f t="shared" si="9"/>
        <v>Café gâterie le spécial 12</v>
      </c>
      <c r="E78" s="1066">
        <f t="shared" si="11"/>
        <v>1.74</v>
      </c>
      <c r="F78" s="1066">
        <f t="shared" si="11"/>
        <v>6.6</v>
      </c>
      <c r="G78" s="1067">
        <f>E78/F78</f>
        <v>0.26363636363636367</v>
      </c>
      <c r="H78" s="1068">
        <f>F78-E78</f>
        <v>4.8599999999999994</v>
      </c>
      <c r="I78" s="1064"/>
      <c r="J78" s="1056"/>
      <c r="L78" s="1057"/>
    </row>
    <row r="79" spans="1:15" ht="19" x14ac:dyDescent="0.35">
      <c r="A79" s="1238"/>
      <c r="B79" s="1056"/>
      <c r="C79" s="1056"/>
      <c r="D79" s="1063" t="str">
        <f t="shared" si="9"/>
        <v>CmO—PmO—Beverage Cost—Marge brute</v>
      </c>
      <c r="E79" s="1072">
        <f>SUM(E67:E78)/C78</f>
        <v>1.4241666666666666</v>
      </c>
      <c r="F79" s="1072">
        <f>SUM(F67:F78)/C78</f>
        <v>4.7666666666666666</v>
      </c>
      <c r="G79" s="1077">
        <f>E79/F79</f>
        <v>0.29877622377622376</v>
      </c>
      <c r="H79" s="1074">
        <f>F79-E79</f>
        <v>3.3425000000000002</v>
      </c>
      <c r="I79" s="1075"/>
      <c r="J79" s="1056"/>
      <c r="L79" s="1057"/>
    </row>
    <row r="80" spans="1:15" ht="17" thickBot="1" x14ac:dyDescent="0.25">
      <c r="A80" s="1238"/>
      <c r="B80" s="1056"/>
      <c r="C80" s="1056"/>
      <c r="D80" s="1056"/>
      <c r="E80" s="1066"/>
      <c r="F80" s="1066"/>
      <c r="G80" s="1065"/>
      <c r="H80" s="1076"/>
      <c r="I80" s="1056"/>
      <c r="J80" s="1056"/>
      <c r="L80" s="1057"/>
    </row>
    <row r="81" spans="1:13" ht="21" thickTop="1" thickBot="1" x14ac:dyDescent="0.4">
      <c r="A81" s="1238"/>
      <c r="B81" s="1056"/>
      <c r="C81" s="1078"/>
      <c r="D81" s="1079"/>
      <c r="E81" s="1080"/>
      <c r="F81" s="1080"/>
      <c r="G81" s="1081"/>
      <c r="H81" s="1082"/>
      <c r="I81" s="1083"/>
      <c r="J81" s="1056"/>
      <c r="L81" s="1057"/>
    </row>
    <row r="82" spans="1:13" ht="18" thickTop="1" thickBot="1" x14ac:dyDescent="0.25">
      <c r="A82" s="1238"/>
      <c r="B82" s="1056"/>
      <c r="C82" s="1085"/>
      <c r="D82" s="1063"/>
      <c r="E82" s="1086" t="str">
        <f>E39</f>
        <v>CmO</v>
      </c>
      <c r="F82" s="1086" t="str">
        <f>F39</f>
        <v>PmO</v>
      </c>
      <c r="G82" s="1087" t="str">
        <f>G39</f>
        <v>F&amp;BCmO</v>
      </c>
      <c r="H82" s="1113" t="str">
        <f>H39</f>
        <v>BmO</v>
      </c>
      <c r="I82" s="1088"/>
      <c r="J82" s="1056"/>
      <c r="K82" s="1056"/>
      <c r="L82" s="1004"/>
    </row>
    <row r="83" spans="1:13" ht="17" thickTop="1" x14ac:dyDescent="0.2">
      <c r="A83" s="1238"/>
      <c r="B83" s="1056"/>
      <c r="C83" s="1085"/>
      <c r="D83" s="1089" t="str">
        <f>D40</f>
        <v>OFFRE TOTALE AVEC LES GÂTERIES ET LES CAFÉS GÂTERIES</v>
      </c>
      <c r="E83" s="1066"/>
      <c r="F83" s="1066"/>
      <c r="G83" s="1065"/>
      <c r="H83" s="1076"/>
      <c r="I83" s="1090"/>
      <c r="J83" s="1056"/>
      <c r="K83" s="1063"/>
      <c r="L83" s="1069"/>
    </row>
    <row r="84" spans="1:13" ht="19" x14ac:dyDescent="0.35">
      <c r="A84" s="1238"/>
      <c r="B84" s="1056"/>
      <c r="C84" s="1085"/>
      <c r="D84" s="1063" t="str">
        <f>D41</f>
        <v>CmO—PmO—F&amp;B cost moyen offert—Marge brute</v>
      </c>
      <c r="E84" s="1093">
        <f>+(E52+E53+E54+E55+E56+E57+E58+E59+E60+E61+E62+E63+E67+E68+E69+E70+E71+E72+E73+E74+E75+E76+E77+E78)/B78</f>
        <v>1.4529166666666666</v>
      </c>
      <c r="F84" s="1093">
        <f>+(F52+F53+F54+F55+F56+F57+F58+F59+F60+F61+F62+F63+F67+F68+F69+F70+F71+F72+F73+F74+F75+F76+F77+F78)/B78</f>
        <v>4.791666666666667</v>
      </c>
      <c r="G84" s="1094">
        <f>E84/F84</f>
        <v>0.30321739130434783</v>
      </c>
      <c r="H84" s="1095">
        <f>F84-E84</f>
        <v>3.3387500000000001</v>
      </c>
      <c r="I84" s="1096"/>
      <c r="J84" s="1056"/>
      <c r="K84" s="1063"/>
      <c r="L84" s="1069"/>
    </row>
    <row r="85" spans="1:13" ht="16" x14ac:dyDescent="0.2">
      <c r="A85" s="1238"/>
      <c r="B85" s="1056"/>
      <c r="C85" s="1085"/>
      <c r="D85" s="1056"/>
      <c r="E85" s="1069"/>
      <c r="F85" s="1069"/>
      <c r="G85" s="1070"/>
      <c r="H85" s="1097"/>
      <c r="I85" s="1098"/>
      <c r="J85" s="1056"/>
      <c r="K85" s="1063"/>
      <c r="L85" s="1070"/>
    </row>
    <row r="86" spans="1:13" ht="17" thickBot="1" x14ac:dyDescent="0.25">
      <c r="A86" s="1238"/>
      <c r="B86" s="1056"/>
      <c r="C86" s="1100"/>
      <c r="D86" s="1101"/>
      <c r="E86" s="1102"/>
      <c r="F86" s="1102"/>
      <c r="G86" s="1103"/>
      <c r="H86" s="1104"/>
      <c r="I86" s="1105"/>
      <c r="J86" s="1056"/>
      <c r="K86" s="1063"/>
      <c r="L86" s="1069"/>
    </row>
    <row r="87" spans="1:13" ht="17" thickTop="1" x14ac:dyDescent="0.2">
      <c r="A87" s="1238"/>
      <c r="B87" s="1084"/>
      <c r="C87" s="1084"/>
      <c r="D87" s="1084"/>
      <c r="E87" s="1084"/>
      <c r="F87" s="1084"/>
      <c r="G87" s="1084"/>
      <c r="H87" s="1084"/>
      <c r="I87" s="1084"/>
      <c r="J87" s="1056"/>
      <c r="K87" s="1063"/>
      <c r="L87" s="1071"/>
      <c r="M87" s="590"/>
    </row>
    <row r="88" spans="1:13" ht="22" x14ac:dyDescent="0.25">
      <c r="A88" s="1238"/>
      <c r="D88" s="1058" t="s">
        <v>587</v>
      </c>
      <c r="F88" s="1059"/>
      <c r="K88" s="1056"/>
      <c r="L88" s="1004"/>
    </row>
    <row r="89" spans="1:13" ht="23" thickBot="1" x14ac:dyDescent="0.3">
      <c r="A89" s="1238"/>
      <c r="D89" s="1060"/>
      <c r="K89" s="1056"/>
      <c r="L89" s="1004"/>
    </row>
    <row r="90" spans="1:13" ht="23" thickTop="1" x14ac:dyDescent="0.25">
      <c r="A90" s="1238"/>
      <c r="D90" s="1060"/>
      <c r="E90" s="1232" t="str">
        <f>E47</f>
        <v>Coûts des ressources alimentaires pour chaque produit offert (voir recettes standardisées)</v>
      </c>
      <c r="F90" s="1232" t="str">
        <f>F47</f>
        <v>Prix de vente par produit offert</v>
      </c>
      <c r="G90" s="1232" t="str">
        <f>G47</f>
        <v xml:space="preserve">« Food &amp; Beverage Cost » </v>
      </c>
      <c r="H90" s="1232" t="str">
        <f>H47</f>
        <v>Marge brute gagnée sur la vente de chaque produit offert</v>
      </c>
      <c r="I90" s="1061"/>
      <c r="K90" s="1056"/>
      <c r="L90" s="1004"/>
    </row>
    <row r="91" spans="1:13" ht="22" x14ac:dyDescent="0.25">
      <c r="A91" s="1238"/>
      <c r="D91" s="1060"/>
      <c r="E91" s="1233"/>
      <c r="F91" s="1235"/>
      <c r="G91" s="1235"/>
      <c r="H91" s="1235"/>
      <c r="I91" s="1062"/>
      <c r="K91" s="1056"/>
      <c r="L91" s="1004"/>
    </row>
    <row r="92" spans="1:13" ht="17" thickBot="1" x14ac:dyDescent="0.25">
      <c r="A92" s="1238"/>
      <c r="E92" s="1234"/>
      <c r="F92" s="1236"/>
      <c r="G92" s="1236"/>
      <c r="H92" s="1236"/>
      <c r="I92" s="1062"/>
      <c r="K92" s="1063"/>
      <c r="L92" s="1069"/>
    </row>
    <row r="93" spans="1:13" ht="17" thickTop="1" x14ac:dyDescent="0.2">
      <c r="A93" s="1238"/>
      <c r="B93" s="161" t="s">
        <v>2</v>
      </c>
      <c r="E93" s="1059"/>
      <c r="F93" s="1059"/>
      <c r="G93" s="315"/>
      <c r="K93" s="1063"/>
      <c r="L93" s="1069"/>
    </row>
    <row r="94" spans="1:13" ht="16" x14ac:dyDescent="0.2">
      <c r="A94" s="1238"/>
      <c r="B94" s="1056"/>
      <c r="C94" s="1056"/>
      <c r="D94" s="1063" t="str">
        <f t="shared" ref="D94:D107" si="14">D51</f>
        <v>Les gâteries</v>
      </c>
      <c r="E94" s="1064"/>
      <c r="F94" s="1064"/>
      <c r="G94" s="1065"/>
      <c r="H94" s="1056"/>
      <c r="I94" s="1056"/>
      <c r="J94" s="1056"/>
      <c r="K94" s="1063"/>
      <c r="L94" s="1070"/>
    </row>
    <row r="95" spans="1:13" ht="16" x14ac:dyDescent="0.2">
      <c r="A95" s="1238"/>
      <c r="B95" s="1056">
        <f t="shared" ref="B95:C106" si="15">B52</f>
        <v>1</v>
      </c>
      <c r="C95" s="1056">
        <f t="shared" si="15"/>
        <v>1</v>
      </c>
      <c r="D95" s="1056" t="str">
        <f t="shared" si="14"/>
        <v>Gâterie 1</v>
      </c>
      <c r="E95" s="1066">
        <f t="shared" ref="E95:F106" si="16">E52</f>
        <v>1.21</v>
      </c>
      <c r="F95" s="1066">
        <f t="shared" si="16"/>
        <v>3.3</v>
      </c>
      <c r="G95" s="1067">
        <f t="shared" ref="G95:G107" si="17">E95/F95</f>
        <v>0.3666666666666667</v>
      </c>
      <c r="H95" s="1068">
        <f t="shared" ref="H95:H107" si="18">F95-E95</f>
        <v>2.09</v>
      </c>
      <c r="I95" s="1064"/>
      <c r="J95" s="1056"/>
      <c r="K95" s="1063"/>
      <c r="L95" s="1069"/>
    </row>
    <row r="96" spans="1:13" ht="16" x14ac:dyDescent="0.2">
      <c r="A96" s="1238"/>
      <c r="B96" s="1056">
        <f t="shared" si="15"/>
        <v>2</v>
      </c>
      <c r="C96" s="1056">
        <f t="shared" si="15"/>
        <v>2</v>
      </c>
      <c r="D96" s="1056" t="str">
        <f t="shared" si="14"/>
        <v>Gâterie 2</v>
      </c>
      <c r="E96" s="1066">
        <f t="shared" si="16"/>
        <v>1.31</v>
      </c>
      <c r="F96" s="1066">
        <f t="shared" si="16"/>
        <v>3.8</v>
      </c>
      <c r="G96" s="1067">
        <f t="shared" si="17"/>
        <v>0.34473684210526317</v>
      </c>
      <c r="H96" s="1068">
        <f t="shared" si="18"/>
        <v>2.4899999999999998</v>
      </c>
      <c r="I96" s="1064"/>
      <c r="J96" s="1056"/>
      <c r="K96" s="1063"/>
      <c r="L96" s="1071"/>
      <c r="M96" s="590"/>
    </row>
    <row r="97" spans="1:13" ht="16" x14ac:dyDescent="0.2">
      <c r="A97" s="1238"/>
      <c r="B97" s="1056">
        <f t="shared" si="15"/>
        <v>3</v>
      </c>
      <c r="C97" s="1056">
        <f t="shared" si="15"/>
        <v>3</v>
      </c>
      <c r="D97" s="1056" t="str">
        <f t="shared" si="14"/>
        <v>Gâterie 3</v>
      </c>
      <c r="E97" s="1066">
        <f t="shared" si="16"/>
        <v>1.35</v>
      </c>
      <c r="F97" s="1066">
        <f t="shared" si="16"/>
        <v>4</v>
      </c>
      <c r="G97" s="1067">
        <f t="shared" si="17"/>
        <v>0.33750000000000002</v>
      </c>
      <c r="H97" s="1068">
        <f t="shared" si="18"/>
        <v>2.65</v>
      </c>
      <c r="I97" s="1064"/>
      <c r="J97" s="1056"/>
      <c r="K97" s="1056"/>
      <c r="L97" s="1004"/>
    </row>
    <row r="98" spans="1:13" ht="16" x14ac:dyDescent="0.2">
      <c r="A98" s="1238"/>
      <c r="B98" s="1056">
        <f t="shared" si="15"/>
        <v>4</v>
      </c>
      <c r="C98" s="1056">
        <f t="shared" si="15"/>
        <v>4</v>
      </c>
      <c r="D98" s="1056" t="str">
        <f t="shared" si="14"/>
        <v>Gâterie 4</v>
      </c>
      <c r="E98" s="1066">
        <f t="shared" si="16"/>
        <v>1.4</v>
      </c>
      <c r="F98" s="1066">
        <f t="shared" si="16"/>
        <v>4.5</v>
      </c>
      <c r="G98" s="1067">
        <f t="shared" si="17"/>
        <v>0.31111111111111112</v>
      </c>
      <c r="H98" s="1068">
        <f t="shared" si="18"/>
        <v>3.1</v>
      </c>
      <c r="I98" s="1064"/>
      <c r="J98" s="1056"/>
      <c r="K98" s="1091"/>
      <c r="L98" s="1092"/>
      <c r="M98" s="1084"/>
    </row>
    <row r="99" spans="1:13" ht="16" x14ac:dyDescent="0.2">
      <c r="A99" s="1238"/>
      <c r="B99" s="1056">
        <f t="shared" si="15"/>
        <v>5</v>
      </c>
      <c r="C99" s="1056">
        <f t="shared" si="15"/>
        <v>5</v>
      </c>
      <c r="D99" s="1056" t="str">
        <f t="shared" si="14"/>
        <v>Gâterie 5</v>
      </c>
      <c r="E99" s="1066">
        <f t="shared" si="16"/>
        <v>1.24</v>
      </c>
      <c r="F99" s="1066">
        <f t="shared" si="16"/>
        <v>4.5999999999999996</v>
      </c>
      <c r="G99" s="1067">
        <f t="shared" si="17"/>
        <v>0.26956521739130435</v>
      </c>
      <c r="H99" s="1068">
        <f t="shared" si="18"/>
        <v>3.3599999999999994</v>
      </c>
      <c r="I99" s="1064"/>
      <c r="J99" s="1056"/>
      <c r="K99" s="1091"/>
      <c r="L99" s="1092"/>
      <c r="M99" s="1084"/>
    </row>
    <row r="100" spans="1:13" ht="16" x14ac:dyDescent="0.2">
      <c r="A100" s="1238"/>
      <c r="B100" s="1056">
        <f t="shared" si="15"/>
        <v>6</v>
      </c>
      <c r="C100" s="1056">
        <f t="shared" si="15"/>
        <v>6</v>
      </c>
      <c r="D100" s="1056" t="str">
        <f t="shared" si="14"/>
        <v>Gâterie 6</v>
      </c>
      <c r="E100" s="1066">
        <f t="shared" si="16"/>
        <v>1.39</v>
      </c>
      <c r="F100" s="1066">
        <f t="shared" si="16"/>
        <v>4.7</v>
      </c>
      <c r="G100" s="1067">
        <f t="shared" si="17"/>
        <v>0.29574468085106381</v>
      </c>
      <c r="H100" s="1068">
        <f t="shared" si="18"/>
        <v>3.3100000000000005</v>
      </c>
      <c r="I100" s="1064"/>
      <c r="J100" s="1056"/>
      <c r="K100" s="1091"/>
      <c r="L100" s="1099"/>
      <c r="M100" s="1084"/>
    </row>
    <row r="101" spans="1:13" ht="16" x14ac:dyDescent="0.2">
      <c r="A101" s="1238"/>
      <c r="B101" s="1056">
        <f t="shared" si="15"/>
        <v>7</v>
      </c>
      <c r="C101" s="1056">
        <f t="shared" si="15"/>
        <v>7</v>
      </c>
      <c r="D101" s="1056" t="str">
        <f t="shared" si="14"/>
        <v>Gâterie 7</v>
      </c>
      <c r="E101" s="1066">
        <f t="shared" si="16"/>
        <v>1.51</v>
      </c>
      <c r="F101" s="1066">
        <f t="shared" si="16"/>
        <v>4.8</v>
      </c>
      <c r="G101" s="1067">
        <f t="shared" si="17"/>
        <v>0.31458333333333333</v>
      </c>
      <c r="H101" s="1068">
        <f t="shared" si="18"/>
        <v>3.29</v>
      </c>
      <c r="I101" s="1064"/>
      <c r="J101" s="1056"/>
      <c r="K101" s="1091"/>
      <c r="L101" s="1092"/>
      <c r="M101" s="1084"/>
    </row>
    <row r="102" spans="1:13" ht="16" x14ac:dyDescent="0.2">
      <c r="A102" s="1238"/>
      <c r="B102" s="1056">
        <f t="shared" si="15"/>
        <v>8</v>
      </c>
      <c r="C102" s="1056">
        <f t="shared" si="15"/>
        <v>8</v>
      </c>
      <c r="D102" s="1056" t="str">
        <f t="shared" si="14"/>
        <v>Gâterie 8</v>
      </c>
      <c r="E102" s="1066">
        <f t="shared" si="16"/>
        <v>1.53</v>
      </c>
      <c r="F102" s="1066">
        <f t="shared" si="16"/>
        <v>4.9000000000000004</v>
      </c>
      <c r="G102" s="1067">
        <f t="shared" si="17"/>
        <v>0.31224489795918364</v>
      </c>
      <c r="H102" s="1068">
        <f t="shared" si="18"/>
        <v>3.37</v>
      </c>
      <c r="I102" s="1064"/>
      <c r="J102" s="1056"/>
      <c r="K102" s="1091"/>
      <c r="L102" s="1092"/>
      <c r="M102" s="1106"/>
    </row>
    <row r="103" spans="1:13" ht="16" x14ac:dyDescent="0.2">
      <c r="A103" s="1238"/>
      <c r="B103" s="1056">
        <f t="shared" si="15"/>
        <v>9</v>
      </c>
      <c r="C103" s="1056">
        <f t="shared" si="15"/>
        <v>9</v>
      </c>
      <c r="D103" s="1056" t="str">
        <f t="shared" si="14"/>
        <v>Gâterie 9</v>
      </c>
      <c r="E103" s="1066">
        <f t="shared" si="16"/>
        <v>1.55</v>
      </c>
      <c r="F103" s="1066">
        <f t="shared" si="16"/>
        <v>5</v>
      </c>
      <c r="G103" s="1067">
        <f t="shared" si="17"/>
        <v>0.31</v>
      </c>
      <c r="H103" s="1068">
        <f t="shared" si="18"/>
        <v>3.45</v>
      </c>
      <c r="I103" s="1064"/>
      <c r="J103" s="1056"/>
    </row>
    <row r="104" spans="1:13" ht="16" x14ac:dyDescent="0.2">
      <c r="A104" s="1238"/>
      <c r="B104" s="1056">
        <f t="shared" si="15"/>
        <v>10</v>
      </c>
      <c r="C104" s="1056">
        <f t="shared" si="15"/>
        <v>10</v>
      </c>
      <c r="D104" s="1056" t="str">
        <f t="shared" si="14"/>
        <v>Gâterie 10</v>
      </c>
      <c r="E104" s="1066">
        <f t="shared" si="16"/>
        <v>1.59</v>
      </c>
      <c r="F104" s="1066">
        <f t="shared" si="16"/>
        <v>5.2</v>
      </c>
      <c r="G104" s="1067">
        <f t="shared" si="17"/>
        <v>0.30576923076923079</v>
      </c>
      <c r="H104" s="1068">
        <f t="shared" si="18"/>
        <v>3.6100000000000003</v>
      </c>
      <c r="I104" s="1064"/>
      <c r="J104" s="1056"/>
    </row>
    <row r="105" spans="1:13" ht="16" x14ac:dyDescent="0.2">
      <c r="A105" s="1238"/>
      <c r="B105" s="1056">
        <f t="shared" si="15"/>
        <v>11</v>
      </c>
      <c r="C105" s="1056">
        <f t="shared" si="15"/>
        <v>11</v>
      </c>
      <c r="D105" s="1056" t="str">
        <f t="shared" si="14"/>
        <v>Gâterie 11</v>
      </c>
      <c r="E105" s="1066">
        <f t="shared" si="16"/>
        <v>1.83</v>
      </c>
      <c r="F105" s="1066">
        <f t="shared" si="16"/>
        <v>6.4</v>
      </c>
      <c r="G105" s="1067">
        <f t="shared" si="17"/>
        <v>0.28593750000000001</v>
      </c>
      <c r="H105" s="1068">
        <f t="shared" si="18"/>
        <v>4.57</v>
      </c>
      <c r="I105" s="1064"/>
      <c r="J105" s="1056"/>
      <c r="K105" s="1091"/>
      <c r="L105" s="1099"/>
      <c r="M105" s="1084"/>
    </row>
    <row r="106" spans="1:13" ht="16" x14ac:dyDescent="0.2">
      <c r="A106" s="1238"/>
      <c r="B106" s="1056">
        <f t="shared" si="15"/>
        <v>12</v>
      </c>
      <c r="C106" s="1056">
        <f t="shared" si="15"/>
        <v>12</v>
      </c>
      <c r="D106" s="1056" t="str">
        <f t="shared" si="14"/>
        <v>Gâterie 12</v>
      </c>
      <c r="E106" s="1066">
        <f t="shared" si="16"/>
        <v>1.87</v>
      </c>
      <c r="F106" s="1066">
        <f t="shared" si="16"/>
        <v>6.6</v>
      </c>
      <c r="G106" s="1067">
        <f t="shared" si="17"/>
        <v>0.28333333333333338</v>
      </c>
      <c r="H106" s="1068">
        <f t="shared" si="18"/>
        <v>4.7299999999999995</v>
      </c>
      <c r="I106" s="1064"/>
      <c r="J106" s="1056"/>
      <c r="L106" s="1057"/>
    </row>
    <row r="107" spans="1:13" ht="19" x14ac:dyDescent="0.35">
      <c r="A107" s="1238"/>
      <c r="B107" s="1056"/>
      <c r="C107" s="1056"/>
      <c r="D107" s="1063" t="str">
        <f t="shared" si="14"/>
        <v>CmO—PmO—Food Cost—BmO</v>
      </c>
      <c r="E107" s="1072">
        <f>SUM(E95:E106)/C106</f>
        <v>1.4816666666666667</v>
      </c>
      <c r="F107" s="1072">
        <f>SUM(F95:F106)/C106</f>
        <v>4.8166666666666673</v>
      </c>
      <c r="G107" s="1073">
        <f t="shared" si="17"/>
        <v>0.30761245674740478</v>
      </c>
      <c r="H107" s="1074">
        <f t="shared" si="18"/>
        <v>3.3350000000000009</v>
      </c>
      <c r="I107" s="1075"/>
      <c r="J107" s="1056"/>
      <c r="L107" s="1057"/>
    </row>
    <row r="108" spans="1:13" ht="16" x14ac:dyDescent="0.2">
      <c r="A108" s="1238"/>
      <c r="B108" s="1056" t="s">
        <v>2</v>
      </c>
      <c r="C108" s="1056"/>
      <c r="D108" s="1056"/>
      <c r="E108" s="1066"/>
      <c r="F108" s="1066"/>
      <c r="G108" s="1067"/>
      <c r="H108" s="1076"/>
      <c r="I108" s="1056"/>
      <c r="J108" s="1056"/>
      <c r="L108" s="1057"/>
    </row>
    <row r="109" spans="1:13" ht="16" x14ac:dyDescent="0.2">
      <c r="A109" s="1238"/>
      <c r="B109" s="1056"/>
      <c r="C109" s="1056"/>
      <c r="D109" s="1063" t="str">
        <f t="shared" ref="D109:D122" si="19">D66</f>
        <v>Les cafés gâteries</v>
      </c>
      <c r="E109" s="1066"/>
      <c r="F109" s="1066"/>
      <c r="G109" s="1067"/>
      <c r="H109" s="1076"/>
      <c r="I109" s="1056"/>
      <c r="J109" s="1056"/>
      <c r="L109" s="1057"/>
    </row>
    <row r="110" spans="1:13" ht="16" x14ac:dyDescent="0.2">
      <c r="A110" s="1238"/>
      <c r="B110" s="1056">
        <f t="shared" ref="B110:C121" si="20">B67</f>
        <v>13</v>
      </c>
      <c r="C110" s="1056">
        <f t="shared" si="20"/>
        <v>1</v>
      </c>
      <c r="D110" s="1056" t="str">
        <f t="shared" si="19"/>
        <v>Café gâterie le spécial 1</v>
      </c>
      <c r="E110" s="1066">
        <f t="shared" ref="E110:F121" si="21">E67</f>
        <v>1.1399999999999999</v>
      </c>
      <c r="F110" s="1066">
        <f t="shared" si="21"/>
        <v>3.3</v>
      </c>
      <c r="G110" s="1067">
        <f>E110/F110</f>
        <v>0.34545454545454546</v>
      </c>
      <c r="H110" s="1068">
        <f>F110-E110</f>
        <v>2.16</v>
      </c>
      <c r="I110" s="1064"/>
      <c r="J110" s="1056"/>
      <c r="L110" s="1057"/>
    </row>
    <row r="111" spans="1:13" ht="16" x14ac:dyDescent="0.2">
      <c r="A111" s="1238"/>
      <c r="B111" s="1056">
        <f t="shared" si="20"/>
        <v>14</v>
      </c>
      <c r="C111" s="1056">
        <f t="shared" si="20"/>
        <v>2</v>
      </c>
      <c r="D111" s="1056" t="str">
        <f t="shared" si="19"/>
        <v>Café gâterie le spécial 2</v>
      </c>
      <c r="E111" s="1066">
        <f t="shared" si="21"/>
        <v>1.33</v>
      </c>
      <c r="F111" s="1066">
        <f t="shared" si="21"/>
        <v>3.8</v>
      </c>
      <c r="G111" s="1067">
        <f>E111/F111</f>
        <v>0.35000000000000003</v>
      </c>
      <c r="H111" s="1068">
        <f>F111-E111</f>
        <v>2.4699999999999998</v>
      </c>
      <c r="I111" s="1064"/>
      <c r="J111" s="1056"/>
      <c r="L111" s="1057"/>
    </row>
    <row r="112" spans="1:13" ht="16" x14ac:dyDescent="0.2">
      <c r="A112" s="1238"/>
      <c r="B112" s="1056">
        <f t="shared" si="20"/>
        <v>15</v>
      </c>
      <c r="C112" s="1056">
        <f t="shared" si="20"/>
        <v>3</v>
      </c>
      <c r="D112" s="1056" t="str">
        <f t="shared" si="19"/>
        <v>Café gâterie le spécial 3</v>
      </c>
      <c r="E112" s="1066">
        <f t="shared" si="21"/>
        <v>1.37</v>
      </c>
      <c r="F112" s="1066">
        <f t="shared" si="21"/>
        <v>4</v>
      </c>
      <c r="G112" s="1067">
        <f>E112/F112</f>
        <v>0.34250000000000003</v>
      </c>
      <c r="H112" s="1068">
        <f>F112-E112</f>
        <v>2.63</v>
      </c>
      <c r="I112" s="1064"/>
      <c r="J112" s="1056"/>
      <c r="K112" s="1056"/>
      <c r="L112" s="1004"/>
    </row>
    <row r="113" spans="1:13" ht="16" x14ac:dyDescent="0.2">
      <c r="A113" s="1238"/>
      <c r="B113" s="1056">
        <f t="shared" si="20"/>
        <v>16</v>
      </c>
      <c r="C113" s="1056">
        <f t="shared" si="20"/>
        <v>4</v>
      </c>
      <c r="D113" s="1056" t="str">
        <f t="shared" si="19"/>
        <v>Café gâterie le spécial 4</v>
      </c>
      <c r="E113" s="1066">
        <f t="shared" si="21"/>
        <v>1.36</v>
      </c>
      <c r="F113" s="1066">
        <f t="shared" si="21"/>
        <v>4.5</v>
      </c>
      <c r="G113" s="1067">
        <f t="shared" ref="G113:G120" si="22">E113/F113</f>
        <v>0.30222222222222223</v>
      </c>
      <c r="H113" s="1068">
        <f t="shared" ref="H113:H120" si="23">F113-E113</f>
        <v>3.1399999999999997</v>
      </c>
      <c r="I113" s="1064"/>
      <c r="J113" s="1056"/>
      <c r="K113" s="1063"/>
      <c r="L113" s="1069"/>
    </row>
    <row r="114" spans="1:13" ht="16" x14ac:dyDescent="0.2">
      <c r="A114" s="1238"/>
      <c r="B114" s="1056">
        <f t="shared" si="20"/>
        <v>17</v>
      </c>
      <c r="C114" s="1056">
        <f t="shared" si="20"/>
        <v>5</v>
      </c>
      <c r="D114" s="1056" t="str">
        <f t="shared" si="19"/>
        <v>Café gâterie le spécial 5</v>
      </c>
      <c r="E114" s="1066">
        <f t="shared" si="21"/>
        <v>1.38</v>
      </c>
      <c r="F114" s="1066">
        <f t="shared" si="21"/>
        <v>4.5999999999999996</v>
      </c>
      <c r="G114" s="1067">
        <f t="shared" si="22"/>
        <v>0.3</v>
      </c>
      <c r="H114" s="1068">
        <f t="shared" si="23"/>
        <v>3.2199999999999998</v>
      </c>
      <c r="I114" s="1064"/>
      <c r="J114" s="1056"/>
      <c r="K114" s="1063"/>
      <c r="L114" s="1069"/>
    </row>
    <row r="115" spans="1:13" ht="16" x14ac:dyDescent="0.2">
      <c r="A115" s="1238"/>
      <c r="B115" s="1056">
        <f t="shared" si="20"/>
        <v>18</v>
      </c>
      <c r="C115" s="1056">
        <f t="shared" si="20"/>
        <v>6</v>
      </c>
      <c r="D115" s="1056" t="str">
        <f t="shared" si="19"/>
        <v>Café gâterie le spécial 6</v>
      </c>
      <c r="E115" s="1066">
        <f t="shared" si="21"/>
        <v>1.4</v>
      </c>
      <c r="F115" s="1066">
        <f t="shared" si="21"/>
        <v>4.7</v>
      </c>
      <c r="G115" s="1067">
        <f t="shared" si="22"/>
        <v>0.2978723404255319</v>
      </c>
      <c r="H115" s="1068">
        <f t="shared" si="23"/>
        <v>3.3000000000000003</v>
      </c>
      <c r="I115" s="1064"/>
      <c r="J115" s="1056"/>
      <c r="K115" s="1063"/>
      <c r="L115" s="1070"/>
    </row>
    <row r="116" spans="1:13" ht="16" x14ac:dyDescent="0.2">
      <c r="A116" s="1238"/>
      <c r="B116" s="1056">
        <f t="shared" si="20"/>
        <v>19</v>
      </c>
      <c r="C116" s="1056">
        <f t="shared" si="20"/>
        <v>7</v>
      </c>
      <c r="D116" s="1056" t="str">
        <f t="shared" si="19"/>
        <v>Café gâterie le spécial 7</v>
      </c>
      <c r="E116" s="1066">
        <f t="shared" si="21"/>
        <v>1.41</v>
      </c>
      <c r="F116" s="1066">
        <f t="shared" si="21"/>
        <v>4.8</v>
      </c>
      <c r="G116" s="1067">
        <f t="shared" si="22"/>
        <v>0.29375000000000001</v>
      </c>
      <c r="H116" s="1068">
        <f t="shared" si="23"/>
        <v>3.3899999999999997</v>
      </c>
      <c r="I116" s="1064"/>
      <c r="J116" s="1056"/>
      <c r="K116" s="1063"/>
      <c r="L116" s="1069"/>
    </row>
    <row r="117" spans="1:13" ht="16" x14ac:dyDescent="0.2">
      <c r="A117" s="1238"/>
      <c r="B117" s="1056">
        <f t="shared" si="20"/>
        <v>20</v>
      </c>
      <c r="C117" s="1056">
        <f t="shared" si="20"/>
        <v>8</v>
      </c>
      <c r="D117" s="1056" t="str">
        <f t="shared" si="19"/>
        <v>Café gâterie le spécial 8</v>
      </c>
      <c r="E117" s="1066">
        <f t="shared" si="21"/>
        <v>1.43</v>
      </c>
      <c r="F117" s="1066">
        <f t="shared" si="21"/>
        <v>4.9000000000000004</v>
      </c>
      <c r="G117" s="1067">
        <f t="shared" si="22"/>
        <v>0.2918367346938775</v>
      </c>
      <c r="H117" s="1068">
        <f t="shared" si="23"/>
        <v>3.4700000000000006</v>
      </c>
      <c r="I117" s="1064"/>
      <c r="J117" s="1056"/>
      <c r="K117" s="1063"/>
      <c r="L117" s="1071"/>
      <c r="M117" s="590"/>
    </row>
    <row r="118" spans="1:13" ht="16" x14ac:dyDescent="0.2">
      <c r="A118" s="1238"/>
      <c r="B118" s="1056">
        <f t="shared" si="20"/>
        <v>21</v>
      </c>
      <c r="C118" s="1056">
        <f t="shared" si="20"/>
        <v>9</v>
      </c>
      <c r="D118" s="1056" t="str">
        <f t="shared" si="19"/>
        <v>Café gâterie le spécial 9</v>
      </c>
      <c r="E118" s="1066">
        <f t="shared" si="21"/>
        <v>1.45</v>
      </c>
      <c r="F118" s="1066">
        <f t="shared" si="21"/>
        <v>5</v>
      </c>
      <c r="G118" s="1067">
        <f t="shared" si="22"/>
        <v>0.28999999999999998</v>
      </c>
      <c r="H118" s="1068">
        <f t="shared" si="23"/>
        <v>3.55</v>
      </c>
      <c r="I118" s="1064"/>
      <c r="J118" s="1056"/>
      <c r="K118" s="1056"/>
      <c r="L118" s="1004"/>
    </row>
    <row r="119" spans="1:13" ht="16" x14ac:dyDescent="0.2">
      <c r="A119" s="1238"/>
      <c r="B119" s="1056">
        <f t="shared" si="20"/>
        <v>22</v>
      </c>
      <c r="C119" s="1056">
        <f t="shared" si="20"/>
        <v>10</v>
      </c>
      <c r="D119" s="1056" t="str">
        <f t="shared" si="19"/>
        <v>Café gâterie le spécial 10</v>
      </c>
      <c r="E119" s="1066">
        <f t="shared" si="21"/>
        <v>1.49</v>
      </c>
      <c r="F119" s="1066">
        <f t="shared" si="21"/>
        <v>5.2</v>
      </c>
      <c r="G119" s="1067">
        <f t="shared" si="22"/>
        <v>0.28653846153846152</v>
      </c>
      <c r="H119" s="1068">
        <f t="shared" si="23"/>
        <v>3.71</v>
      </c>
      <c r="I119" s="1064"/>
      <c r="J119" s="1056"/>
      <c r="K119" s="1056"/>
      <c r="L119" s="1004"/>
    </row>
    <row r="120" spans="1:13" ht="16" x14ac:dyDescent="0.2">
      <c r="A120" s="1238"/>
      <c r="B120" s="1056">
        <f t="shared" si="20"/>
        <v>23</v>
      </c>
      <c r="C120" s="1056">
        <f t="shared" si="20"/>
        <v>11</v>
      </c>
      <c r="D120" s="1056" t="str">
        <f t="shared" si="19"/>
        <v>Café gâterie le spécial 11</v>
      </c>
      <c r="E120" s="1066">
        <f t="shared" si="21"/>
        <v>1.59</v>
      </c>
      <c r="F120" s="1066">
        <f t="shared" si="21"/>
        <v>5.8</v>
      </c>
      <c r="G120" s="1067">
        <f t="shared" si="22"/>
        <v>0.27413793103448281</v>
      </c>
      <c r="H120" s="1068">
        <f t="shared" si="23"/>
        <v>4.21</v>
      </c>
      <c r="I120" s="1064"/>
      <c r="J120" s="1056"/>
      <c r="K120" s="1056"/>
      <c r="L120" s="1004"/>
    </row>
    <row r="121" spans="1:13" ht="16" x14ac:dyDescent="0.2">
      <c r="A121" s="1238"/>
      <c r="B121" s="1056">
        <f t="shared" si="20"/>
        <v>24</v>
      </c>
      <c r="C121" s="1056">
        <f t="shared" si="20"/>
        <v>12</v>
      </c>
      <c r="D121" s="1056" t="str">
        <f t="shared" si="19"/>
        <v>Café gâterie le spécial 12</v>
      </c>
      <c r="E121" s="1066">
        <f t="shared" si="21"/>
        <v>1.74</v>
      </c>
      <c r="F121" s="1066">
        <f t="shared" si="21"/>
        <v>6.6</v>
      </c>
      <c r="G121" s="1067">
        <f>E121/F121</f>
        <v>0.26363636363636367</v>
      </c>
      <c r="H121" s="1068">
        <f>F121-E121</f>
        <v>4.8599999999999994</v>
      </c>
      <c r="I121" s="1064"/>
      <c r="J121" s="1056"/>
      <c r="K121" s="1056"/>
      <c r="L121" s="1004"/>
    </row>
    <row r="122" spans="1:13" ht="19" x14ac:dyDescent="0.35">
      <c r="A122" s="1238"/>
      <c r="B122" s="1056"/>
      <c r="C122" s="1056"/>
      <c r="D122" s="1063" t="str">
        <f t="shared" si="19"/>
        <v>CmO—PmO—Beverage Cost—Marge brute</v>
      </c>
      <c r="E122" s="1072">
        <f>SUM(E110:E121)/C121</f>
        <v>1.4241666666666666</v>
      </c>
      <c r="F122" s="1072">
        <f>SUM(F110:F121)/C121</f>
        <v>4.7666666666666666</v>
      </c>
      <c r="G122" s="1077">
        <f>E122/F122</f>
        <v>0.29877622377622376</v>
      </c>
      <c r="H122" s="1074">
        <f>F122-E122</f>
        <v>3.3425000000000002</v>
      </c>
      <c r="I122" s="1075"/>
      <c r="J122" s="1056"/>
      <c r="K122" s="1063"/>
      <c r="L122" s="1069"/>
    </row>
    <row r="123" spans="1:13" ht="17" thickBot="1" x14ac:dyDescent="0.25">
      <c r="A123" s="1238"/>
      <c r="B123" s="1056"/>
      <c r="C123" s="1056"/>
      <c r="D123" s="1056"/>
      <c r="E123" s="1066"/>
      <c r="F123" s="1066"/>
      <c r="G123" s="1065"/>
      <c r="H123" s="1076"/>
      <c r="I123" s="1056"/>
      <c r="J123" s="1056"/>
      <c r="K123" s="1063"/>
      <c r="L123" s="1069"/>
    </row>
    <row r="124" spans="1:13" ht="21" thickTop="1" thickBot="1" x14ac:dyDescent="0.4">
      <c r="A124" s="1238"/>
      <c r="B124" s="1056"/>
      <c r="C124" s="1078"/>
      <c r="D124" s="1079"/>
      <c r="E124" s="1080"/>
      <c r="F124" s="1080"/>
      <c r="G124" s="1081"/>
      <c r="H124" s="1082"/>
      <c r="I124" s="1083"/>
      <c r="J124" s="1056"/>
      <c r="K124" s="1063"/>
      <c r="L124" s="1070"/>
    </row>
    <row r="125" spans="1:13" ht="18" thickTop="1" thickBot="1" x14ac:dyDescent="0.25">
      <c r="A125" s="1238"/>
      <c r="B125" s="1056"/>
      <c r="C125" s="1085"/>
      <c r="D125" s="1063"/>
      <c r="E125" s="1086" t="str">
        <f>E82</f>
        <v>CmO</v>
      </c>
      <c r="F125" s="1086" t="str">
        <f>F82</f>
        <v>PmO</v>
      </c>
      <c r="G125" s="1087" t="str">
        <f>G82</f>
        <v>F&amp;BCmO</v>
      </c>
      <c r="H125" s="1113" t="str">
        <f>H82</f>
        <v>BmO</v>
      </c>
      <c r="I125" s="1088"/>
      <c r="J125" s="1056"/>
      <c r="K125" s="1063"/>
      <c r="L125" s="1069"/>
    </row>
    <row r="126" spans="1:13" ht="17" thickTop="1" x14ac:dyDescent="0.2">
      <c r="A126" s="1238"/>
      <c r="B126" s="1056"/>
      <c r="C126" s="1085"/>
      <c r="D126" s="1089" t="str">
        <f>D83</f>
        <v>OFFRE TOTALE AVEC LES GÂTERIES ET LES CAFÉS GÂTERIES</v>
      </c>
      <c r="E126" s="1066"/>
      <c r="F126" s="1066"/>
      <c r="G126" s="1065"/>
      <c r="H126" s="1076"/>
      <c r="I126" s="1090"/>
      <c r="J126" s="1056"/>
      <c r="K126" s="1063"/>
      <c r="L126" s="1071"/>
      <c r="M126" s="590"/>
    </row>
    <row r="127" spans="1:13" ht="19" x14ac:dyDescent="0.35">
      <c r="A127" s="1238"/>
      <c r="B127" s="1056"/>
      <c r="C127" s="1085"/>
      <c r="D127" s="1063" t="str">
        <f>D84</f>
        <v>CmO—PmO—F&amp;B cost moyen offert—Marge brute</v>
      </c>
      <c r="E127" s="1093">
        <f>+(E95+E96+E97+E98+E99+E100+E101+E102+E103+E104+E105+E106+E110+E111+E112+E113+E114+E115+E116+E117+E118+E119+E120+E121)/B121</f>
        <v>1.4529166666666666</v>
      </c>
      <c r="F127" s="1093">
        <f>+(F95+F96+F97+F98+F99+F100+F101+F102+F103+F104+F105+F106+F110+F111+F112+F113+F114+F115+F116+F117+F118+F119+F120+F121)/B121</f>
        <v>4.791666666666667</v>
      </c>
      <c r="G127" s="1094">
        <f>E127/F127</f>
        <v>0.30321739130434783</v>
      </c>
      <c r="H127" s="1095">
        <f>F127-E127</f>
        <v>3.3387500000000001</v>
      </c>
      <c r="I127" s="1096"/>
      <c r="J127" s="1056"/>
      <c r="K127" s="1056"/>
      <c r="L127" s="1004"/>
    </row>
    <row r="128" spans="1:13" ht="16" x14ac:dyDescent="0.2">
      <c r="A128" s="1238"/>
      <c r="B128" s="1056"/>
      <c r="C128" s="1085"/>
      <c r="D128" s="1056"/>
      <c r="E128" s="1069"/>
      <c r="F128" s="1069"/>
      <c r="G128" s="1070"/>
      <c r="H128" s="1097"/>
      <c r="I128" s="1098"/>
      <c r="J128" s="1056"/>
      <c r="K128" s="1091"/>
      <c r="L128" s="1092"/>
      <c r="M128" s="1084"/>
    </row>
    <row r="129" spans="1:13" ht="17" thickBot="1" x14ac:dyDescent="0.25">
      <c r="A129" s="1238"/>
      <c r="B129" s="1056"/>
      <c r="C129" s="1100"/>
      <c r="D129" s="1101"/>
      <c r="E129" s="1102"/>
      <c r="F129" s="1102"/>
      <c r="G129" s="1103"/>
      <c r="H129" s="1104"/>
      <c r="I129" s="1105"/>
      <c r="J129" s="1056"/>
      <c r="K129" s="1091"/>
      <c r="L129" s="1092"/>
      <c r="M129" s="1084"/>
    </row>
    <row r="130" spans="1:13" ht="17" thickTop="1" x14ac:dyDescent="0.2">
      <c r="A130" s="1238"/>
      <c r="B130" s="1084"/>
      <c r="C130" s="1084"/>
      <c r="D130" s="1084"/>
      <c r="E130" s="1084"/>
      <c r="F130" s="1084"/>
      <c r="G130" s="1084"/>
      <c r="H130" s="1084"/>
      <c r="I130" s="1084"/>
      <c r="J130" s="1056"/>
      <c r="K130" s="1091"/>
      <c r="L130" s="1099"/>
      <c r="M130" s="1084"/>
    </row>
    <row r="131" spans="1:13" ht="22" x14ac:dyDescent="0.25">
      <c r="A131" s="1238"/>
      <c r="D131" s="1058" t="s">
        <v>588</v>
      </c>
      <c r="F131" s="1059"/>
      <c r="K131" s="1091"/>
      <c r="L131" s="1092"/>
      <c r="M131" s="1084"/>
    </row>
    <row r="132" spans="1:13" ht="23" thickBot="1" x14ac:dyDescent="0.3">
      <c r="A132" s="1238"/>
      <c r="D132" s="1060"/>
      <c r="K132" s="1091"/>
      <c r="L132" s="1092"/>
      <c r="M132" s="1106"/>
    </row>
    <row r="133" spans="1:13" ht="23" thickTop="1" x14ac:dyDescent="0.25">
      <c r="A133" s="1238"/>
      <c r="D133" s="1060"/>
      <c r="E133" s="1232" t="str">
        <f>E90</f>
        <v>Coûts des ressources alimentaires pour chaque produit offert (voir recettes standardisées)</v>
      </c>
      <c r="F133" s="1232" t="str">
        <f>F90</f>
        <v>Prix de vente par produit offert</v>
      </c>
      <c r="G133" s="1232" t="str">
        <f>G90</f>
        <v xml:space="preserve">« Food &amp; Beverage Cost » </v>
      </c>
      <c r="H133" s="1232" t="str">
        <f>H90</f>
        <v>Marge brute gagnée sur la vente de chaque produit offert</v>
      </c>
      <c r="I133" s="1061"/>
    </row>
    <row r="134" spans="1:13" ht="22" x14ac:dyDescent="0.25">
      <c r="A134" s="1238"/>
      <c r="D134" s="1060"/>
      <c r="E134" s="1233"/>
      <c r="F134" s="1235"/>
      <c r="G134" s="1235"/>
      <c r="H134" s="1235"/>
      <c r="I134" s="1062"/>
    </row>
    <row r="135" spans="1:13" ht="17" thickBot="1" x14ac:dyDescent="0.25">
      <c r="A135" s="1238"/>
      <c r="E135" s="1234"/>
      <c r="F135" s="1236"/>
      <c r="G135" s="1236"/>
      <c r="H135" s="1236"/>
      <c r="I135" s="1062"/>
      <c r="K135" s="1091"/>
      <c r="L135" s="1099"/>
      <c r="M135" s="1084"/>
    </row>
    <row r="136" spans="1:13" ht="14" thickTop="1" x14ac:dyDescent="0.15">
      <c r="A136" s="1238"/>
      <c r="B136" s="161" t="s">
        <v>2</v>
      </c>
      <c r="E136" s="1059"/>
      <c r="F136" s="1059"/>
      <c r="G136" s="315"/>
      <c r="L136" s="1057"/>
    </row>
    <row r="137" spans="1:13" ht="16" x14ac:dyDescent="0.2">
      <c r="A137" s="1238"/>
      <c r="B137" s="1056"/>
      <c r="C137" s="1056"/>
      <c r="D137" s="1063" t="str">
        <f t="shared" ref="D137:D150" si="24">D94</f>
        <v>Les gâteries</v>
      </c>
      <c r="E137" s="1064"/>
      <c r="F137" s="1064"/>
      <c r="G137" s="1065"/>
      <c r="H137" s="1056"/>
      <c r="I137" s="1056"/>
      <c r="J137" s="1056"/>
      <c r="L137" s="1057"/>
    </row>
    <row r="138" spans="1:13" ht="16" x14ac:dyDescent="0.2">
      <c r="A138" s="1238"/>
      <c r="B138" s="1056">
        <f t="shared" ref="B138:C149" si="25">B95</f>
        <v>1</v>
      </c>
      <c r="C138" s="1056">
        <f t="shared" si="25"/>
        <v>1</v>
      </c>
      <c r="D138" s="1056" t="str">
        <f t="shared" si="24"/>
        <v>Gâterie 1</v>
      </c>
      <c r="E138" s="1066">
        <f t="shared" ref="E138:E149" si="26">E95</f>
        <v>1.21</v>
      </c>
      <c r="F138" s="1108">
        <v>3.3</v>
      </c>
      <c r="G138" s="1067">
        <f t="shared" ref="G138:G150" si="27">E138/F138</f>
        <v>0.3666666666666667</v>
      </c>
      <c r="H138" s="1068">
        <f t="shared" ref="H138:H150" si="28">F138-E138</f>
        <v>2.09</v>
      </c>
      <c r="I138" s="1064"/>
      <c r="J138" s="1056"/>
      <c r="L138" s="1057"/>
    </row>
    <row r="139" spans="1:13" ht="16" x14ac:dyDescent="0.2">
      <c r="A139" s="1238"/>
      <c r="B139" s="1056">
        <f t="shared" si="25"/>
        <v>2</v>
      </c>
      <c r="C139" s="1056">
        <f t="shared" si="25"/>
        <v>2</v>
      </c>
      <c r="D139" s="1056" t="str">
        <f t="shared" si="24"/>
        <v>Gâterie 2</v>
      </c>
      <c r="E139" s="1066">
        <f t="shared" si="26"/>
        <v>1.31</v>
      </c>
      <c r="F139" s="1066">
        <f t="shared" ref="F139:F149" si="29">F96</f>
        <v>3.8</v>
      </c>
      <c r="G139" s="1067">
        <f t="shared" si="27"/>
        <v>0.34473684210526317</v>
      </c>
      <c r="H139" s="1068">
        <f t="shared" si="28"/>
        <v>2.4899999999999998</v>
      </c>
      <c r="I139" s="1064"/>
      <c r="J139" s="1056"/>
      <c r="L139" s="1057"/>
    </row>
    <row r="140" spans="1:13" ht="16" x14ac:dyDescent="0.2">
      <c r="A140" s="1238"/>
      <c r="B140" s="1056">
        <f t="shared" si="25"/>
        <v>3</v>
      </c>
      <c r="C140" s="1056">
        <f t="shared" si="25"/>
        <v>3</v>
      </c>
      <c r="D140" s="1056" t="str">
        <f t="shared" si="24"/>
        <v>Gâterie 3</v>
      </c>
      <c r="E140" s="1066">
        <f t="shared" si="26"/>
        <v>1.35</v>
      </c>
      <c r="F140" s="1066">
        <f t="shared" si="29"/>
        <v>4</v>
      </c>
      <c r="G140" s="1067">
        <f t="shared" si="27"/>
        <v>0.33750000000000002</v>
      </c>
      <c r="H140" s="1068">
        <f t="shared" si="28"/>
        <v>2.65</v>
      </c>
      <c r="I140" s="1064"/>
      <c r="J140" s="1056"/>
      <c r="L140" s="1057"/>
    </row>
    <row r="141" spans="1:13" ht="16" x14ac:dyDescent="0.2">
      <c r="A141" s="1238"/>
      <c r="B141" s="1056">
        <f t="shared" si="25"/>
        <v>4</v>
      </c>
      <c r="C141" s="1056">
        <f t="shared" si="25"/>
        <v>4</v>
      </c>
      <c r="D141" s="1056" t="str">
        <f t="shared" si="24"/>
        <v>Gâterie 4</v>
      </c>
      <c r="E141" s="1066">
        <f t="shared" si="26"/>
        <v>1.4</v>
      </c>
      <c r="F141" s="1066">
        <f t="shared" si="29"/>
        <v>4.5</v>
      </c>
      <c r="G141" s="1067">
        <f t="shared" si="27"/>
        <v>0.31111111111111112</v>
      </c>
      <c r="H141" s="1068">
        <f t="shared" si="28"/>
        <v>3.1</v>
      </c>
      <c r="I141" s="1064"/>
      <c r="J141" s="1056"/>
      <c r="L141" s="1057"/>
    </row>
    <row r="142" spans="1:13" ht="16" x14ac:dyDescent="0.2">
      <c r="A142" s="1238"/>
      <c r="B142" s="1056">
        <f t="shared" si="25"/>
        <v>5</v>
      </c>
      <c r="C142" s="1056">
        <f t="shared" si="25"/>
        <v>5</v>
      </c>
      <c r="D142" s="1056" t="str">
        <f t="shared" si="24"/>
        <v>Gâterie 5</v>
      </c>
      <c r="E142" s="1066">
        <f t="shared" si="26"/>
        <v>1.24</v>
      </c>
      <c r="F142" s="1066">
        <f t="shared" si="29"/>
        <v>4.5999999999999996</v>
      </c>
      <c r="G142" s="1067">
        <f t="shared" si="27"/>
        <v>0.26956521739130435</v>
      </c>
      <c r="H142" s="1068">
        <f t="shared" si="28"/>
        <v>3.3599999999999994</v>
      </c>
      <c r="I142" s="1064"/>
      <c r="J142" s="1056"/>
      <c r="K142" s="1056"/>
      <c r="L142" s="1004"/>
    </row>
    <row r="143" spans="1:13" ht="16" x14ac:dyDescent="0.2">
      <c r="A143" s="1238"/>
      <c r="B143" s="1056">
        <f t="shared" si="25"/>
        <v>6</v>
      </c>
      <c r="C143" s="1056">
        <f t="shared" si="25"/>
        <v>6</v>
      </c>
      <c r="D143" s="1056" t="str">
        <f t="shared" si="24"/>
        <v>Gâterie 6</v>
      </c>
      <c r="E143" s="1066">
        <f t="shared" si="26"/>
        <v>1.39</v>
      </c>
      <c r="F143" s="1066">
        <f t="shared" si="29"/>
        <v>4.7</v>
      </c>
      <c r="G143" s="1067">
        <f t="shared" si="27"/>
        <v>0.29574468085106381</v>
      </c>
      <c r="H143" s="1068">
        <f t="shared" si="28"/>
        <v>3.3100000000000005</v>
      </c>
      <c r="I143" s="1064"/>
      <c r="J143" s="1056"/>
      <c r="K143" s="1063"/>
      <c r="L143" s="1069"/>
    </row>
    <row r="144" spans="1:13" ht="16" x14ac:dyDescent="0.2">
      <c r="A144" s="1238"/>
      <c r="B144" s="1056">
        <f t="shared" si="25"/>
        <v>7</v>
      </c>
      <c r="C144" s="1056">
        <f t="shared" si="25"/>
        <v>7</v>
      </c>
      <c r="D144" s="1056" t="str">
        <f t="shared" si="24"/>
        <v>Gâterie 7</v>
      </c>
      <c r="E144" s="1066">
        <f t="shared" si="26"/>
        <v>1.51</v>
      </c>
      <c r="F144" s="1066">
        <f t="shared" si="29"/>
        <v>4.8</v>
      </c>
      <c r="G144" s="1067">
        <f t="shared" si="27"/>
        <v>0.31458333333333333</v>
      </c>
      <c r="H144" s="1068">
        <f t="shared" si="28"/>
        <v>3.29</v>
      </c>
      <c r="I144" s="1064"/>
      <c r="J144" s="1056"/>
      <c r="K144" s="1063"/>
      <c r="L144" s="1069"/>
    </row>
    <row r="145" spans="1:13" ht="16" x14ac:dyDescent="0.2">
      <c r="A145" s="1238"/>
      <c r="B145" s="1056">
        <f t="shared" si="25"/>
        <v>8</v>
      </c>
      <c r="C145" s="1056">
        <f t="shared" si="25"/>
        <v>8</v>
      </c>
      <c r="D145" s="1056" t="str">
        <f t="shared" si="24"/>
        <v>Gâterie 8</v>
      </c>
      <c r="E145" s="1066">
        <f t="shared" si="26"/>
        <v>1.53</v>
      </c>
      <c r="F145" s="1066">
        <f t="shared" si="29"/>
        <v>4.9000000000000004</v>
      </c>
      <c r="G145" s="1067">
        <f t="shared" si="27"/>
        <v>0.31224489795918364</v>
      </c>
      <c r="H145" s="1068">
        <f t="shared" si="28"/>
        <v>3.37</v>
      </c>
      <c r="I145" s="1064"/>
      <c r="J145" s="1056"/>
      <c r="K145" s="1063"/>
      <c r="L145" s="1070"/>
    </row>
    <row r="146" spans="1:13" ht="16" x14ac:dyDescent="0.2">
      <c r="A146" s="1238"/>
      <c r="B146" s="1056">
        <f t="shared" si="25"/>
        <v>9</v>
      </c>
      <c r="C146" s="1056">
        <f t="shared" si="25"/>
        <v>9</v>
      </c>
      <c r="D146" s="1056" t="str">
        <f t="shared" si="24"/>
        <v>Gâterie 9</v>
      </c>
      <c r="E146" s="1066">
        <f t="shared" si="26"/>
        <v>1.55</v>
      </c>
      <c r="F146" s="1066">
        <f t="shared" si="29"/>
        <v>5</v>
      </c>
      <c r="G146" s="1067">
        <f t="shared" si="27"/>
        <v>0.31</v>
      </c>
      <c r="H146" s="1068">
        <f t="shared" si="28"/>
        <v>3.45</v>
      </c>
      <c r="I146" s="1064"/>
      <c r="J146" s="1056"/>
      <c r="K146" s="1063"/>
      <c r="L146" s="1069"/>
    </row>
    <row r="147" spans="1:13" ht="16" x14ac:dyDescent="0.2">
      <c r="A147" s="1238"/>
      <c r="B147" s="1056">
        <f t="shared" si="25"/>
        <v>10</v>
      </c>
      <c r="C147" s="1056">
        <f t="shared" si="25"/>
        <v>10</v>
      </c>
      <c r="D147" s="1056" t="str">
        <f t="shared" si="24"/>
        <v>Gâterie 10</v>
      </c>
      <c r="E147" s="1066">
        <f t="shared" si="26"/>
        <v>1.59</v>
      </c>
      <c r="F147" s="1066">
        <f t="shared" si="29"/>
        <v>5.2</v>
      </c>
      <c r="G147" s="1067">
        <f t="shared" si="27"/>
        <v>0.30576923076923079</v>
      </c>
      <c r="H147" s="1068">
        <f t="shared" si="28"/>
        <v>3.6100000000000003</v>
      </c>
      <c r="I147" s="1064"/>
      <c r="J147" s="1056"/>
      <c r="K147" s="1063"/>
      <c r="L147" s="1071"/>
      <c r="M147" s="590"/>
    </row>
    <row r="148" spans="1:13" ht="16" x14ac:dyDescent="0.2">
      <c r="A148" s="1238"/>
      <c r="B148" s="1056">
        <f t="shared" si="25"/>
        <v>11</v>
      </c>
      <c r="C148" s="1056">
        <f t="shared" si="25"/>
        <v>11</v>
      </c>
      <c r="D148" s="1056" t="str">
        <f t="shared" si="24"/>
        <v>Gâterie 11</v>
      </c>
      <c r="E148" s="1066">
        <f t="shared" si="26"/>
        <v>1.83</v>
      </c>
      <c r="F148" s="1066">
        <f t="shared" si="29"/>
        <v>6.4</v>
      </c>
      <c r="G148" s="1067">
        <f t="shared" si="27"/>
        <v>0.28593750000000001</v>
      </c>
      <c r="H148" s="1068">
        <f t="shared" si="28"/>
        <v>4.57</v>
      </c>
      <c r="I148" s="1064"/>
      <c r="J148" s="1056"/>
      <c r="K148" s="1056"/>
      <c r="L148" s="1004"/>
    </row>
    <row r="149" spans="1:13" ht="16" x14ac:dyDescent="0.2">
      <c r="A149" s="1238"/>
      <c r="B149" s="1056">
        <f t="shared" si="25"/>
        <v>12</v>
      </c>
      <c r="C149" s="1056">
        <f t="shared" si="25"/>
        <v>12</v>
      </c>
      <c r="D149" s="1056" t="str">
        <f t="shared" si="24"/>
        <v>Gâterie 12</v>
      </c>
      <c r="E149" s="1066">
        <f t="shared" si="26"/>
        <v>1.87</v>
      </c>
      <c r="F149" s="1066">
        <f t="shared" si="29"/>
        <v>6.6</v>
      </c>
      <c r="G149" s="1067">
        <f t="shared" si="27"/>
        <v>0.28333333333333338</v>
      </c>
      <c r="H149" s="1068">
        <f t="shared" si="28"/>
        <v>4.7299999999999995</v>
      </c>
      <c r="I149" s="1064"/>
      <c r="J149" s="1056"/>
      <c r="K149" s="1056"/>
      <c r="L149" s="1004"/>
    </row>
    <row r="150" spans="1:13" ht="19" x14ac:dyDescent="0.35">
      <c r="A150" s="1238"/>
      <c r="B150" s="1056"/>
      <c r="C150" s="1056"/>
      <c r="D150" s="1063" t="str">
        <f t="shared" si="24"/>
        <v>CmO—PmO—Food Cost—BmO</v>
      </c>
      <c r="E150" s="1072">
        <f>SUM(E138:E149)/C149</f>
        <v>1.4816666666666667</v>
      </c>
      <c r="F150" s="1072">
        <f>SUM(F138:F149)/C149</f>
        <v>4.8166666666666673</v>
      </c>
      <c r="G150" s="1073">
        <f t="shared" si="27"/>
        <v>0.30761245674740478</v>
      </c>
      <c r="H150" s="1074">
        <f t="shared" si="28"/>
        <v>3.3350000000000009</v>
      </c>
      <c r="I150" s="1075"/>
      <c r="J150" s="1056"/>
      <c r="K150" s="1056"/>
      <c r="L150" s="1004"/>
    </row>
    <row r="151" spans="1:13" ht="16" x14ac:dyDescent="0.2">
      <c r="A151" s="1238"/>
      <c r="B151" s="1056" t="s">
        <v>2</v>
      </c>
      <c r="C151" s="1056"/>
      <c r="D151" s="1056"/>
      <c r="E151" s="1066"/>
      <c r="F151" s="1066"/>
      <c r="G151" s="1067"/>
      <c r="H151" s="1076"/>
      <c r="I151" s="1056"/>
      <c r="J151" s="1056"/>
      <c r="K151" s="1056"/>
      <c r="L151" s="1004"/>
    </row>
    <row r="152" spans="1:13" ht="16" x14ac:dyDescent="0.2">
      <c r="A152" s="1238"/>
      <c r="B152" s="1056"/>
      <c r="C152" s="1056"/>
      <c r="D152" s="1063" t="str">
        <f t="shared" ref="D152:D165" si="30">D109</f>
        <v>Les cafés gâteries</v>
      </c>
      <c r="E152" s="1066"/>
      <c r="F152" s="1066"/>
      <c r="G152" s="1067"/>
      <c r="H152" s="1076"/>
      <c r="I152" s="1056"/>
      <c r="J152" s="1056"/>
      <c r="K152" s="1063"/>
      <c r="L152" s="1069"/>
    </row>
    <row r="153" spans="1:13" ht="16" x14ac:dyDescent="0.2">
      <c r="A153" s="1238"/>
      <c r="B153" s="1056">
        <f t="shared" ref="B153:C164" si="31">B110</f>
        <v>13</v>
      </c>
      <c r="C153" s="1056">
        <f t="shared" si="31"/>
        <v>1</v>
      </c>
      <c r="D153" s="1056" t="str">
        <f t="shared" si="30"/>
        <v>Café gâterie le spécial 1</v>
      </c>
      <c r="E153" s="1066">
        <f t="shared" ref="E153:E164" si="32">E110</f>
        <v>1.1399999999999999</v>
      </c>
      <c r="F153" s="1108">
        <v>3.3</v>
      </c>
      <c r="G153" s="1067">
        <f>E153/F153</f>
        <v>0.34545454545454546</v>
      </c>
      <c r="H153" s="1068">
        <f>F153-E153</f>
        <v>2.16</v>
      </c>
      <c r="I153" s="1064"/>
      <c r="J153" s="1056"/>
      <c r="K153" s="1063"/>
      <c r="L153" s="1069"/>
    </row>
    <row r="154" spans="1:13" ht="16" x14ac:dyDescent="0.2">
      <c r="A154" s="1238"/>
      <c r="B154" s="1056">
        <f t="shared" si="31"/>
        <v>14</v>
      </c>
      <c r="C154" s="1056">
        <f t="shared" si="31"/>
        <v>2</v>
      </c>
      <c r="D154" s="1056" t="str">
        <f t="shared" si="30"/>
        <v>Café gâterie le spécial 2</v>
      </c>
      <c r="E154" s="1066">
        <f t="shared" si="32"/>
        <v>1.33</v>
      </c>
      <c r="F154" s="1066">
        <f t="shared" ref="F154:F164" si="33">F111</f>
        <v>3.8</v>
      </c>
      <c r="G154" s="1067">
        <f>E154/F154</f>
        <v>0.35000000000000003</v>
      </c>
      <c r="H154" s="1068">
        <f>F154-E154</f>
        <v>2.4699999999999998</v>
      </c>
      <c r="I154" s="1064"/>
      <c r="J154" s="1056"/>
      <c r="K154" s="1063"/>
      <c r="L154" s="1070"/>
    </row>
    <row r="155" spans="1:13" ht="16" x14ac:dyDescent="0.2">
      <c r="A155" s="1238"/>
      <c r="B155" s="1056">
        <f t="shared" si="31"/>
        <v>15</v>
      </c>
      <c r="C155" s="1056">
        <f t="shared" si="31"/>
        <v>3</v>
      </c>
      <c r="D155" s="1056" t="str">
        <f t="shared" si="30"/>
        <v>Café gâterie le spécial 3</v>
      </c>
      <c r="E155" s="1066">
        <f t="shared" si="32"/>
        <v>1.37</v>
      </c>
      <c r="F155" s="1066">
        <f t="shared" si="33"/>
        <v>4</v>
      </c>
      <c r="G155" s="1067">
        <f>E155/F155</f>
        <v>0.34250000000000003</v>
      </c>
      <c r="H155" s="1068">
        <f>F155-E155</f>
        <v>2.63</v>
      </c>
      <c r="I155" s="1064"/>
      <c r="J155" s="1056"/>
      <c r="K155" s="1063"/>
      <c r="L155" s="1069"/>
    </row>
    <row r="156" spans="1:13" ht="16" x14ac:dyDescent="0.2">
      <c r="A156" s="1238"/>
      <c r="B156" s="1056">
        <f t="shared" si="31"/>
        <v>16</v>
      </c>
      <c r="C156" s="1056">
        <f t="shared" si="31"/>
        <v>4</v>
      </c>
      <c r="D156" s="1056" t="str">
        <f t="shared" si="30"/>
        <v>Café gâterie le spécial 4</v>
      </c>
      <c r="E156" s="1066">
        <f t="shared" si="32"/>
        <v>1.36</v>
      </c>
      <c r="F156" s="1066">
        <f t="shared" si="33"/>
        <v>4.5</v>
      </c>
      <c r="G156" s="1067">
        <f t="shared" ref="G156:G163" si="34">E156/F156</f>
        <v>0.30222222222222223</v>
      </c>
      <c r="H156" s="1068">
        <f t="shared" ref="H156:H163" si="35">F156-E156</f>
        <v>3.1399999999999997</v>
      </c>
      <c r="I156" s="1064"/>
      <c r="J156" s="1056"/>
      <c r="K156" s="1063"/>
      <c r="L156" s="1071"/>
      <c r="M156" s="590"/>
    </row>
    <row r="157" spans="1:13" ht="16" x14ac:dyDescent="0.2">
      <c r="A157" s="1238"/>
      <c r="B157" s="1056">
        <f t="shared" si="31"/>
        <v>17</v>
      </c>
      <c r="C157" s="1056">
        <f t="shared" si="31"/>
        <v>5</v>
      </c>
      <c r="D157" s="1056" t="str">
        <f t="shared" si="30"/>
        <v>Café gâterie le spécial 5</v>
      </c>
      <c r="E157" s="1066">
        <f t="shared" si="32"/>
        <v>1.38</v>
      </c>
      <c r="F157" s="1066">
        <f t="shared" si="33"/>
        <v>4.5999999999999996</v>
      </c>
      <c r="G157" s="1067">
        <f t="shared" si="34"/>
        <v>0.3</v>
      </c>
      <c r="H157" s="1068">
        <f t="shared" si="35"/>
        <v>3.2199999999999998</v>
      </c>
      <c r="I157" s="1064"/>
      <c r="J157" s="1056"/>
      <c r="K157" s="1056"/>
      <c r="L157" s="1004"/>
    </row>
    <row r="158" spans="1:13" ht="16" x14ac:dyDescent="0.2">
      <c r="A158" s="1238"/>
      <c r="B158" s="1056">
        <f t="shared" si="31"/>
        <v>18</v>
      </c>
      <c r="C158" s="1056">
        <f t="shared" si="31"/>
        <v>6</v>
      </c>
      <c r="D158" s="1056" t="str">
        <f t="shared" si="30"/>
        <v>Café gâterie le spécial 6</v>
      </c>
      <c r="E158" s="1066">
        <f t="shared" si="32"/>
        <v>1.4</v>
      </c>
      <c r="F158" s="1066">
        <f t="shared" si="33"/>
        <v>4.7</v>
      </c>
      <c r="G158" s="1067">
        <f t="shared" si="34"/>
        <v>0.2978723404255319</v>
      </c>
      <c r="H158" s="1068">
        <f t="shared" si="35"/>
        <v>3.3000000000000003</v>
      </c>
      <c r="I158" s="1064"/>
      <c r="J158" s="1056"/>
      <c r="K158" s="1091"/>
      <c r="L158" s="1092"/>
      <c r="M158" s="1084"/>
    </row>
    <row r="159" spans="1:13" ht="16" x14ac:dyDescent="0.2">
      <c r="A159" s="1238"/>
      <c r="B159" s="1056">
        <f t="shared" si="31"/>
        <v>19</v>
      </c>
      <c r="C159" s="1056">
        <f t="shared" si="31"/>
        <v>7</v>
      </c>
      <c r="D159" s="1056" t="str">
        <f t="shared" si="30"/>
        <v>Café gâterie le spécial 7</v>
      </c>
      <c r="E159" s="1066">
        <f t="shared" si="32"/>
        <v>1.41</v>
      </c>
      <c r="F159" s="1066">
        <f t="shared" si="33"/>
        <v>4.8</v>
      </c>
      <c r="G159" s="1067">
        <f t="shared" si="34"/>
        <v>0.29375000000000001</v>
      </c>
      <c r="H159" s="1068">
        <f t="shared" si="35"/>
        <v>3.3899999999999997</v>
      </c>
      <c r="I159" s="1064"/>
      <c r="J159" s="1056"/>
      <c r="K159" s="1091"/>
      <c r="L159" s="1092"/>
      <c r="M159" s="1084"/>
    </row>
    <row r="160" spans="1:13" ht="16" x14ac:dyDescent="0.2">
      <c r="A160" s="1238"/>
      <c r="B160" s="1056">
        <f t="shared" si="31"/>
        <v>20</v>
      </c>
      <c r="C160" s="1056">
        <f t="shared" si="31"/>
        <v>8</v>
      </c>
      <c r="D160" s="1056" t="str">
        <f t="shared" si="30"/>
        <v>Café gâterie le spécial 8</v>
      </c>
      <c r="E160" s="1066">
        <f t="shared" si="32"/>
        <v>1.43</v>
      </c>
      <c r="F160" s="1066">
        <f t="shared" si="33"/>
        <v>4.9000000000000004</v>
      </c>
      <c r="G160" s="1067">
        <f t="shared" si="34"/>
        <v>0.2918367346938775</v>
      </c>
      <c r="H160" s="1068">
        <f t="shared" si="35"/>
        <v>3.4700000000000006</v>
      </c>
      <c r="I160" s="1064"/>
      <c r="J160" s="1056"/>
      <c r="K160" s="1091"/>
      <c r="L160" s="1099"/>
      <c r="M160" s="1084"/>
    </row>
    <row r="161" spans="1:13" ht="16" x14ac:dyDescent="0.2">
      <c r="A161" s="1238"/>
      <c r="B161" s="1056">
        <f t="shared" si="31"/>
        <v>21</v>
      </c>
      <c r="C161" s="1056">
        <f t="shared" si="31"/>
        <v>9</v>
      </c>
      <c r="D161" s="1056" t="str">
        <f t="shared" si="30"/>
        <v>Café gâterie le spécial 9</v>
      </c>
      <c r="E161" s="1066">
        <f t="shared" si="32"/>
        <v>1.45</v>
      </c>
      <c r="F161" s="1066">
        <f t="shared" si="33"/>
        <v>5</v>
      </c>
      <c r="G161" s="1067">
        <f t="shared" si="34"/>
        <v>0.28999999999999998</v>
      </c>
      <c r="H161" s="1068">
        <f t="shared" si="35"/>
        <v>3.55</v>
      </c>
      <c r="I161" s="1064"/>
      <c r="J161" s="1056"/>
      <c r="K161" s="1091"/>
      <c r="L161" s="1092"/>
      <c r="M161" s="1084"/>
    </row>
    <row r="162" spans="1:13" ht="16" x14ac:dyDescent="0.2">
      <c r="A162" s="1238"/>
      <c r="B162" s="1056">
        <f t="shared" si="31"/>
        <v>22</v>
      </c>
      <c r="C162" s="1056">
        <f t="shared" si="31"/>
        <v>10</v>
      </c>
      <c r="D162" s="1056" t="str">
        <f t="shared" si="30"/>
        <v>Café gâterie le spécial 10</v>
      </c>
      <c r="E162" s="1066">
        <f t="shared" si="32"/>
        <v>1.49</v>
      </c>
      <c r="F162" s="1066">
        <f t="shared" si="33"/>
        <v>5.2</v>
      </c>
      <c r="G162" s="1067">
        <f t="shared" si="34"/>
        <v>0.28653846153846152</v>
      </c>
      <c r="H162" s="1068">
        <f t="shared" si="35"/>
        <v>3.71</v>
      </c>
      <c r="I162" s="1064"/>
      <c r="J162" s="1056"/>
      <c r="K162" s="1091"/>
      <c r="L162" s="1092"/>
      <c r="M162" s="1106"/>
    </row>
    <row r="163" spans="1:13" ht="16" x14ac:dyDescent="0.2">
      <c r="A163" s="1238"/>
      <c r="B163" s="1056">
        <f t="shared" si="31"/>
        <v>23</v>
      </c>
      <c r="C163" s="1056">
        <f t="shared" si="31"/>
        <v>11</v>
      </c>
      <c r="D163" s="1056" t="str">
        <f t="shared" si="30"/>
        <v>Café gâterie le spécial 11</v>
      </c>
      <c r="E163" s="1066">
        <f t="shared" si="32"/>
        <v>1.59</v>
      </c>
      <c r="F163" s="1066">
        <f t="shared" si="33"/>
        <v>5.8</v>
      </c>
      <c r="G163" s="1067">
        <f t="shared" si="34"/>
        <v>0.27413793103448281</v>
      </c>
      <c r="H163" s="1068">
        <f t="shared" si="35"/>
        <v>4.21</v>
      </c>
      <c r="I163" s="1064"/>
      <c r="J163" s="1056"/>
    </row>
    <row r="164" spans="1:13" ht="16" x14ac:dyDescent="0.2">
      <c r="A164" s="1238"/>
      <c r="B164" s="1056">
        <f t="shared" si="31"/>
        <v>24</v>
      </c>
      <c r="C164" s="1056">
        <f t="shared" si="31"/>
        <v>12</v>
      </c>
      <c r="D164" s="1056" t="str">
        <f t="shared" si="30"/>
        <v>Café gâterie le spécial 12</v>
      </c>
      <c r="E164" s="1066">
        <f t="shared" si="32"/>
        <v>1.74</v>
      </c>
      <c r="F164" s="1066">
        <f t="shared" si="33"/>
        <v>6.6</v>
      </c>
      <c r="G164" s="1067">
        <f>E164/F164</f>
        <v>0.26363636363636367</v>
      </c>
      <c r="H164" s="1068">
        <f>F164-E164</f>
        <v>4.8599999999999994</v>
      </c>
      <c r="I164" s="1064"/>
      <c r="J164" s="1056"/>
    </row>
    <row r="165" spans="1:13" ht="19" x14ac:dyDescent="0.35">
      <c r="A165" s="1238"/>
      <c r="B165" s="1056"/>
      <c r="C165" s="1056"/>
      <c r="D165" s="1063" t="str">
        <f t="shared" si="30"/>
        <v>CmO—PmO—Beverage Cost—Marge brute</v>
      </c>
      <c r="E165" s="1072">
        <f>SUM(E153:E164)/C164</f>
        <v>1.4241666666666666</v>
      </c>
      <c r="F165" s="1072">
        <f>SUM(F153:F164)/C164</f>
        <v>4.7666666666666666</v>
      </c>
      <c r="G165" s="1077">
        <f>E165/F165</f>
        <v>0.29877622377622376</v>
      </c>
      <c r="H165" s="1074">
        <f>F165-E165</f>
        <v>3.3425000000000002</v>
      </c>
      <c r="I165" s="1075"/>
      <c r="J165" s="1056"/>
    </row>
    <row r="166" spans="1:13" ht="17" thickBot="1" x14ac:dyDescent="0.25">
      <c r="A166" s="1238"/>
      <c r="B166" s="1056"/>
      <c r="C166" s="1056"/>
      <c r="D166" s="1056"/>
      <c r="E166" s="1066"/>
      <c r="F166" s="1066"/>
      <c r="G166" s="1065"/>
      <c r="H166" s="1076"/>
      <c r="I166" s="1056"/>
      <c r="J166" s="1056"/>
    </row>
    <row r="167" spans="1:13" ht="21" thickTop="1" thickBot="1" x14ac:dyDescent="0.4">
      <c r="A167" s="1238"/>
      <c r="B167" s="1056"/>
      <c r="C167" s="1078"/>
      <c r="D167" s="1079"/>
      <c r="E167" s="1080"/>
      <c r="F167" s="1080"/>
      <c r="G167" s="1081"/>
      <c r="H167" s="1082"/>
      <c r="I167" s="1083"/>
      <c r="J167" s="1056"/>
    </row>
    <row r="168" spans="1:13" ht="18" thickTop="1" thickBot="1" x14ac:dyDescent="0.25">
      <c r="A168" s="1238"/>
      <c r="B168" s="1056"/>
      <c r="C168" s="1085"/>
      <c r="D168" s="1063"/>
      <c r="E168" s="1086" t="str">
        <f>E125</f>
        <v>CmO</v>
      </c>
      <c r="F168" s="1086" t="str">
        <f>F125</f>
        <v>PmO</v>
      </c>
      <c r="G168" s="1087" t="str">
        <f>G125</f>
        <v>F&amp;BCmO</v>
      </c>
      <c r="H168" s="1113" t="str">
        <f>H125</f>
        <v>BmO</v>
      </c>
      <c r="I168" s="1088"/>
      <c r="J168" s="1056"/>
    </row>
    <row r="169" spans="1:13" ht="17" thickTop="1" x14ac:dyDescent="0.2">
      <c r="A169" s="1238"/>
      <c r="B169" s="1056"/>
      <c r="C169" s="1085"/>
      <c r="D169" s="1089" t="str">
        <f>D126</f>
        <v>OFFRE TOTALE AVEC LES GÂTERIES ET LES CAFÉS GÂTERIES</v>
      </c>
      <c r="E169" s="1066"/>
      <c r="F169" s="1066"/>
      <c r="G169" s="1065"/>
      <c r="H169" s="1076"/>
      <c r="I169" s="1090"/>
      <c r="J169" s="1056"/>
    </row>
    <row r="170" spans="1:13" ht="19" x14ac:dyDescent="0.35">
      <c r="A170" s="1238"/>
      <c r="B170" s="1056"/>
      <c r="C170" s="1085"/>
      <c r="D170" s="1063" t="str">
        <f>D127</f>
        <v>CmO—PmO—F&amp;B cost moyen offert—Marge brute</v>
      </c>
      <c r="E170" s="1093">
        <f>+(E138+E139+E140+E141+E142+E143+E144+E145+E146+E147+E148+E149+E153+E154+E155+E156+E157+E158+E159+E160+E161+E162+E163+E164)/B164</f>
        <v>1.4529166666666666</v>
      </c>
      <c r="F170" s="1093">
        <f>+(F138+F139+F140+F141+F142+F143+F144+F145+F146+F147+F148+F149+F153+F154+F155+F156+F157+F158+F159+F160+F161+F162+F163+F164)/B164</f>
        <v>4.791666666666667</v>
      </c>
      <c r="G170" s="1094">
        <f>E170/F170</f>
        <v>0.30321739130434783</v>
      </c>
      <c r="H170" s="1095">
        <f>F170-E170</f>
        <v>3.3387500000000001</v>
      </c>
      <c r="I170" s="1096"/>
      <c r="J170" s="1056"/>
    </row>
    <row r="171" spans="1:13" ht="16" x14ac:dyDescent="0.2">
      <c r="A171" s="1238"/>
      <c r="B171" s="1056"/>
      <c r="C171" s="1085"/>
      <c r="D171" s="1056"/>
      <c r="E171" s="1069"/>
      <c r="F171" s="1069"/>
      <c r="G171" s="1070"/>
      <c r="H171" s="1097"/>
      <c r="I171" s="1098"/>
      <c r="J171" s="1056"/>
    </row>
    <row r="172" spans="1:13" ht="17" thickBot="1" x14ac:dyDescent="0.25">
      <c r="A172" s="1238"/>
      <c r="B172" s="1056"/>
      <c r="C172" s="1100"/>
      <c r="D172" s="1101"/>
      <c r="E172" s="1102"/>
      <c r="F172" s="1102"/>
      <c r="G172" s="1103"/>
      <c r="H172" s="1104"/>
      <c r="I172" s="1105"/>
      <c r="J172" s="1056"/>
    </row>
    <row r="173" spans="1:13" ht="14" thickTop="1" x14ac:dyDescent="0.15">
      <c r="A173" s="1238"/>
    </row>
    <row r="174" spans="1:13" ht="22" x14ac:dyDescent="0.25">
      <c r="A174" s="1238"/>
      <c r="D174" s="1058" t="s">
        <v>589</v>
      </c>
      <c r="F174" s="1059"/>
    </row>
    <row r="175" spans="1:13" ht="23" thickBot="1" x14ac:dyDescent="0.3">
      <c r="A175" s="1238"/>
      <c r="D175" s="1060"/>
    </row>
    <row r="176" spans="1:13" ht="23" thickTop="1" x14ac:dyDescent="0.25">
      <c r="A176" s="1238"/>
      <c r="D176" s="1060"/>
      <c r="E176" s="1232" t="str">
        <f>E133</f>
        <v>Coûts des ressources alimentaires pour chaque produit offert (voir recettes standardisées)</v>
      </c>
      <c r="F176" s="1232" t="str">
        <f>F133</f>
        <v>Prix de vente par produit offert</v>
      </c>
      <c r="G176" s="1232" t="str">
        <f>G133</f>
        <v xml:space="preserve">« Food &amp; Beverage Cost » </v>
      </c>
      <c r="H176" s="1232" t="str">
        <f>H133</f>
        <v>Marge brute gagnée sur la vente de chaque produit offert</v>
      </c>
      <c r="I176" s="1061"/>
    </row>
    <row r="177" spans="1:10" ht="22" x14ac:dyDescent="0.25">
      <c r="A177" s="1238"/>
      <c r="D177" s="1060"/>
      <c r="E177" s="1233"/>
      <c r="F177" s="1235"/>
      <c r="G177" s="1235"/>
      <c r="H177" s="1235"/>
      <c r="I177" s="1062"/>
    </row>
    <row r="178" spans="1:10" ht="14" thickBot="1" x14ac:dyDescent="0.2">
      <c r="A178" s="1238"/>
      <c r="E178" s="1234"/>
      <c r="F178" s="1236"/>
      <c r="G178" s="1236"/>
      <c r="H178" s="1236"/>
      <c r="I178" s="1062"/>
    </row>
    <row r="179" spans="1:10" ht="14" thickTop="1" x14ac:dyDescent="0.15">
      <c r="A179" s="1238"/>
      <c r="B179" s="161" t="s">
        <v>2</v>
      </c>
      <c r="E179" s="1059"/>
      <c r="F179" s="1059"/>
      <c r="G179" s="315"/>
    </row>
    <row r="180" spans="1:10" ht="16" x14ac:dyDescent="0.2">
      <c r="A180" s="1238"/>
      <c r="B180" s="1056"/>
      <c r="C180" s="1056"/>
      <c r="D180" s="1063" t="str">
        <f t="shared" ref="D180:D193" si="36">D137</f>
        <v>Les gâteries</v>
      </c>
      <c r="E180" s="1064"/>
      <c r="F180" s="1064"/>
      <c r="G180" s="1065"/>
      <c r="H180" s="1056"/>
      <c r="I180" s="1056"/>
      <c r="J180" s="1056"/>
    </row>
    <row r="181" spans="1:10" ht="16" x14ac:dyDescent="0.2">
      <c r="A181" s="1238"/>
      <c r="B181" s="1056">
        <f t="shared" ref="B181:C192" si="37">B138</f>
        <v>1</v>
      </c>
      <c r="C181" s="1056">
        <f t="shared" si="37"/>
        <v>1</v>
      </c>
      <c r="D181" s="1056" t="str">
        <f t="shared" si="36"/>
        <v>Gâterie 1</v>
      </c>
      <c r="E181" s="1066">
        <f t="shared" ref="E181:F192" si="38">E138</f>
        <v>1.21</v>
      </c>
      <c r="F181" s="1066">
        <f t="shared" si="38"/>
        <v>3.3</v>
      </c>
      <c r="G181" s="1067">
        <f t="shared" ref="G181:G193" si="39">E181/F181</f>
        <v>0.3666666666666667</v>
      </c>
      <c r="H181" s="1068">
        <f t="shared" ref="H181:H193" si="40">F181-E181</f>
        <v>2.09</v>
      </c>
      <c r="I181" s="1064"/>
      <c r="J181" s="1056"/>
    </row>
    <row r="182" spans="1:10" ht="16" x14ac:dyDescent="0.2">
      <c r="A182" s="1238"/>
      <c r="B182" s="1056">
        <f t="shared" si="37"/>
        <v>2</v>
      </c>
      <c r="C182" s="1056">
        <f t="shared" si="37"/>
        <v>2</v>
      </c>
      <c r="D182" s="1056" t="str">
        <f t="shared" si="36"/>
        <v>Gâterie 2</v>
      </c>
      <c r="E182" s="1066">
        <f t="shared" si="38"/>
        <v>1.31</v>
      </c>
      <c r="F182" s="1066">
        <f t="shared" si="38"/>
        <v>3.8</v>
      </c>
      <c r="G182" s="1067">
        <f t="shared" si="39"/>
        <v>0.34473684210526317</v>
      </c>
      <c r="H182" s="1068">
        <f t="shared" si="40"/>
        <v>2.4899999999999998</v>
      </c>
      <c r="I182" s="1064"/>
      <c r="J182" s="1056"/>
    </row>
    <row r="183" spans="1:10" ht="16" x14ac:dyDescent="0.2">
      <c r="A183" s="1238"/>
      <c r="B183" s="1056">
        <f t="shared" si="37"/>
        <v>3</v>
      </c>
      <c r="C183" s="1056">
        <f t="shared" si="37"/>
        <v>3</v>
      </c>
      <c r="D183" s="1056" t="str">
        <f t="shared" si="36"/>
        <v>Gâterie 3</v>
      </c>
      <c r="E183" s="1066">
        <f t="shared" si="38"/>
        <v>1.35</v>
      </c>
      <c r="F183" s="1066">
        <f t="shared" si="38"/>
        <v>4</v>
      </c>
      <c r="G183" s="1067">
        <f t="shared" si="39"/>
        <v>0.33750000000000002</v>
      </c>
      <c r="H183" s="1068">
        <f t="shared" si="40"/>
        <v>2.65</v>
      </c>
      <c r="I183" s="1064"/>
      <c r="J183" s="1056"/>
    </row>
    <row r="184" spans="1:10" ht="16" x14ac:dyDescent="0.2">
      <c r="A184" s="1238"/>
      <c r="B184" s="1056">
        <f t="shared" si="37"/>
        <v>4</v>
      </c>
      <c r="C184" s="1056">
        <f t="shared" si="37"/>
        <v>4</v>
      </c>
      <c r="D184" s="1056" t="str">
        <f t="shared" si="36"/>
        <v>Gâterie 4</v>
      </c>
      <c r="E184" s="1066">
        <f t="shared" si="38"/>
        <v>1.4</v>
      </c>
      <c r="F184" s="1066">
        <f t="shared" si="38"/>
        <v>4.5</v>
      </c>
      <c r="G184" s="1067">
        <f t="shared" si="39"/>
        <v>0.31111111111111112</v>
      </c>
      <c r="H184" s="1068">
        <f t="shared" si="40"/>
        <v>3.1</v>
      </c>
      <c r="I184" s="1064"/>
      <c r="J184" s="1056"/>
    </row>
    <row r="185" spans="1:10" ht="16" x14ac:dyDescent="0.2">
      <c r="A185" s="1238"/>
      <c r="B185" s="1056">
        <f t="shared" si="37"/>
        <v>5</v>
      </c>
      <c r="C185" s="1056">
        <f t="shared" si="37"/>
        <v>5</v>
      </c>
      <c r="D185" s="1056" t="str">
        <f t="shared" si="36"/>
        <v>Gâterie 5</v>
      </c>
      <c r="E185" s="1066">
        <f t="shared" si="38"/>
        <v>1.24</v>
      </c>
      <c r="F185" s="1066">
        <f t="shared" si="38"/>
        <v>4.5999999999999996</v>
      </c>
      <c r="G185" s="1067">
        <f t="shared" si="39"/>
        <v>0.26956521739130435</v>
      </c>
      <c r="H185" s="1068">
        <f t="shared" si="40"/>
        <v>3.3599999999999994</v>
      </c>
      <c r="I185" s="1064"/>
      <c r="J185" s="1056"/>
    </row>
    <row r="186" spans="1:10" ht="16" x14ac:dyDescent="0.2">
      <c r="A186" s="1238"/>
      <c r="B186" s="1056">
        <f t="shared" si="37"/>
        <v>6</v>
      </c>
      <c r="C186" s="1056">
        <f t="shared" si="37"/>
        <v>6</v>
      </c>
      <c r="D186" s="1056" t="str">
        <f t="shared" si="36"/>
        <v>Gâterie 6</v>
      </c>
      <c r="E186" s="1066">
        <f t="shared" si="38"/>
        <v>1.39</v>
      </c>
      <c r="F186" s="1066">
        <f t="shared" si="38"/>
        <v>4.7</v>
      </c>
      <c r="G186" s="1067">
        <f t="shared" si="39"/>
        <v>0.29574468085106381</v>
      </c>
      <c r="H186" s="1068">
        <f t="shared" si="40"/>
        <v>3.3100000000000005</v>
      </c>
      <c r="I186" s="1064"/>
      <c r="J186" s="1056"/>
    </row>
    <row r="187" spans="1:10" ht="16" x14ac:dyDescent="0.2">
      <c r="A187" s="1238"/>
      <c r="B187" s="1056">
        <f t="shared" si="37"/>
        <v>7</v>
      </c>
      <c r="C187" s="1056">
        <f t="shared" si="37"/>
        <v>7</v>
      </c>
      <c r="D187" s="1056" t="str">
        <f t="shared" si="36"/>
        <v>Gâterie 7</v>
      </c>
      <c r="E187" s="1066">
        <f t="shared" si="38"/>
        <v>1.51</v>
      </c>
      <c r="F187" s="1066">
        <f t="shared" si="38"/>
        <v>4.8</v>
      </c>
      <c r="G187" s="1067">
        <f t="shared" si="39"/>
        <v>0.31458333333333333</v>
      </c>
      <c r="H187" s="1068">
        <f t="shared" si="40"/>
        <v>3.29</v>
      </c>
      <c r="I187" s="1064"/>
      <c r="J187" s="1056"/>
    </row>
    <row r="188" spans="1:10" ht="16" x14ac:dyDescent="0.2">
      <c r="A188" s="1238"/>
      <c r="B188" s="1056">
        <f t="shared" si="37"/>
        <v>8</v>
      </c>
      <c r="C188" s="1056">
        <f t="shared" si="37"/>
        <v>8</v>
      </c>
      <c r="D188" s="1056" t="str">
        <f t="shared" si="36"/>
        <v>Gâterie 8</v>
      </c>
      <c r="E188" s="1066">
        <f t="shared" si="38"/>
        <v>1.53</v>
      </c>
      <c r="F188" s="1066">
        <f t="shared" si="38"/>
        <v>4.9000000000000004</v>
      </c>
      <c r="G188" s="1067">
        <f t="shared" si="39"/>
        <v>0.31224489795918364</v>
      </c>
      <c r="H188" s="1068">
        <f t="shared" si="40"/>
        <v>3.37</v>
      </c>
      <c r="I188" s="1064"/>
      <c r="J188" s="1056"/>
    </row>
    <row r="189" spans="1:10" ht="16" x14ac:dyDescent="0.2">
      <c r="A189" s="1238"/>
      <c r="B189" s="1056">
        <f t="shared" si="37"/>
        <v>9</v>
      </c>
      <c r="C189" s="1056">
        <f t="shared" si="37"/>
        <v>9</v>
      </c>
      <c r="D189" s="1056" t="str">
        <f t="shared" si="36"/>
        <v>Gâterie 9</v>
      </c>
      <c r="E189" s="1066">
        <f t="shared" si="38"/>
        <v>1.55</v>
      </c>
      <c r="F189" s="1066">
        <f t="shared" si="38"/>
        <v>5</v>
      </c>
      <c r="G189" s="1067">
        <f t="shared" si="39"/>
        <v>0.31</v>
      </c>
      <c r="H189" s="1068">
        <f t="shared" si="40"/>
        <v>3.45</v>
      </c>
      <c r="I189" s="1064"/>
      <c r="J189" s="1056"/>
    </row>
    <row r="190" spans="1:10" ht="16" x14ac:dyDescent="0.2">
      <c r="A190" s="1238"/>
      <c r="B190" s="1056">
        <f t="shared" si="37"/>
        <v>10</v>
      </c>
      <c r="C190" s="1056">
        <f t="shared" si="37"/>
        <v>10</v>
      </c>
      <c r="D190" s="1056" t="str">
        <f t="shared" si="36"/>
        <v>Gâterie 10</v>
      </c>
      <c r="E190" s="1066">
        <f t="shared" si="38"/>
        <v>1.59</v>
      </c>
      <c r="F190" s="1066">
        <f t="shared" si="38"/>
        <v>5.2</v>
      </c>
      <c r="G190" s="1067">
        <f t="shared" si="39"/>
        <v>0.30576923076923079</v>
      </c>
      <c r="H190" s="1068">
        <f t="shared" si="40"/>
        <v>3.6100000000000003</v>
      </c>
      <c r="I190" s="1064"/>
      <c r="J190" s="1056"/>
    </row>
    <row r="191" spans="1:10" ht="16" x14ac:dyDescent="0.2">
      <c r="A191" s="1238"/>
      <c r="B191" s="1056">
        <f t="shared" si="37"/>
        <v>11</v>
      </c>
      <c r="C191" s="1056">
        <f t="shared" si="37"/>
        <v>11</v>
      </c>
      <c r="D191" s="1056" t="str">
        <f t="shared" si="36"/>
        <v>Gâterie 11</v>
      </c>
      <c r="E191" s="1066">
        <f t="shared" si="38"/>
        <v>1.83</v>
      </c>
      <c r="F191" s="1066">
        <f t="shared" si="38"/>
        <v>6.4</v>
      </c>
      <c r="G191" s="1067">
        <f t="shared" si="39"/>
        <v>0.28593750000000001</v>
      </c>
      <c r="H191" s="1068">
        <f t="shared" si="40"/>
        <v>4.57</v>
      </c>
      <c r="I191" s="1064"/>
      <c r="J191" s="1056"/>
    </row>
    <row r="192" spans="1:10" ht="16" x14ac:dyDescent="0.2">
      <c r="A192" s="1238"/>
      <c r="B192" s="1056">
        <f t="shared" si="37"/>
        <v>12</v>
      </c>
      <c r="C192" s="1056">
        <f t="shared" si="37"/>
        <v>12</v>
      </c>
      <c r="D192" s="1056" t="str">
        <f t="shared" si="36"/>
        <v>Gâterie 12</v>
      </c>
      <c r="E192" s="1066">
        <f t="shared" si="38"/>
        <v>1.87</v>
      </c>
      <c r="F192" s="1066">
        <f t="shared" si="38"/>
        <v>6.6</v>
      </c>
      <c r="G192" s="1067">
        <f t="shared" si="39"/>
        <v>0.28333333333333338</v>
      </c>
      <c r="H192" s="1068">
        <f t="shared" si="40"/>
        <v>4.7299999999999995</v>
      </c>
      <c r="I192" s="1064"/>
      <c r="J192" s="1056"/>
    </row>
    <row r="193" spans="1:10" ht="19" x14ac:dyDescent="0.35">
      <c r="A193" s="1238"/>
      <c r="B193" s="1056"/>
      <c r="C193" s="1056"/>
      <c r="D193" s="1063" t="str">
        <f t="shared" si="36"/>
        <v>CmO—PmO—Food Cost—BmO</v>
      </c>
      <c r="E193" s="1072">
        <f>SUM(E181:E192)/C192</f>
        <v>1.4816666666666667</v>
      </c>
      <c r="F193" s="1072">
        <f>SUM(F181:F192)/C192</f>
        <v>4.8166666666666673</v>
      </c>
      <c r="G193" s="1073">
        <f t="shared" si="39"/>
        <v>0.30761245674740478</v>
      </c>
      <c r="H193" s="1074">
        <f t="shared" si="40"/>
        <v>3.3350000000000009</v>
      </c>
      <c r="I193" s="1075"/>
      <c r="J193" s="1056"/>
    </row>
    <row r="194" spans="1:10" ht="16" x14ac:dyDescent="0.2">
      <c r="A194" s="1238"/>
      <c r="B194" s="1056" t="s">
        <v>2</v>
      </c>
      <c r="C194" s="1056"/>
      <c r="D194" s="1056"/>
      <c r="E194" s="1066"/>
      <c r="F194" s="1066"/>
      <c r="G194" s="1067"/>
      <c r="H194" s="1076"/>
      <c r="I194" s="1056"/>
      <c r="J194" s="1056"/>
    </row>
    <row r="195" spans="1:10" ht="16" x14ac:dyDescent="0.2">
      <c r="A195" s="1238"/>
      <c r="B195" s="1056"/>
      <c r="C195" s="1056"/>
      <c r="D195" s="1063" t="str">
        <f t="shared" ref="D195:D208" si="41">D152</f>
        <v>Les cafés gâteries</v>
      </c>
      <c r="E195" s="1066"/>
      <c r="F195" s="1066"/>
      <c r="G195" s="1067"/>
      <c r="H195" s="1076"/>
      <c r="I195" s="1056"/>
      <c r="J195" s="1056"/>
    </row>
    <row r="196" spans="1:10" ht="16" x14ac:dyDescent="0.2">
      <c r="A196" s="1238"/>
      <c r="B196" s="1056">
        <f t="shared" ref="B196:C207" si="42">B153</f>
        <v>13</v>
      </c>
      <c r="C196" s="1056">
        <f t="shared" si="42"/>
        <v>1</v>
      </c>
      <c r="D196" s="1056" t="str">
        <f t="shared" si="41"/>
        <v>Café gâterie le spécial 1</v>
      </c>
      <c r="E196" s="1066">
        <f t="shared" ref="E196:F207" si="43">E153</f>
        <v>1.1399999999999999</v>
      </c>
      <c r="F196" s="1066">
        <f t="shared" si="43"/>
        <v>3.3</v>
      </c>
      <c r="G196" s="1067">
        <f>E196/F196</f>
        <v>0.34545454545454546</v>
      </c>
      <c r="H196" s="1068">
        <f>F196-E196</f>
        <v>2.16</v>
      </c>
      <c r="I196" s="1064"/>
      <c r="J196" s="1056"/>
    </row>
    <row r="197" spans="1:10" ht="16" x14ac:dyDescent="0.2">
      <c r="A197" s="1238"/>
      <c r="B197" s="1056">
        <f t="shared" si="42"/>
        <v>14</v>
      </c>
      <c r="C197" s="1056">
        <f t="shared" si="42"/>
        <v>2</v>
      </c>
      <c r="D197" s="1056" t="str">
        <f t="shared" si="41"/>
        <v>Café gâterie le spécial 2</v>
      </c>
      <c r="E197" s="1066">
        <f t="shared" si="43"/>
        <v>1.33</v>
      </c>
      <c r="F197" s="1066">
        <f t="shared" si="43"/>
        <v>3.8</v>
      </c>
      <c r="G197" s="1067">
        <f>E197/F197</f>
        <v>0.35000000000000003</v>
      </c>
      <c r="H197" s="1068">
        <f>F197-E197</f>
        <v>2.4699999999999998</v>
      </c>
      <c r="I197" s="1064"/>
      <c r="J197" s="1056"/>
    </row>
    <row r="198" spans="1:10" ht="16" x14ac:dyDescent="0.2">
      <c r="A198" s="1238"/>
      <c r="B198" s="1056">
        <f t="shared" si="42"/>
        <v>15</v>
      </c>
      <c r="C198" s="1056">
        <f t="shared" si="42"/>
        <v>3</v>
      </c>
      <c r="D198" s="1056" t="str">
        <f t="shared" si="41"/>
        <v>Café gâterie le spécial 3</v>
      </c>
      <c r="E198" s="1066">
        <f t="shared" si="43"/>
        <v>1.37</v>
      </c>
      <c r="F198" s="1066">
        <f t="shared" si="43"/>
        <v>4</v>
      </c>
      <c r="G198" s="1067">
        <f>E198/F198</f>
        <v>0.34250000000000003</v>
      </c>
      <c r="H198" s="1068">
        <f>F198-E198</f>
        <v>2.63</v>
      </c>
      <c r="I198" s="1064"/>
      <c r="J198" s="1056"/>
    </row>
    <row r="199" spans="1:10" ht="16" x14ac:dyDescent="0.2">
      <c r="A199" s="1238"/>
      <c r="B199" s="1056">
        <f t="shared" si="42"/>
        <v>16</v>
      </c>
      <c r="C199" s="1056">
        <f t="shared" si="42"/>
        <v>4</v>
      </c>
      <c r="D199" s="1056" t="str">
        <f t="shared" si="41"/>
        <v>Café gâterie le spécial 4</v>
      </c>
      <c r="E199" s="1066">
        <f t="shared" si="43"/>
        <v>1.36</v>
      </c>
      <c r="F199" s="1066">
        <f t="shared" si="43"/>
        <v>4.5</v>
      </c>
      <c r="G199" s="1067">
        <f t="shared" ref="G199:G206" si="44">E199/F199</f>
        <v>0.30222222222222223</v>
      </c>
      <c r="H199" s="1068">
        <f t="shared" ref="H199:H206" si="45">F199-E199</f>
        <v>3.1399999999999997</v>
      </c>
      <c r="I199" s="1064"/>
      <c r="J199" s="1056"/>
    </row>
    <row r="200" spans="1:10" ht="16" x14ac:dyDescent="0.2">
      <c r="A200" s="1238"/>
      <c r="B200" s="1056">
        <f t="shared" si="42"/>
        <v>17</v>
      </c>
      <c r="C200" s="1056">
        <f t="shared" si="42"/>
        <v>5</v>
      </c>
      <c r="D200" s="1056" t="str">
        <f t="shared" si="41"/>
        <v>Café gâterie le spécial 5</v>
      </c>
      <c r="E200" s="1066">
        <f t="shared" si="43"/>
        <v>1.38</v>
      </c>
      <c r="F200" s="1066">
        <f t="shared" si="43"/>
        <v>4.5999999999999996</v>
      </c>
      <c r="G200" s="1067">
        <f t="shared" si="44"/>
        <v>0.3</v>
      </c>
      <c r="H200" s="1068">
        <f t="shared" si="45"/>
        <v>3.2199999999999998</v>
      </c>
      <c r="I200" s="1064"/>
      <c r="J200" s="1056"/>
    </row>
    <row r="201" spans="1:10" ht="16" x14ac:dyDescent="0.2">
      <c r="A201" s="1238"/>
      <c r="B201" s="1056">
        <f t="shared" si="42"/>
        <v>18</v>
      </c>
      <c r="C201" s="1056">
        <f t="shared" si="42"/>
        <v>6</v>
      </c>
      <c r="D201" s="1056" t="str">
        <f t="shared" si="41"/>
        <v>Café gâterie le spécial 6</v>
      </c>
      <c r="E201" s="1066">
        <f t="shared" si="43"/>
        <v>1.4</v>
      </c>
      <c r="F201" s="1066">
        <f t="shared" si="43"/>
        <v>4.7</v>
      </c>
      <c r="G201" s="1067">
        <f t="shared" si="44"/>
        <v>0.2978723404255319</v>
      </c>
      <c r="H201" s="1068">
        <f t="shared" si="45"/>
        <v>3.3000000000000003</v>
      </c>
      <c r="I201" s="1064"/>
      <c r="J201" s="1056"/>
    </row>
    <row r="202" spans="1:10" ht="16" x14ac:dyDescent="0.2">
      <c r="A202" s="1238"/>
      <c r="B202" s="1056">
        <f t="shared" si="42"/>
        <v>19</v>
      </c>
      <c r="C202" s="1056">
        <f t="shared" si="42"/>
        <v>7</v>
      </c>
      <c r="D202" s="1056" t="str">
        <f t="shared" si="41"/>
        <v>Café gâterie le spécial 7</v>
      </c>
      <c r="E202" s="1066">
        <f t="shared" si="43"/>
        <v>1.41</v>
      </c>
      <c r="F202" s="1066">
        <f t="shared" si="43"/>
        <v>4.8</v>
      </c>
      <c r="G202" s="1067">
        <f t="shared" si="44"/>
        <v>0.29375000000000001</v>
      </c>
      <c r="H202" s="1068">
        <f t="shared" si="45"/>
        <v>3.3899999999999997</v>
      </c>
      <c r="I202" s="1064"/>
      <c r="J202" s="1056"/>
    </row>
    <row r="203" spans="1:10" ht="16" x14ac:dyDescent="0.2">
      <c r="A203" s="1238"/>
      <c r="B203" s="1056">
        <f t="shared" si="42"/>
        <v>20</v>
      </c>
      <c r="C203" s="1056">
        <f t="shared" si="42"/>
        <v>8</v>
      </c>
      <c r="D203" s="1056" t="str">
        <f t="shared" si="41"/>
        <v>Café gâterie le spécial 8</v>
      </c>
      <c r="E203" s="1066">
        <f t="shared" si="43"/>
        <v>1.43</v>
      </c>
      <c r="F203" s="1066">
        <f t="shared" si="43"/>
        <v>4.9000000000000004</v>
      </c>
      <c r="G203" s="1067">
        <f t="shared" si="44"/>
        <v>0.2918367346938775</v>
      </c>
      <c r="H203" s="1068">
        <f t="shared" si="45"/>
        <v>3.4700000000000006</v>
      </c>
      <c r="I203" s="1064"/>
      <c r="J203" s="1056"/>
    </row>
    <row r="204" spans="1:10" ht="16" x14ac:dyDescent="0.2">
      <c r="A204" s="1238"/>
      <c r="B204" s="1056">
        <f t="shared" si="42"/>
        <v>21</v>
      </c>
      <c r="C204" s="1056">
        <f t="shared" si="42"/>
        <v>9</v>
      </c>
      <c r="D204" s="1056" t="str">
        <f t="shared" si="41"/>
        <v>Café gâterie le spécial 9</v>
      </c>
      <c r="E204" s="1066">
        <f t="shared" si="43"/>
        <v>1.45</v>
      </c>
      <c r="F204" s="1066">
        <f t="shared" si="43"/>
        <v>5</v>
      </c>
      <c r="G204" s="1067">
        <f t="shared" si="44"/>
        <v>0.28999999999999998</v>
      </c>
      <c r="H204" s="1068">
        <f t="shared" si="45"/>
        <v>3.55</v>
      </c>
      <c r="I204" s="1064"/>
      <c r="J204" s="1056"/>
    </row>
    <row r="205" spans="1:10" ht="16" x14ac:dyDescent="0.2">
      <c r="A205" s="1238"/>
      <c r="B205" s="1056">
        <f t="shared" si="42"/>
        <v>22</v>
      </c>
      <c r="C205" s="1056">
        <f t="shared" si="42"/>
        <v>10</v>
      </c>
      <c r="D205" s="1056" t="str">
        <f t="shared" si="41"/>
        <v>Café gâterie le spécial 10</v>
      </c>
      <c r="E205" s="1066">
        <f t="shared" si="43"/>
        <v>1.49</v>
      </c>
      <c r="F205" s="1066">
        <f t="shared" si="43"/>
        <v>5.2</v>
      </c>
      <c r="G205" s="1067">
        <f t="shared" si="44"/>
        <v>0.28653846153846152</v>
      </c>
      <c r="H205" s="1068">
        <f t="shared" si="45"/>
        <v>3.71</v>
      </c>
      <c r="I205" s="1064"/>
      <c r="J205" s="1056"/>
    </row>
    <row r="206" spans="1:10" ht="16" x14ac:dyDescent="0.2">
      <c r="A206" s="1238"/>
      <c r="B206" s="1056">
        <f t="shared" si="42"/>
        <v>23</v>
      </c>
      <c r="C206" s="1056">
        <f t="shared" si="42"/>
        <v>11</v>
      </c>
      <c r="D206" s="1056" t="str">
        <f t="shared" si="41"/>
        <v>Café gâterie le spécial 11</v>
      </c>
      <c r="E206" s="1066">
        <f t="shared" si="43"/>
        <v>1.59</v>
      </c>
      <c r="F206" s="1066">
        <f t="shared" si="43"/>
        <v>5.8</v>
      </c>
      <c r="G206" s="1067">
        <f t="shared" si="44"/>
        <v>0.27413793103448281</v>
      </c>
      <c r="H206" s="1068">
        <f t="shared" si="45"/>
        <v>4.21</v>
      </c>
      <c r="I206" s="1064"/>
      <c r="J206" s="1056"/>
    </row>
    <row r="207" spans="1:10" ht="16" x14ac:dyDescent="0.2">
      <c r="A207" s="1238"/>
      <c r="B207" s="1056">
        <f t="shared" si="42"/>
        <v>24</v>
      </c>
      <c r="C207" s="1056">
        <f t="shared" si="42"/>
        <v>12</v>
      </c>
      <c r="D207" s="1056" t="str">
        <f t="shared" si="41"/>
        <v>Café gâterie le spécial 12</v>
      </c>
      <c r="E207" s="1066">
        <f t="shared" si="43"/>
        <v>1.74</v>
      </c>
      <c r="F207" s="1066">
        <f t="shared" si="43"/>
        <v>6.6</v>
      </c>
      <c r="G207" s="1067">
        <f>E207/F207</f>
        <v>0.26363636363636367</v>
      </c>
      <c r="H207" s="1068">
        <f>F207-E207</f>
        <v>4.8599999999999994</v>
      </c>
      <c r="I207" s="1064"/>
      <c r="J207" s="1056"/>
    </row>
    <row r="208" spans="1:10" ht="19" x14ac:dyDescent="0.35">
      <c r="A208" s="1238"/>
      <c r="B208" s="1056"/>
      <c r="C208" s="1056"/>
      <c r="D208" s="1063" t="str">
        <f t="shared" si="41"/>
        <v>CmO—PmO—Beverage Cost—Marge brute</v>
      </c>
      <c r="E208" s="1072">
        <f>SUM(E196:E207)/C207</f>
        <v>1.4241666666666666</v>
      </c>
      <c r="F208" s="1072">
        <f>SUM(F196:F207)/C207</f>
        <v>4.7666666666666666</v>
      </c>
      <c r="G208" s="1077">
        <f>E208/F208</f>
        <v>0.29877622377622376</v>
      </c>
      <c r="H208" s="1074">
        <f>F208-E208</f>
        <v>3.3425000000000002</v>
      </c>
      <c r="I208" s="1075"/>
      <c r="J208" s="1056"/>
    </row>
    <row r="209" spans="1:10" ht="17" thickBot="1" x14ac:dyDescent="0.25">
      <c r="A209" s="1238"/>
      <c r="B209" s="1056"/>
      <c r="C209" s="1056"/>
      <c r="D209" s="1056"/>
      <c r="E209" s="1066"/>
      <c r="F209" s="1066"/>
      <c r="G209" s="1065"/>
      <c r="H209" s="1076"/>
      <c r="I209" s="1056"/>
      <c r="J209" s="1056"/>
    </row>
    <row r="210" spans="1:10" ht="21" thickTop="1" thickBot="1" x14ac:dyDescent="0.4">
      <c r="A210" s="1238"/>
      <c r="B210" s="1056"/>
      <c r="C210" s="1078"/>
      <c r="D210" s="1079"/>
      <c r="E210" s="1080"/>
      <c r="F210" s="1080"/>
      <c r="G210" s="1081"/>
      <c r="H210" s="1080"/>
      <c r="I210" s="1083"/>
      <c r="J210" s="1056"/>
    </row>
    <row r="211" spans="1:10" ht="18" thickTop="1" thickBot="1" x14ac:dyDescent="0.25">
      <c r="A211" s="1238"/>
      <c r="B211" s="1056"/>
      <c r="C211" s="1085"/>
      <c r="D211" s="1063"/>
      <c r="E211" s="1086" t="str">
        <f>E168</f>
        <v>CmO</v>
      </c>
      <c r="F211" s="1086" t="str">
        <f>F168</f>
        <v>PmO</v>
      </c>
      <c r="G211" s="1087" t="str">
        <f>G168</f>
        <v>F&amp;BCmO</v>
      </c>
      <c r="H211" s="1113" t="str">
        <f>H168</f>
        <v>BmO</v>
      </c>
      <c r="I211" s="1088"/>
      <c r="J211" s="1056"/>
    </row>
    <row r="212" spans="1:10" ht="17" thickTop="1" x14ac:dyDescent="0.2">
      <c r="A212" s="1238"/>
      <c r="B212" s="1056"/>
      <c r="C212" s="1085"/>
      <c r="D212" s="1089" t="str">
        <f>D169</f>
        <v>OFFRE TOTALE AVEC LES GÂTERIES ET LES CAFÉS GÂTERIES</v>
      </c>
      <c r="E212" s="1066"/>
      <c r="F212" s="1066"/>
      <c r="G212" s="1065"/>
      <c r="H212" s="1076"/>
      <c r="I212" s="1090"/>
      <c r="J212" s="1056"/>
    </row>
    <row r="213" spans="1:10" ht="19" x14ac:dyDescent="0.35">
      <c r="A213" s="1238"/>
      <c r="B213" s="1056"/>
      <c r="C213" s="1085"/>
      <c r="D213" s="1063" t="str">
        <f>D170</f>
        <v>CmO—PmO—F&amp;B cost moyen offert—Marge brute</v>
      </c>
      <c r="E213" s="1093">
        <f>+(E181+E182+E183+E184+E185+E186+E187+E188+E189+E190+E191+E192+E196+E197+E198+E199+E200+E201+E202+E203+E204+E205+E206+E207)/B207</f>
        <v>1.4529166666666666</v>
      </c>
      <c r="F213" s="1093">
        <f>+(F181+F182+F183+F184+F185+F186+F187+F188+F189+F190+F191+F192+F196+F197+F198+F199+F200+F201+F202+F203+F204+F205+F206+F207)/B207</f>
        <v>4.791666666666667</v>
      </c>
      <c r="G213" s="1094">
        <f>E213/F213</f>
        <v>0.30321739130434783</v>
      </c>
      <c r="H213" s="1095">
        <f>F213-E213</f>
        <v>3.3387500000000001</v>
      </c>
      <c r="I213" s="1096"/>
      <c r="J213" s="1056"/>
    </row>
    <row r="214" spans="1:10" ht="16" x14ac:dyDescent="0.2">
      <c r="A214" s="1238"/>
      <c r="B214" s="1056"/>
      <c r="C214" s="1085"/>
      <c r="D214" s="1056"/>
      <c r="E214" s="1069"/>
      <c r="F214" s="1069"/>
      <c r="G214" s="1070"/>
      <c r="H214" s="1097"/>
      <c r="I214" s="1098"/>
      <c r="J214" s="1056"/>
    </row>
    <row r="215" spans="1:10" ht="17" thickBot="1" x14ac:dyDescent="0.25">
      <c r="A215" s="1238"/>
      <c r="B215" s="1056"/>
      <c r="C215" s="1100"/>
      <c r="D215" s="1101"/>
      <c r="E215" s="1102"/>
      <c r="F215" s="1102"/>
      <c r="G215" s="1103"/>
      <c r="H215" s="1104"/>
      <c r="I215" s="1105"/>
      <c r="J215" s="1056"/>
    </row>
    <row r="216" spans="1:10" ht="14" thickTop="1" x14ac:dyDescent="0.15">
      <c r="A216" s="1238"/>
    </row>
    <row r="217" spans="1:10" ht="22" x14ac:dyDescent="0.25">
      <c r="A217" s="1238"/>
      <c r="D217" s="1058" t="s">
        <v>590</v>
      </c>
      <c r="F217" s="1059"/>
    </row>
    <row r="218" spans="1:10" ht="23" thickBot="1" x14ac:dyDescent="0.3">
      <c r="A218" s="1238"/>
      <c r="D218" s="1060"/>
    </row>
    <row r="219" spans="1:10" ht="23" thickTop="1" x14ac:dyDescent="0.25">
      <c r="A219" s="1238"/>
      <c r="D219" s="1060"/>
      <c r="E219" s="1232" t="str">
        <f>E176</f>
        <v>Coûts des ressources alimentaires pour chaque produit offert (voir recettes standardisées)</v>
      </c>
      <c r="F219" s="1232" t="str">
        <f>F176</f>
        <v>Prix de vente par produit offert</v>
      </c>
      <c r="G219" s="1232" t="str">
        <f>G176</f>
        <v xml:space="preserve">« Food &amp; Beverage Cost » </v>
      </c>
      <c r="H219" s="1232" t="str">
        <f>H176</f>
        <v>Marge brute gagnée sur la vente de chaque produit offert</v>
      </c>
      <c r="I219" s="1061"/>
    </row>
    <row r="220" spans="1:10" ht="22" x14ac:dyDescent="0.25">
      <c r="A220" s="1238"/>
      <c r="D220" s="1060"/>
      <c r="E220" s="1233"/>
      <c r="F220" s="1235"/>
      <c r="G220" s="1235"/>
      <c r="H220" s="1235"/>
      <c r="I220" s="1062"/>
    </row>
    <row r="221" spans="1:10" ht="14" thickBot="1" x14ac:dyDescent="0.2">
      <c r="A221" s="1238"/>
      <c r="E221" s="1234"/>
      <c r="F221" s="1236"/>
      <c r="G221" s="1236"/>
      <c r="H221" s="1236"/>
      <c r="I221" s="1062"/>
    </row>
    <row r="222" spans="1:10" ht="14" thickTop="1" x14ac:dyDescent="0.15">
      <c r="A222" s="1238"/>
      <c r="B222" s="161" t="s">
        <v>2</v>
      </c>
      <c r="E222" s="1059"/>
      <c r="F222" s="1059"/>
      <c r="G222" s="315"/>
    </row>
    <row r="223" spans="1:10" ht="16" x14ac:dyDescent="0.2">
      <c r="A223" s="1238"/>
      <c r="B223" s="1056"/>
      <c r="C223" s="1056"/>
      <c r="D223" s="1063" t="str">
        <f t="shared" ref="D223:D236" si="46">D180</f>
        <v>Les gâteries</v>
      </c>
      <c r="E223" s="1064"/>
      <c r="F223" s="1064"/>
      <c r="G223" s="1065"/>
      <c r="H223" s="1056"/>
      <c r="I223" s="1056"/>
      <c r="J223" s="1056"/>
    </row>
    <row r="224" spans="1:10" ht="16" x14ac:dyDescent="0.2">
      <c r="A224" s="1238"/>
      <c r="B224" s="1056">
        <f t="shared" ref="B224:C235" si="47">B181</f>
        <v>1</v>
      </c>
      <c r="C224" s="1056">
        <f t="shared" si="47"/>
        <v>1</v>
      </c>
      <c r="D224" s="1056" t="str">
        <f t="shared" si="46"/>
        <v>Gâterie 1</v>
      </c>
      <c r="E224" s="1066">
        <f t="shared" ref="E224:F235" si="48">E181</f>
        <v>1.21</v>
      </c>
      <c r="F224" s="1066">
        <f t="shared" si="48"/>
        <v>3.3</v>
      </c>
      <c r="G224" s="1067">
        <f t="shared" ref="G224:G236" si="49">E224/F224</f>
        <v>0.3666666666666667</v>
      </c>
      <c r="H224" s="1068">
        <f t="shared" ref="H224:H236" si="50">F224-E224</f>
        <v>2.09</v>
      </c>
      <c r="I224" s="1064"/>
      <c r="J224" s="1056"/>
    </row>
    <row r="225" spans="1:10" ht="16" x14ac:dyDescent="0.2">
      <c r="A225" s="1238"/>
      <c r="B225" s="1056">
        <f t="shared" si="47"/>
        <v>2</v>
      </c>
      <c r="C225" s="1056">
        <f t="shared" si="47"/>
        <v>2</v>
      </c>
      <c r="D225" s="1056" t="str">
        <f t="shared" si="46"/>
        <v>Gâterie 2</v>
      </c>
      <c r="E225" s="1066">
        <f t="shared" si="48"/>
        <v>1.31</v>
      </c>
      <c r="F225" s="1066">
        <f t="shared" si="48"/>
        <v>3.8</v>
      </c>
      <c r="G225" s="1067">
        <f t="shared" si="49"/>
        <v>0.34473684210526317</v>
      </c>
      <c r="H225" s="1068">
        <f t="shared" si="50"/>
        <v>2.4899999999999998</v>
      </c>
      <c r="I225" s="1064"/>
      <c r="J225" s="1056"/>
    </row>
    <row r="226" spans="1:10" ht="16" x14ac:dyDescent="0.2">
      <c r="A226" s="1238"/>
      <c r="B226" s="1056">
        <f t="shared" si="47"/>
        <v>3</v>
      </c>
      <c r="C226" s="1056">
        <f t="shared" si="47"/>
        <v>3</v>
      </c>
      <c r="D226" s="1056" t="str">
        <f t="shared" si="46"/>
        <v>Gâterie 3</v>
      </c>
      <c r="E226" s="1066">
        <f t="shared" si="48"/>
        <v>1.35</v>
      </c>
      <c r="F226" s="1066">
        <f t="shared" si="48"/>
        <v>4</v>
      </c>
      <c r="G226" s="1067">
        <f t="shared" si="49"/>
        <v>0.33750000000000002</v>
      </c>
      <c r="H226" s="1068">
        <f t="shared" si="50"/>
        <v>2.65</v>
      </c>
      <c r="I226" s="1064"/>
      <c r="J226" s="1056"/>
    </row>
    <row r="227" spans="1:10" ht="16" x14ac:dyDescent="0.2">
      <c r="A227" s="1238"/>
      <c r="B227" s="1056">
        <f t="shared" si="47"/>
        <v>4</v>
      </c>
      <c r="C227" s="1056">
        <f t="shared" si="47"/>
        <v>4</v>
      </c>
      <c r="D227" s="1056" t="str">
        <f t="shared" si="46"/>
        <v>Gâterie 4</v>
      </c>
      <c r="E227" s="1066">
        <f t="shared" si="48"/>
        <v>1.4</v>
      </c>
      <c r="F227" s="1066">
        <f t="shared" si="48"/>
        <v>4.5</v>
      </c>
      <c r="G227" s="1067">
        <f t="shared" si="49"/>
        <v>0.31111111111111112</v>
      </c>
      <c r="H227" s="1068">
        <f t="shared" si="50"/>
        <v>3.1</v>
      </c>
      <c r="I227" s="1064"/>
      <c r="J227" s="1056"/>
    </row>
    <row r="228" spans="1:10" ht="16" x14ac:dyDescent="0.2">
      <c r="A228" s="1238"/>
      <c r="B228" s="1056">
        <f t="shared" si="47"/>
        <v>5</v>
      </c>
      <c r="C228" s="1056">
        <f t="shared" si="47"/>
        <v>5</v>
      </c>
      <c r="D228" s="1056" t="str">
        <f t="shared" si="46"/>
        <v>Gâterie 5</v>
      </c>
      <c r="E228" s="1066">
        <f t="shared" si="48"/>
        <v>1.24</v>
      </c>
      <c r="F228" s="1066">
        <f t="shared" si="48"/>
        <v>4.5999999999999996</v>
      </c>
      <c r="G228" s="1067">
        <f t="shared" si="49"/>
        <v>0.26956521739130435</v>
      </c>
      <c r="H228" s="1068">
        <f t="shared" si="50"/>
        <v>3.3599999999999994</v>
      </c>
      <c r="I228" s="1064"/>
      <c r="J228" s="1056"/>
    </row>
    <row r="229" spans="1:10" ht="16" x14ac:dyDescent="0.2">
      <c r="A229" s="1238"/>
      <c r="B229" s="1056">
        <f t="shared" si="47"/>
        <v>6</v>
      </c>
      <c r="C229" s="1056">
        <f t="shared" si="47"/>
        <v>6</v>
      </c>
      <c r="D229" s="1056" t="str">
        <f t="shared" si="46"/>
        <v>Gâterie 6</v>
      </c>
      <c r="E229" s="1066">
        <f t="shared" si="48"/>
        <v>1.39</v>
      </c>
      <c r="F229" s="1066">
        <f t="shared" si="48"/>
        <v>4.7</v>
      </c>
      <c r="G229" s="1067">
        <f t="shared" si="49"/>
        <v>0.29574468085106381</v>
      </c>
      <c r="H229" s="1068">
        <f t="shared" si="50"/>
        <v>3.3100000000000005</v>
      </c>
      <c r="I229" s="1064"/>
      <c r="J229" s="1056"/>
    </row>
    <row r="230" spans="1:10" ht="16" x14ac:dyDescent="0.2">
      <c r="A230" s="1238"/>
      <c r="B230" s="1056">
        <f t="shared" si="47"/>
        <v>7</v>
      </c>
      <c r="C230" s="1056">
        <f t="shared" si="47"/>
        <v>7</v>
      </c>
      <c r="D230" s="1056" t="str">
        <f t="shared" si="46"/>
        <v>Gâterie 7</v>
      </c>
      <c r="E230" s="1066">
        <f t="shared" si="48"/>
        <v>1.51</v>
      </c>
      <c r="F230" s="1066">
        <f t="shared" si="48"/>
        <v>4.8</v>
      </c>
      <c r="G230" s="1067">
        <f t="shared" si="49"/>
        <v>0.31458333333333333</v>
      </c>
      <c r="H230" s="1068">
        <f t="shared" si="50"/>
        <v>3.29</v>
      </c>
      <c r="I230" s="1064"/>
      <c r="J230" s="1056"/>
    </row>
    <row r="231" spans="1:10" ht="16" x14ac:dyDescent="0.2">
      <c r="A231" s="1238"/>
      <c r="B231" s="1056">
        <f t="shared" si="47"/>
        <v>8</v>
      </c>
      <c r="C231" s="1056">
        <f t="shared" si="47"/>
        <v>8</v>
      </c>
      <c r="D231" s="1056" t="str">
        <f t="shared" si="46"/>
        <v>Gâterie 8</v>
      </c>
      <c r="E231" s="1066">
        <f t="shared" si="48"/>
        <v>1.53</v>
      </c>
      <c r="F231" s="1066">
        <f t="shared" si="48"/>
        <v>4.9000000000000004</v>
      </c>
      <c r="G231" s="1067">
        <f t="shared" si="49"/>
        <v>0.31224489795918364</v>
      </c>
      <c r="H231" s="1068">
        <f t="shared" si="50"/>
        <v>3.37</v>
      </c>
      <c r="I231" s="1064"/>
      <c r="J231" s="1056"/>
    </row>
    <row r="232" spans="1:10" ht="16" x14ac:dyDescent="0.2">
      <c r="A232" s="1238"/>
      <c r="B232" s="1056">
        <f t="shared" si="47"/>
        <v>9</v>
      </c>
      <c r="C232" s="1056">
        <f t="shared" si="47"/>
        <v>9</v>
      </c>
      <c r="D232" s="1056" t="str">
        <f t="shared" si="46"/>
        <v>Gâterie 9</v>
      </c>
      <c r="E232" s="1066">
        <f t="shared" si="48"/>
        <v>1.55</v>
      </c>
      <c r="F232" s="1066">
        <f t="shared" si="48"/>
        <v>5</v>
      </c>
      <c r="G232" s="1067">
        <f t="shared" si="49"/>
        <v>0.31</v>
      </c>
      <c r="H232" s="1068">
        <f t="shared" si="50"/>
        <v>3.45</v>
      </c>
      <c r="I232" s="1064"/>
      <c r="J232" s="1056"/>
    </row>
    <row r="233" spans="1:10" ht="16" x14ac:dyDescent="0.2">
      <c r="A233" s="1238"/>
      <c r="B233" s="1056">
        <f t="shared" si="47"/>
        <v>10</v>
      </c>
      <c r="C233" s="1056">
        <f t="shared" si="47"/>
        <v>10</v>
      </c>
      <c r="D233" s="1056" t="str">
        <f t="shared" si="46"/>
        <v>Gâterie 10</v>
      </c>
      <c r="E233" s="1066">
        <f t="shared" si="48"/>
        <v>1.59</v>
      </c>
      <c r="F233" s="1066">
        <f t="shared" si="48"/>
        <v>5.2</v>
      </c>
      <c r="G233" s="1067">
        <f t="shared" si="49"/>
        <v>0.30576923076923079</v>
      </c>
      <c r="H233" s="1068">
        <f t="shared" si="50"/>
        <v>3.6100000000000003</v>
      </c>
      <c r="I233" s="1064"/>
      <c r="J233" s="1056"/>
    </row>
    <row r="234" spans="1:10" ht="16" x14ac:dyDescent="0.2">
      <c r="A234" s="1238"/>
      <c r="B234" s="1056">
        <f t="shared" si="47"/>
        <v>11</v>
      </c>
      <c r="C234" s="1056">
        <f t="shared" si="47"/>
        <v>11</v>
      </c>
      <c r="D234" s="1056" t="str">
        <f t="shared" si="46"/>
        <v>Gâterie 11</v>
      </c>
      <c r="E234" s="1066">
        <f t="shared" si="48"/>
        <v>1.83</v>
      </c>
      <c r="F234" s="1066">
        <f t="shared" si="48"/>
        <v>6.4</v>
      </c>
      <c r="G234" s="1067">
        <f t="shared" si="49"/>
        <v>0.28593750000000001</v>
      </c>
      <c r="H234" s="1068">
        <f t="shared" si="50"/>
        <v>4.57</v>
      </c>
      <c r="I234" s="1064"/>
      <c r="J234" s="1056"/>
    </row>
    <row r="235" spans="1:10" ht="16" x14ac:dyDescent="0.2">
      <c r="A235" s="1238"/>
      <c r="B235" s="1056">
        <f t="shared" si="47"/>
        <v>12</v>
      </c>
      <c r="C235" s="1056">
        <f t="shared" si="47"/>
        <v>12</v>
      </c>
      <c r="D235" s="1056" t="str">
        <f t="shared" si="46"/>
        <v>Gâterie 12</v>
      </c>
      <c r="E235" s="1066">
        <f t="shared" si="48"/>
        <v>1.87</v>
      </c>
      <c r="F235" s="1066">
        <f t="shared" si="48"/>
        <v>6.6</v>
      </c>
      <c r="G235" s="1067">
        <f t="shared" si="49"/>
        <v>0.28333333333333338</v>
      </c>
      <c r="H235" s="1068">
        <f t="shared" si="50"/>
        <v>4.7299999999999995</v>
      </c>
      <c r="I235" s="1064"/>
      <c r="J235" s="1056"/>
    </row>
    <row r="236" spans="1:10" ht="19" x14ac:dyDescent="0.35">
      <c r="A236" s="1238"/>
      <c r="B236" s="1056"/>
      <c r="C236" s="1056"/>
      <c r="D236" s="1063" t="str">
        <f t="shared" si="46"/>
        <v>CmO—PmO—Food Cost—BmO</v>
      </c>
      <c r="E236" s="1072">
        <f>SUM(E224:E235)/C235</f>
        <v>1.4816666666666667</v>
      </c>
      <c r="F236" s="1072">
        <f>SUM(F224:F235)/C235</f>
        <v>4.8166666666666673</v>
      </c>
      <c r="G236" s="1073">
        <f t="shared" si="49"/>
        <v>0.30761245674740478</v>
      </c>
      <c r="H236" s="1074">
        <f t="shared" si="50"/>
        <v>3.3350000000000009</v>
      </c>
      <c r="I236" s="1075"/>
      <c r="J236" s="1056"/>
    </row>
    <row r="237" spans="1:10" ht="16" x14ac:dyDescent="0.2">
      <c r="A237" s="1238"/>
      <c r="B237" s="1056" t="s">
        <v>2</v>
      </c>
      <c r="C237" s="1056"/>
      <c r="D237" s="1056"/>
      <c r="E237" s="1066"/>
      <c r="F237" s="1066"/>
      <c r="G237" s="1067"/>
      <c r="H237" s="1076"/>
      <c r="I237" s="1056"/>
      <c r="J237" s="1056"/>
    </row>
    <row r="238" spans="1:10" ht="16" x14ac:dyDescent="0.2">
      <c r="A238" s="1238"/>
      <c r="B238" s="1056"/>
      <c r="C238" s="1056"/>
      <c r="D238" s="1063" t="str">
        <f t="shared" ref="D238:D251" si="51">D195</f>
        <v>Les cafés gâteries</v>
      </c>
      <c r="E238" s="1066"/>
      <c r="F238" s="1066"/>
      <c r="G238" s="1067"/>
      <c r="H238" s="1076"/>
      <c r="I238" s="1056"/>
      <c r="J238" s="1056"/>
    </row>
    <row r="239" spans="1:10" ht="16" x14ac:dyDescent="0.2">
      <c r="A239" s="1238"/>
      <c r="B239" s="1056">
        <f t="shared" ref="B239:C250" si="52">B196</f>
        <v>13</v>
      </c>
      <c r="C239" s="1056">
        <f t="shared" si="52"/>
        <v>1</v>
      </c>
      <c r="D239" s="1056" t="str">
        <f t="shared" si="51"/>
        <v>Café gâterie le spécial 1</v>
      </c>
      <c r="E239" s="1066">
        <f t="shared" ref="E239:F250" si="53">E196</f>
        <v>1.1399999999999999</v>
      </c>
      <c r="F239" s="1066">
        <f t="shared" si="53"/>
        <v>3.3</v>
      </c>
      <c r="G239" s="1067">
        <f>E239/F239</f>
        <v>0.34545454545454546</v>
      </c>
      <c r="H239" s="1068">
        <f>F239-E239</f>
        <v>2.16</v>
      </c>
      <c r="I239" s="1064"/>
      <c r="J239" s="1056"/>
    </row>
    <row r="240" spans="1:10" ht="16" x14ac:dyDescent="0.2">
      <c r="A240" s="1238"/>
      <c r="B240" s="1056">
        <f t="shared" si="52"/>
        <v>14</v>
      </c>
      <c r="C240" s="1056">
        <f t="shared" si="52"/>
        <v>2</v>
      </c>
      <c r="D240" s="1056" t="str">
        <f t="shared" si="51"/>
        <v>Café gâterie le spécial 2</v>
      </c>
      <c r="E240" s="1066">
        <f t="shared" si="53"/>
        <v>1.33</v>
      </c>
      <c r="F240" s="1066">
        <f t="shared" si="53"/>
        <v>3.8</v>
      </c>
      <c r="G240" s="1067">
        <f>E240/F240</f>
        <v>0.35000000000000003</v>
      </c>
      <c r="H240" s="1068">
        <f>F240-E240</f>
        <v>2.4699999999999998</v>
      </c>
      <c r="I240" s="1064"/>
      <c r="J240" s="1056"/>
    </row>
    <row r="241" spans="1:10" ht="16" x14ac:dyDescent="0.2">
      <c r="A241" s="1238"/>
      <c r="B241" s="1056">
        <f t="shared" si="52"/>
        <v>15</v>
      </c>
      <c r="C241" s="1056">
        <f t="shared" si="52"/>
        <v>3</v>
      </c>
      <c r="D241" s="1056" t="str">
        <f t="shared" si="51"/>
        <v>Café gâterie le spécial 3</v>
      </c>
      <c r="E241" s="1066">
        <f t="shared" si="53"/>
        <v>1.37</v>
      </c>
      <c r="F241" s="1066">
        <f t="shared" si="53"/>
        <v>4</v>
      </c>
      <c r="G241" s="1067">
        <f>E241/F241</f>
        <v>0.34250000000000003</v>
      </c>
      <c r="H241" s="1068">
        <f>F241-E241</f>
        <v>2.63</v>
      </c>
      <c r="I241" s="1064"/>
      <c r="J241" s="1056"/>
    </row>
    <row r="242" spans="1:10" ht="16" x14ac:dyDescent="0.2">
      <c r="A242" s="1238"/>
      <c r="B242" s="1056">
        <f t="shared" si="52"/>
        <v>16</v>
      </c>
      <c r="C242" s="1056">
        <f t="shared" si="52"/>
        <v>4</v>
      </c>
      <c r="D242" s="1056" t="str">
        <f t="shared" si="51"/>
        <v>Café gâterie le spécial 4</v>
      </c>
      <c r="E242" s="1066">
        <f t="shared" si="53"/>
        <v>1.36</v>
      </c>
      <c r="F242" s="1066">
        <f t="shared" si="53"/>
        <v>4.5</v>
      </c>
      <c r="G242" s="1067">
        <f t="shared" ref="G242:G249" si="54">E242/F242</f>
        <v>0.30222222222222223</v>
      </c>
      <c r="H242" s="1068">
        <f t="shared" ref="H242:H249" si="55">F242-E242</f>
        <v>3.1399999999999997</v>
      </c>
      <c r="I242" s="1064"/>
      <c r="J242" s="1056"/>
    </row>
    <row r="243" spans="1:10" ht="16" x14ac:dyDescent="0.2">
      <c r="A243" s="1238"/>
      <c r="B243" s="1056">
        <f t="shared" si="52"/>
        <v>17</v>
      </c>
      <c r="C243" s="1056">
        <f t="shared" si="52"/>
        <v>5</v>
      </c>
      <c r="D243" s="1056" t="str">
        <f t="shared" si="51"/>
        <v>Café gâterie le spécial 5</v>
      </c>
      <c r="E243" s="1066">
        <f t="shared" si="53"/>
        <v>1.38</v>
      </c>
      <c r="F243" s="1066">
        <f t="shared" si="53"/>
        <v>4.5999999999999996</v>
      </c>
      <c r="G243" s="1067">
        <f t="shared" si="54"/>
        <v>0.3</v>
      </c>
      <c r="H243" s="1068">
        <f t="shared" si="55"/>
        <v>3.2199999999999998</v>
      </c>
      <c r="I243" s="1064"/>
      <c r="J243" s="1056"/>
    </row>
    <row r="244" spans="1:10" ht="16" x14ac:dyDescent="0.2">
      <c r="A244" s="1238"/>
      <c r="B244" s="1056">
        <f t="shared" si="52"/>
        <v>18</v>
      </c>
      <c r="C244" s="1056">
        <f t="shared" si="52"/>
        <v>6</v>
      </c>
      <c r="D244" s="1056" t="str">
        <f t="shared" si="51"/>
        <v>Café gâterie le spécial 6</v>
      </c>
      <c r="E244" s="1066">
        <f t="shared" si="53"/>
        <v>1.4</v>
      </c>
      <c r="F244" s="1066">
        <f t="shared" si="53"/>
        <v>4.7</v>
      </c>
      <c r="G244" s="1067">
        <f t="shared" si="54"/>
        <v>0.2978723404255319</v>
      </c>
      <c r="H244" s="1068">
        <f t="shared" si="55"/>
        <v>3.3000000000000003</v>
      </c>
      <c r="I244" s="1064"/>
      <c r="J244" s="1056"/>
    </row>
    <row r="245" spans="1:10" ht="16" x14ac:dyDescent="0.2">
      <c r="A245" s="1238"/>
      <c r="B245" s="1056">
        <f t="shared" si="52"/>
        <v>19</v>
      </c>
      <c r="C245" s="1056">
        <f t="shared" si="52"/>
        <v>7</v>
      </c>
      <c r="D245" s="1056" t="str">
        <f t="shared" si="51"/>
        <v>Café gâterie le spécial 7</v>
      </c>
      <c r="E245" s="1066">
        <f t="shared" si="53"/>
        <v>1.41</v>
      </c>
      <c r="F245" s="1066">
        <f t="shared" si="53"/>
        <v>4.8</v>
      </c>
      <c r="G245" s="1067">
        <f t="shared" si="54"/>
        <v>0.29375000000000001</v>
      </c>
      <c r="H245" s="1068">
        <f t="shared" si="55"/>
        <v>3.3899999999999997</v>
      </c>
      <c r="I245" s="1064"/>
      <c r="J245" s="1056"/>
    </row>
    <row r="246" spans="1:10" ht="16" x14ac:dyDescent="0.2">
      <c r="A246" s="1238"/>
      <c r="B246" s="1056">
        <f t="shared" si="52"/>
        <v>20</v>
      </c>
      <c r="C246" s="1056">
        <f t="shared" si="52"/>
        <v>8</v>
      </c>
      <c r="D246" s="1056" t="str">
        <f t="shared" si="51"/>
        <v>Café gâterie le spécial 8</v>
      </c>
      <c r="E246" s="1066">
        <f t="shared" si="53"/>
        <v>1.43</v>
      </c>
      <c r="F246" s="1066">
        <f t="shared" si="53"/>
        <v>4.9000000000000004</v>
      </c>
      <c r="G246" s="1067">
        <f t="shared" si="54"/>
        <v>0.2918367346938775</v>
      </c>
      <c r="H246" s="1068">
        <f t="shared" si="55"/>
        <v>3.4700000000000006</v>
      </c>
      <c r="I246" s="1064"/>
      <c r="J246" s="1056"/>
    </row>
    <row r="247" spans="1:10" ht="16" x14ac:dyDescent="0.2">
      <c r="A247" s="1238"/>
      <c r="B247" s="1056">
        <f t="shared" si="52"/>
        <v>21</v>
      </c>
      <c r="C247" s="1056">
        <f t="shared" si="52"/>
        <v>9</v>
      </c>
      <c r="D247" s="1056" t="str">
        <f t="shared" si="51"/>
        <v>Café gâterie le spécial 9</v>
      </c>
      <c r="E247" s="1066">
        <f t="shared" si="53"/>
        <v>1.45</v>
      </c>
      <c r="F247" s="1066">
        <f t="shared" si="53"/>
        <v>5</v>
      </c>
      <c r="G247" s="1067">
        <f t="shared" si="54"/>
        <v>0.28999999999999998</v>
      </c>
      <c r="H247" s="1068">
        <f t="shared" si="55"/>
        <v>3.55</v>
      </c>
      <c r="I247" s="1064"/>
      <c r="J247" s="1056"/>
    </row>
    <row r="248" spans="1:10" ht="16" x14ac:dyDescent="0.2">
      <c r="A248" s="1238"/>
      <c r="B248" s="1056">
        <f t="shared" si="52"/>
        <v>22</v>
      </c>
      <c r="C248" s="1056">
        <f t="shared" si="52"/>
        <v>10</v>
      </c>
      <c r="D248" s="1056" t="str">
        <f t="shared" si="51"/>
        <v>Café gâterie le spécial 10</v>
      </c>
      <c r="E248" s="1066">
        <f t="shared" si="53"/>
        <v>1.49</v>
      </c>
      <c r="F248" s="1066">
        <f t="shared" si="53"/>
        <v>5.2</v>
      </c>
      <c r="G248" s="1067">
        <f t="shared" si="54"/>
        <v>0.28653846153846152</v>
      </c>
      <c r="H248" s="1068">
        <f t="shared" si="55"/>
        <v>3.71</v>
      </c>
      <c r="I248" s="1064"/>
      <c r="J248" s="1056"/>
    </row>
    <row r="249" spans="1:10" ht="16" x14ac:dyDescent="0.2">
      <c r="A249" s="1238"/>
      <c r="B249" s="1056">
        <f t="shared" si="52"/>
        <v>23</v>
      </c>
      <c r="C249" s="1056">
        <f t="shared" si="52"/>
        <v>11</v>
      </c>
      <c r="D249" s="1056" t="str">
        <f t="shared" si="51"/>
        <v>Café gâterie le spécial 11</v>
      </c>
      <c r="E249" s="1066">
        <f t="shared" si="53"/>
        <v>1.59</v>
      </c>
      <c r="F249" s="1066">
        <f t="shared" si="53"/>
        <v>5.8</v>
      </c>
      <c r="G249" s="1067">
        <f t="shared" si="54"/>
        <v>0.27413793103448281</v>
      </c>
      <c r="H249" s="1068">
        <f t="shared" si="55"/>
        <v>4.21</v>
      </c>
      <c r="I249" s="1064"/>
      <c r="J249" s="1056"/>
    </row>
    <row r="250" spans="1:10" ht="16" x14ac:dyDescent="0.2">
      <c r="A250" s="1238"/>
      <c r="B250" s="1056">
        <f t="shared" si="52"/>
        <v>24</v>
      </c>
      <c r="C250" s="1056">
        <f t="shared" si="52"/>
        <v>12</v>
      </c>
      <c r="D250" s="1056" t="str">
        <f t="shared" si="51"/>
        <v>Café gâterie le spécial 12</v>
      </c>
      <c r="E250" s="1066">
        <f t="shared" si="53"/>
        <v>1.74</v>
      </c>
      <c r="F250" s="1066">
        <f t="shared" si="53"/>
        <v>6.6</v>
      </c>
      <c r="G250" s="1067">
        <f>E250/F250</f>
        <v>0.26363636363636367</v>
      </c>
      <c r="H250" s="1068">
        <f>F250-E250</f>
        <v>4.8599999999999994</v>
      </c>
      <c r="I250" s="1064"/>
      <c r="J250" s="1056"/>
    </row>
    <row r="251" spans="1:10" ht="19" x14ac:dyDescent="0.35">
      <c r="A251" s="1238"/>
      <c r="B251" s="1056"/>
      <c r="C251" s="1056"/>
      <c r="D251" s="1063" t="str">
        <f t="shared" si="51"/>
        <v>CmO—PmO—Beverage Cost—Marge brute</v>
      </c>
      <c r="E251" s="1072">
        <f>SUM(E239:E250)/C250</f>
        <v>1.4241666666666666</v>
      </c>
      <c r="F251" s="1072">
        <f>SUM(F239:F250)/C250</f>
        <v>4.7666666666666666</v>
      </c>
      <c r="G251" s="1077">
        <f>E251/F251</f>
        <v>0.29877622377622376</v>
      </c>
      <c r="H251" s="1074">
        <f>F251-E251</f>
        <v>3.3425000000000002</v>
      </c>
      <c r="I251" s="1075"/>
      <c r="J251" s="1056"/>
    </row>
    <row r="252" spans="1:10" ht="17" thickBot="1" x14ac:dyDescent="0.25">
      <c r="A252" s="1238"/>
      <c r="B252" s="1056"/>
      <c r="C252" s="1056"/>
      <c r="D252" s="1056"/>
      <c r="E252" s="1066"/>
      <c r="F252" s="1066"/>
      <c r="G252" s="1065"/>
      <c r="H252" s="1076"/>
      <c r="I252" s="1056"/>
      <c r="J252" s="1056"/>
    </row>
    <row r="253" spans="1:10" ht="21" thickTop="1" thickBot="1" x14ac:dyDescent="0.4">
      <c r="A253" s="1238"/>
      <c r="B253" s="1056"/>
      <c r="C253" s="1078"/>
      <c r="D253" s="1079"/>
      <c r="E253" s="1080"/>
      <c r="F253" s="1080"/>
      <c r="G253" s="1081"/>
      <c r="H253" s="1082"/>
      <c r="I253" s="1083"/>
      <c r="J253" s="1056"/>
    </row>
    <row r="254" spans="1:10" ht="18" thickTop="1" thickBot="1" x14ac:dyDescent="0.25">
      <c r="A254" s="1238"/>
      <c r="B254" s="1056"/>
      <c r="C254" s="1085"/>
      <c r="D254" s="1063"/>
      <c r="E254" s="1086" t="str">
        <f>E211</f>
        <v>CmO</v>
      </c>
      <c r="F254" s="1086" t="str">
        <f>F211</f>
        <v>PmO</v>
      </c>
      <c r="G254" s="1087" t="str">
        <f>G211</f>
        <v>F&amp;BCmO</v>
      </c>
      <c r="H254" s="1113" t="str">
        <f>H211</f>
        <v>BmO</v>
      </c>
      <c r="I254" s="1088"/>
      <c r="J254" s="1056"/>
    </row>
    <row r="255" spans="1:10" ht="17" thickTop="1" x14ac:dyDescent="0.2">
      <c r="A255" s="1238"/>
      <c r="B255" s="1056"/>
      <c r="C255" s="1085"/>
      <c r="D255" s="1089" t="str">
        <f>D212</f>
        <v>OFFRE TOTALE AVEC LES GÂTERIES ET LES CAFÉS GÂTERIES</v>
      </c>
      <c r="E255" s="1066"/>
      <c r="F255" s="1066"/>
      <c r="G255" s="1065"/>
      <c r="H255" s="1076"/>
      <c r="I255" s="1090"/>
      <c r="J255" s="1056"/>
    </row>
    <row r="256" spans="1:10" ht="19" x14ac:dyDescent="0.35">
      <c r="A256" s="1238"/>
      <c r="B256" s="1056"/>
      <c r="C256" s="1085"/>
      <c r="D256" s="1063" t="str">
        <f>D213</f>
        <v>CmO—PmO—F&amp;B cost moyen offert—Marge brute</v>
      </c>
      <c r="E256" s="1093">
        <f>+(E224+E225+E226+E227+E228+E229+E230+E231+E232+E233+E234+E235+E239+E240+E241+E242+E243+E244+E245+E246+E247+E248+E249+E250)/B250</f>
        <v>1.4529166666666666</v>
      </c>
      <c r="F256" s="1093">
        <f>+(F224+F225+F226+F227+F228+F229+F230+F231+F232+F233+F234+F235+F239+F240+F241+F242+F243+F244+F245+F246+F247+F248+F249+F250)/B250</f>
        <v>4.791666666666667</v>
      </c>
      <c r="G256" s="1094">
        <f>E256/F256</f>
        <v>0.30321739130434783</v>
      </c>
      <c r="H256" s="1095">
        <f>F256-E256</f>
        <v>3.3387500000000001</v>
      </c>
      <c r="I256" s="1096"/>
      <c r="J256" s="1056"/>
    </row>
    <row r="257" spans="1:10" ht="16" x14ac:dyDescent="0.2">
      <c r="A257" s="1238"/>
      <c r="B257" s="1056"/>
      <c r="C257" s="1085"/>
      <c r="D257" s="1056"/>
      <c r="E257" s="1069"/>
      <c r="F257" s="1069"/>
      <c r="G257" s="1070"/>
      <c r="H257" s="1097"/>
      <c r="I257" s="1098"/>
      <c r="J257" s="1056"/>
    </row>
    <row r="258" spans="1:10" ht="17" thickBot="1" x14ac:dyDescent="0.25">
      <c r="A258" s="1239"/>
      <c r="B258" s="1056"/>
      <c r="C258" s="1100"/>
      <c r="D258" s="1101"/>
      <c r="E258" s="1102"/>
      <c r="F258" s="1102"/>
      <c r="G258" s="1103"/>
      <c r="H258" s="1104"/>
      <c r="I258" s="1105"/>
      <c r="J258" s="1056"/>
    </row>
    <row r="259" spans="1:10" ht="14" thickTop="1" x14ac:dyDescent="0.15"/>
    <row r="260" spans="1:10" ht="22" x14ac:dyDescent="0.25">
      <c r="A260" s="1237" t="s">
        <v>562</v>
      </c>
      <c r="D260" s="1058" t="s">
        <v>591</v>
      </c>
      <c r="F260" s="1059"/>
    </row>
    <row r="261" spans="1:10" ht="23" thickBot="1" x14ac:dyDescent="0.3">
      <c r="A261" s="1238"/>
      <c r="D261" s="1060"/>
    </row>
    <row r="262" spans="1:10" ht="23" thickTop="1" x14ac:dyDescent="0.25">
      <c r="A262" s="1238"/>
      <c r="D262" s="1060"/>
      <c r="E262" s="1232" t="str">
        <f>E219</f>
        <v>Coûts des ressources alimentaires pour chaque produit offert (voir recettes standardisées)</v>
      </c>
      <c r="F262" s="1232" t="str">
        <f>F219</f>
        <v>Prix de vente par produit offert</v>
      </c>
      <c r="G262" s="1232" t="str">
        <f>G219</f>
        <v xml:space="preserve">« Food &amp; Beverage Cost » </v>
      </c>
      <c r="H262" s="1232" t="str">
        <f>H219</f>
        <v>Marge brute gagnée sur la vente de chaque produit offert</v>
      </c>
      <c r="I262" s="1061"/>
    </row>
    <row r="263" spans="1:10" ht="22" x14ac:dyDescent="0.25">
      <c r="A263" s="1238"/>
      <c r="D263" s="1060"/>
      <c r="E263" s="1233"/>
      <c r="F263" s="1235"/>
      <c r="G263" s="1235"/>
      <c r="H263" s="1235"/>
      <c r="I263" s="1062"/>
    </row>
    <row r="264" spans="1:10" ht="14" thickBot="1" x14ac:dyDescent="0.2">
      <c r="A264" s="1238"/>
      <c r="E264" s="1234"/>
      <c r="F264" s="1236"/>
      <c r="G264" s="1236"/>
      <c r="H264" s="1236"/>
      <c r="I264" s="1062"/>
    </row>
    <row r="265" spans="1:10" ht="14" thickTop="1" x14ac:dyDescent="0.15">
      <c r="A265" s="1238"/>
      <c r="B265" s="161" t="s">
        <v>2</v>
      </c>
      <c r="E265" s="1059"/>
      <c r="F265" s="1059"/>
      <c r="G265" s="315"/>
    </row>
    <row r="266" spans="1:10" ht="16" x14ac:dyDescent="0.2">
      <c r="A266" s="1238"/>
      <c r="B266" s="1056"/>
      <c r="C266" s="1056"/>
      <c r="D266" s="1063" t="str">
        <f t="shared" ref="D266:D279" si="56">D223</f>
        <v>Les gâteries</v>
      </c>
      <c r="E266" s="1064"/>
      <c r="F266" s="1064"/>
      <c r="G266" s="1065"/>
      <c r="H266" s="1056"/>
      <c r="I266" s="1056"/>
      <c r="J266" s="1056"/>
    </row>
    <row r="267" spans="1:10" ht="16" x14ac:dyDescent="0.2">
      <c r="A267" s="1238"/>
      <c r="B267" s="1056">
        <f t="shared" ref="B267:C278" si="57">B224</f>
        <v>1</v>
      </c>
      <c r="C267" s="1056">
        <f t="shared" si="57"/>
        <v>1</v>
      </c>
      <c r="D267" s="1056" t="str">
        <f t="shared" si="56"/>
        <v>Gâterie 1</v>
      </c>
      <c r="E267" s="1066">
        <f t="shared" ref="E267:F278" si="58">E224</f>
        <v>1.21</v>
      </c>
      <c r="F267" s="1108">
        <f t="shared" si="58"/>
        <v>3.3</v>
      </c>
      <c r="G267" s="1067">
        <f t="shared" ref="G267:G279" si="59">E267/F267</f>
        <v>0.3666666666666667</v>
      </c>
      <c r="H267" s="1068">
        <f t="shared" ref="H267:H279" si="60">F267-E267</f>
        <v>2.09</v>
      </c>
      <c r="I267" s="1064"/>
      <c r="J267" s="1056"/>
    </row>
    <row r="268" spans="1:10" ht="16" x14ac:dyDescent="0.2">
      <c r="A268" s="1238"/>
      <c r="B268" s="1056">
        <f t="shared" si="57"/>
        <v>2</v>
      </c>
      <c r="C268" s="1056">
        <f t="shared" si="57"/>
        <v>2</v>
      </c>
      <c r="D268" s="1056" t="str">
        <f t="shared" si="56"/>
        <v>Gâterie 2</v>
      </c>
      <c r="E268" s="1066">
        <f t="shared" si="58"/>
        <v>1.31</v>
      </c>
      <c r="F268" s="1066">
        <f t="shared" si="58"/>
        <v>3.8</v>
      </c>
      <c r="G268" s="1067">
        <f t="shared" si="59"/>
        <v>0.34473684210526317</v>
      </c>
      <c r="H268" s="1068">
        <f t="shared" si="60"/>
        <v>2.4899999999999998</v>
      </c>
      <c r="I268" s="1064"/>
      <c r="J268" s="1056"/>
    </row>
    <row r="269" spans="1:10" ht="16" x14ac:dyDescent="0.2">
      <c r="A269" s="1238"/>
      <c r="B269" s="1056">
        <f t="shared" si="57"/>
        <v>3</v>
      </c>
      <c r="C269" s="1056">
        <f t="shared" si="57"/>
        <v>3</v>
      </c>
      <c r="D269" s="1056" t="str">
        <f t="shared" si="56"/>
        <v>Gâterie 3</v>
      </c>
      <c r="E269" s="1066">
        <f t="shared" si="58"/>
        <v>1.35</v>
      </c>
      <c r="F269" s="1066">
        <f t="shared" si="58"/>
        <v>4</v>
      </c>
      <c r="G269" s="1067">
        <f t="shared" si="59"/>
        <v>0.33750000000000002</v>
      </c>
      <c r="H269" s="1068">
        <f t="shared" si="60"/>
        <v>2.65</v>
      </c>
      <c r="I269" s="1064"/>
      <c r="J269" s="1056"/>
    </row>
    <row r="270" spans="1:10" ht="16" x14ac:dyDescent="0.2">
      <c r="A270" s="1238"/>
      <c r="B270" s="1056">
        <f t="shared" si="57"/>
        <v>4</v>
      </c>
      <c r="C270" s="1056">
        <f t="shared" si="57"/>
        <v>4</v>
      </c>
      <c r="D270" s="1056" t="str">
        <f t="shared" si="56"/>
        <v>Gâterie 4</v>
      </c>
      <c r="E270" s="1066">
        <f t="shared" si="58"/>
        <v>1.4</v>
      </c>
      <c r="F270" s="1066">
        <f t="shared" si="58"/>
        <v>4.5</v>
      </c>
      <c r="G270" s="1067">
        <f t="shared" si="59"/>
        <v>0.31111111111111112</v>
      </c>
      <c r="H270" s="1068">
        <f t="shared" si="60"/>
        <v>3.1</v>
      </c>
      <c r="I270" s="1064"/>
      <c r="J270" s="1056"/>
    </row>
    <row r="271" spans="1:10" ht="16" x14ac:dyDescent="0.2">
      <c r="A271" s="1238"/>
      <c r="B271" s="1056">
        <f t="shared" si="57"/>
        <v>5</v>
      </c>
      <c r="C271" s="1056">
        <f t="shared" si="57"/>
        <v>5</v>
      </c>
      <c r="D271" s="1056" t="str">
        <f t="shared" si="56"/>
        <v>Gâterie 5</v>
      </c>
      <c r="E271" s="1066">
        <f t="shared" si="58"/>
        <v>1.24</v>
      </c>
      <c r="F271" s="1066">
        <f t="shared" si="58"/>
        <v>4.5999999999999996</v>
      </c>
      <c r="G271" s="1067">
        <f t="shared" si="59"/>
        <v>0.26956521739130435</v>
      </c>
      <c r="H271" s="1068">
        <f t="shared" si="60"/>
        <v>3.3599999999999994</v>
      </c>
      <c r="I271" s="1064"/>
      <c r="J271" s="1056"/>
    </row>
    <row r="272" spans="1:10" ht="16" x14ac:dyDescent="0.2">
      <c r="A272" s="1238"/>
      <c r="B272" s="1056">
        <f t="shared" si="57"/>
        <v>6</v>
      </c>
      <c r="C272" s="1056">
        <f t="shared" si="57"/>
        <v>6</v>
      </c>
      <c r="D272" s="1056" t="str">
        <f t="shared" si="56"/>
        <v>Gâterie 6</v>
      </c>
      <c r="E272" s="1066">
        <f t="shared" si="58"/>
        <v>1.39</v>
      </c>
      <c r="F272" s="1066">
        <f t="shared" si="58"/>
        <v>4.7</v>
      </c>
      <c r="G272" s="1067">
        <f t="shared" si="59"/>
        <v>0.29574468085106381</v>
      </c>
      <c r="H272" s="1068">
        <f t="shared" si="60"/>
        <v>3.3100000000000005</v>
      </c>
      <c r="I272" s="1064"/>
      <c r="J272" s="1056"/>
    </row>
    <row r="273" spans="1:10" ht="16" x14ac:dyDescent="0.2">
      <c r="A273" s="1238"/>
      <c r="B273" s="1056">
        <f t="shared" si="57"/>
        <v>7</v>
      </c>
      <c r="C273" s="1056">
        <f t="shared" si="57"/>
        <v>7</v>
      </c>
      <c r="D273" s="1056" t="str">
        <f t="shared" si="56"/>
        <v>Gâterie 7</v>
      </c>
      <c r="E273" s="1066">
        <f t="shared" si="58"/>
        <v>1.51</v>
      </c>
      <c r="F273" s="1066">
        <f t="shared" si="58"/>
        <v>4.8</v>
      </c>
      <c r="G273" s="1067">
        <f t="shared" si="59"/>
        <v>0.31458333333333333</v>
      </c>
      <c r="H273" s="1068">
        <f t="shared" si="60"/>
        <v>3.29</v>
      </c>
      <c r="I273" s="1064"/>
      <c r="J273" s="1056"/>
    </row>
    <row r="274" spans="1:10" ht="16" x14ac:dyDescent="0.2">
      <c r="A274" s="1238"/>
      <c r="B274" s="1056">
        <f t="shared" si="57"/>
        <v>8</v>
      </c>
      <c r="C274" s="1056">
        <f t="shared" si="57"/>
        <v>8</v>
      </c>
      <c r="D274" s="1056" t="str">
        <f t="shared" si="56"/>
        <v>Gâterie 8</v>
      </c>
      <c r="E274" s="1066">
        <f t="shared" si="58"/>
        <v>1.53</v>
      </c>
      <c r="F274" s="1066">
        <f t="shared" si="58"/>
        <v>4.9000000000000004</v>
      </c>
      <c r="G274" s="1067">
        <f t="shared" si="59"/>
        <v>0.31224489795918364</v>
      </c>
      <c r="H274" s="1068">
        <f t="shared" si="60"/>
        <v>3.37</v>
      </c>
      <c r="I274" s="1064"/>
      <c r="J274" s="1056"/>
    </row>
    <row r="275" spans="1:10" ht="16" x14ac:dyDescent="0.2">
      <c r="A275" s="1238"/>
      <c r="B275" s="1056">
        <f t="shared" si="57"/>
        <v>9</v>
      </c>
      <c r="C275" s="1056">
        <f t="shared" si="57"/>
        <v>9</v>
      </c>
      <c r="D275" s="1056" t="str">
        <f t="shared" si="56"/>
        <v>Gâterie 9</v>
      </c>
      <c r="E275" s="1066">
        <f t="shared" si="58"/>
        <v>1.55</v>
      </c>
      <c r="F275" s="1066">
        <f t="shared" si="58"/>
        <v>5</v>
      </c>
      <c r="G275" s="1067">
        <f t="shared" si="59"/>
        <v>0.31</v>
      </c>
      <c r="H275" s="1068">
        <f t="shared" si="60"/>
        <v>3.45</v>
      </c>
      <c r="I275" s="1064"/>
      <c r="J275" s="1056"/>
    </row>
    <row r="276" spans="1:10" ht="16" x14ac:dyDescent="0.2">
      <c r="A276" s="1238"/>
      <c r="B276" s="1056">
        <f t="shared" si="57"/>
        <v>10</v>
      </c>
      <c r="C276" s="1056">
        <f t="shared" si="57"/>
        <v>10</v>
      </c>
      <c r="D276" s="1056" t="str">
        <f t="shared" si="56"/>
        <v>Gâterie 10</v>
      </c>
      <c r="E276" s="1066">
        <f t="shared" si="58"/>
        <v>1.59</v>
      </c>
      <c r="F276" s="1066">
        <f t="shared" si="58"/>
        <v>5.2</v>
      </c>
      <c r="G276" s="1067">
        <f t="shared" si="59"/>
        <v>0.30576923076923079</v>
      </c>
      <c r="H276" s="1068">
        <f t="shared" si="60"/>
        <v>3.6100000000000003</v>
      </c>
      <c r="I276" s="1064"/>
      <c r="J276" s="1056"/>
    </row>
    <row r="277" spans="1:10" ht="16" x14ac:dyDescent="0.2">
      <c r="A277" s="1238"/>
      <c r="B277" s="1056">
        <f t="shared" si="57"/>
        <v>11</v>
      </c>
      <c r="C277" s="1056">
        <f t="shared" si="57"/>
        <v>11</v>
      </c>
      <c r="D277" s="1056" t="str">
        <f t="shared" si="56"/>
        <v>Gâterie 11</v>
      </c>
      <c r="E277" s="1066">
        <f t="shared" si="58"/>
        <v>1.83</v>
      </c>
      <c r="F277" s="1066">
        <f t="shared" si="58"/>
        <v>6.4</v>
      </c>
      <c r="G277" s="1067">
        <f t="shared" si="59"/>
        <v>0.28593750000000001</v>
      </c>
      <c r="H277" s="1068">
        <f t="shared" si="60"/>
        <v>4.57</v>
      </c>
      <c r="I277" s="1064"/>
      <c r="J277" s="1056"/>
    </row>
    <row r="278" spans="1:10" ht="16" x14ac:dyDescent="0.2">
      <c r="A278" s="1238"/>
      <c r="B278" s="1056">
        <f t="shared" si="57"/>
        <v>12</v>
      </c>
      <c r="C278" s="1056">
        <f t="shared" si="57"/>
        <v>12</v>
      </c>
      <c r="D278" s="1056" t="str">
        <f t="shared" si="56"/>
        <v>Gâterie 12</v>
      </c>
      <c r="E278" s="1066">
        <f t="shared" si="58"/>
        <v>1.87</v>
      </c>
      <c r="F278" s="1066">
        <f t="shared" si="58"/>
        <v>6.6</v>
      </c>
      <c r="G278" s="1067">
        <f t="shared" si="59"/>
        <v>0.28333333333333338</v>
      </c>
      <c r="H278" s="1068">
        <f t="shared" si="60"/>
        <v>4.7299999999999995</v>
      </c>
      <c r="I278" s="1064"/>
      <c r="J278" s="1056"/>
    </row>
    <row r="279" spans="1:10" ht="19" x14ac:dyDescent="0.35">
      <c r="A279" s="1238"/>
      <c r="B279" s="1056"/>
      <c r="C279" s="1056"/>
      <c r="D279" s="1063" t="str">
        <f t="shared" si="56"/>
        <v>CmO—PmO—Food Cost—BmO</v>
      </c>
      <c r="E279" s="1072">
        <f>SUM(E267:E278)/C278</f>
        <v>1.4816666666666667</v>
      </c>
      <c r="F279" s="1072">
        <f>SUM(F267:F278)/C278</f>
        <v>4.8166666666666673</v>
      </c>
      <c r="G279" s="1073">
        <f t="shared" si="59"/>
        <v>0.30761245674740478</v>
      </c>
      <c r="H279" s="1074">
        <f t="shared" si="60"/>
        <v>3.3350000000000009</v>
      </c>
      <c r="I279" s="1075"/>
      <c r="J279" s="1056"/>
    </row>
    <row r="280" spans="1:10" ht="16" x14ac:dyDescent="0.2">
      <c r="A280" s="1238"/>
      <c r="B280" s="1056" t="s">
        <v>2</v>
      </c>
      <c r="C280" s="1056"/>
      <c r="D280" s="1056"/>
      <c r="E280" s="1066"/>
      <c r="F280" s="1066"/>
      <c r="G280" s="1067"/>
      <c r="H280" s="1076"/>
      <c r="I280" s="1056"/>
      <c r="J280" s="1056"/>
    </row>
    <row r="281" spans="1:10" ht="16" x14ac:dyDescent="0.2">
      <c r="A281" s="1238"/>
      <c r="B281" s="1056"/>
      <c r="C281" s="1056"/>
      <c r="D281" s="1063" t="str">
        <f t="shared" ref="D281:D294" si="61">D238</f>
        <v>Les cafés gâteries</v>
      </c>
      <c r="E281" s="1066"/>
      <c r="F281" s="1066"/>
      <c r="G281" s="1067"/>
      <c r="H281" s="1076"/>
      <c r="I281" s="1056"/>
      <c r="J281" s="1056"/>
    </row>
    <row r="282" spans="1:10" ht="16" x14ac:dyDescent="0.2">
      <c r="A282" s="1238"/>
      <c r="B282" s="1056">
        <f t="shared" ref="B282:C293" si="62">B239</f>
        <v>13</v>
      </c>
      <c r="C282" s="1056">
        <f t="shared" si="62"/>
        <v>1</v>
      </c>
      <c r="D282" s="1056" t="str">
        <f t="shared" si="61"/>
        <v>Café gâterie le spécial 1</v>
      </c>
      <c r="E282" s="1066">
        <f t="shared" ref="E282:F293" si="63">E239</f>
        <v>1.1399999999999999</v>
      </c>
      <c r="F282" s="1108">
        <f t="shared" si="63"/>
        <v>3.3</v>
      </c>
      <c r="G282" s="1067">
        <f>E282/F282</f>
        <v>0.34545454545454546</v>
      </c>
      <c r="H282" s="1068">
        <f>F282-E282</f>
        <v>2.16</v>
      </c>
      <c r="I282" s="1064"/>
      <c r="J282" s="1056"/>
    </row>
    <row r="283" spans="1:10" ht="16" x14ac:dyDescent="0.2">
      <c r="A283" s="1238"/>
      <c r="B283" s="1056">
        <f t="shared" si="62"/>
        <v>14</v>
      </c>
      <c r="C283" s="1056">
        <f t="shared" si="62"/>
        <v>2</v>
      </c>
      <c r="D283" s="1056" t="str">
        <f t="shared" si="61"/>
        <v>Café gâterie le spécial 2</v>
      </c>
      <c r="E283" s="1066">
        <f t="shared" si="63"/>
        <v>1.33</v>
      </c>
      <c r="F283" s="1066">
        <f t="shared" si="63"/>
        <v>3.8</v>
      </c>
      <c r="G283" s="1067">
        <f>E283/F283</f>
        <v>0.35000000000000003</v>
      </c>
      <c r="H283" s="1068">
        <f>F283-E283</f>
        <v>2.4699999999999998</v>
      </c>
      <c r="I283" s="1064"/>
      <c r="J283" s="1056"/>
    </row>
    <row r="284" spans="1:10" ht="16" x14ac:dyDescent="0.2">
      <c r="A284" s="1238"/>
      <c r="B284" s="1056">
        <f t="shared" si="62"/>
        <v>15</v>
      </c>
      <c r="C284" s="1056">
        <f t="shared" si="62"/>
        <v>3</v>
      </c>
      <c r="D284" s="1056" t="str">
        <f t="shared" si="61"/>
        <v>Café gâterie le spécial 3</v>
      </c>
      <c r="E284" s="1066">
        <f t="shared" si="63"/>
        <v>1.37</v>
      </c>
      <c r="F284" s="1066">
        <f t="shared" si="63"/>
        <v>4</v>
      </c>
      <c r="G284" s="1067">
        <f>E284/F284</f>
        <v>0.34250000000000003</v>
      </c>
      <c r="H284" s="1068">
        <f>F284-E284</f>
        <v>2.63</v>
      </c>
      <c r="I284" s="1064"/>
      <c r="J284" s="1056"/>
    </row>
    <row r="285" spans="1:10" ht="16" x14ac:dyDescent="0.2">
      <c r="A285" s="1238"/>
      <c r="B285" s="1056">
        <f t="shared" si="62"/>
        <v>16</v>
      </c>
      <c r="C285" s="1056">
        <f t="shared" si="62"/>
        <v>4</v>
      </c>
      <c r="D285" s="1056" t="str">
        <f t="shared" si="61"/>
        <v>Café gâterie le spécial 4</v>
      </c>
      <c r="E285" s="1066">
        <f t="shared" si="63"/>
        <v>1.36</v>
      </c>
      <c r="F285" s="1066">
        <f t="shared" si="63"/>
        <v>4.5</v>
      </c>
      <c r="G285" s="1067">
        <f t="shared" ref="G285:G292" si="64">E285/F285</f>
        <v>0.30222222222222223</v>
      </c>
      <c r="H285" s="1068">
        <f t="shared" ref="H285:H292" si="65">F285-E285</f>
        <v>3.1399999999999997</v>
      </c>
      <c r="I285" s="1064"/>
      <c r="J285" s="1056"/>
    </row>
    <row r="286" spans="1:10" ht="16" x14ac:dyDescent="0.2">
      <c r="A286" s="1238"/>
      <c r="B286" s="1056">
        <f t="shared" si="62"/>
        <v>17</v>
      </c>
      <c r="C286" s="1056">
        <f t="shared" si="62"/>
        <v>5</v>
      </c>
      <c r="D286" s="1056" t="str">
        <f t="shared" si="61"/>
        <v>Café gâterie le spécial 5</v>
      </c>
      <c r="E286" s="1066">
        <f t="shared" si="63"/>
        <v>1.38</v>
      </c>
      <c r="F286" s="1066">
        <f t="shared" si="63"/>
        <v>4.5999999999999996</v>
      </c>
      <c r="G286" s="1067">
        <f t="shared" si="64"/>
        <v>0.3</v>
      </c>
      <c r="H286" s="1068">
        <f t="shared" si="65"/>
        <v>3.2199999999999998</v>
      </c>
      <c r="I286" s="1064"/>
      <c r="J286" s="1056"/>
    </row>
    <row r="287" spans="1:10" ht="16" x14ac:dyDescent="0.2">
      <c r="A287" s="1238"/>
      <c r="B287" s="1056">
        <f t="shared" si="62"/>
        <v>18</v>
      </c>
      <c r="C287" s="1056">
        <f t="shared" si="62"/>
        <v>6</v>
      </c>
      <c r="D287" s="1056" t="str">
        <f t="shared" si="61"/>
        <v>Café gâterie le spécial 6</v>
      </c>
      <c r="E287" s="1066">
        <f t="shared" si="63"/>
        <v>1.4</v>
      </c>
      <c r="F287" s="1066">
        <f t="shared" si="63"/>
        <v>4.7</v>
      </c>
      <c r="G287" s="1067">
        <f t="shared" si="64"/>
        <v>0.2978723404255319</v>
      </c>
      <c r="H287" s="1068">
        <f t="shared" si="65"/>
        <v>3.3000000000000003</v>
      </c>
      <c r="I287" s="1064"/>
      <c r="J287" s="1056"/>
    </row>
    <row r="288" spans="1:10" ht="16" x14ac:dyDescent="0.2">
      <c r="A288" s="1238"/>
      <c r="B288" s="1056">
        <f t="shared" si="62"/>
        <v>19</v>
      </c>
      <c r="C288" s="1056">
        <f t="shared" si="62"/>
        <v>7</v>
      </c>
      <c r="D288" s="1056" t="str">
        <f t="shared" si="61"/>
        <v>Café gâterie le spécial 7</v>
      </c>
      <c r="E288" s="1066">
        <f t="shared" si="63"/>
        <v>1.41</v>
      </c>
      <c r="F288" s="1066">
        <f t="shared" si="63"/>
        <v>4.8</v>
      </c>
      <c r="G288" s="1067">
        <f t="shared" si="64"/>
        <v>0.29375000000000001</v>
      </c>
      <c r="H288" s="1068">
        <f t="shared" si="65"/>
        <v>3.3899999999999997</v>
      </c>
      <c r="I288" s="1064"/>
      <c r="J288" s="1056"/>
    </row>
    <row r="289" spans="1:10" ht="16" x14ac:dyDescent="0.2">
      <c r="A289" s="1238"/>
      <c r="B289" s="1056">
        <f t="shared" si="62"/>
        <v>20</v>
      </c>
      <c r="C289" s="1056">
        <f t="shared" si="62"/>
        <v>8</v>
      </c>
      <c r="D289" s="1056" t="str">
        <f t="shared" si="61"/>
        <v>Café gâterie le spécial 8</v>
      </c>
      <c r="E289" s="1066">
        <f t="shared" si="63"/>
        <v>1.43</v>
      </c>
      <c r="F289" s="1066">
        <f t="shared" si="63"/>
        <v>4.9000000000000004</v>
      </c>
      <c r="G289" s="1067">
        <f t="shared" si="64"/>
        <v>0.2918367346938775</v>
      </c>
      <c r="H289" s="1068">
        <f t="shared" si="65"/>
        <v>3.4700000000000006</v>
      </c>
      <c r="I289" s="1064"/>
      <c r="J289" s="1056"/>
    </row>
    <row r="290" spans="1:10" ht="16" x14ac:dyDescent="0.2">
      <c r="A290" s="1238"/>
      <c r="B290" s="1056">
        <f t="shared" si="62"/>
        <v>21</v>
      </c>
      <c r="C290" s="1056">
        <f t="shared" si="62"/>
        <v>9</v>
      </c>
      <c r="D290" s="1056" t="str">
        <f t="shared" si="61"/>
        <v>Café gâterie le spécial 9</v>
      </c>
      <c r="E290" s="1066">
        <f t="shared" si="63"/>
        <v>1.45</v>
      </c>
      <c r="F290" s="1066">
        <f t="shared" si="63"/>
        <v>5</v>
      </c>
      <c r="G290" s="1067">
        <f t="shared" si="64"/>
        <v>0.28999999999999998</v>
      </c>
      <c r="H290" s="1068">
        <f t="shared" si="65"/>
        <v>3.55</v>
      </c>
      <c r="I290" s="1064"/>
      <c r="J290" s="1056"/>
    </row>
    <row r="291" spans="1:10" ht="16" x14ac:dyDescent="0.2">
      <c r="A291" s="1238"/>
      <c r="B291" s="1056">
        <f t="shared" si="62"/>
        <v>22</v>
      </c>
      <c r="C291" s="1056">
        <f t="shared" si="62"/>
        <v>10</v>
      </c>
      <c r="D291" s="1056" t="str">
        <f t="shared" si="61"/>
        <v>Café gâterie le spécial 10</v>
      </c>
      <c r="E291" s="1066">
        <f t="shared" si="63"/>
        <v>1.49</v>
      </c>
      <c r="F291" s="1066">
        <f t="shared" si="63"/>
        <v>5.2</v>
      </c>
      <c r="G291" s="1067">
        <f t="shared" si="64"/>
        <v>0.28653846153846152</v>
      </c>
      <c r="H291" s="1068">
        <f t="shared" si="65"/>
        <v>3.71</v>
      </c>
      <c r="I291" s="1064"/>
      <c r="J291" s="1056"/>
    </row>
    <row r="292" spans="1:10" ht="16" x14ac:dyDescent="0.2">
      <c r="A292" s="1238"/>
      <c r="B292" s="1056">
        <f t="shared" si="62"/>
        <v>23</v>
      </c>
      <c r="C292" s="1056">
        <f t="shared" si="62"/>
        <v>11</v>
      </c>
      <c r="D292" s="1056" t="str">
        <f t="shared" si="61"/>
        <v>Café gâterie le spécial 11</v>
      </c>
      <c r="E292" s="1066">
        <f t="shared" si="63"/>
        <v>1.59</v>
      </c>
      <c r="F292" s="1066">
        <f t="shared" si="63"/>
        <v>5.8</v>
      </c>
      <c r="G292" s="1067">
        <f t="shared" si="64"/>
        <v>0.27413793103448281</v>
      </c>
      <c r="H292" s="1068">
        <f t="shared" si="65"/>
        <v>4.21</v>
      </c>
      <c r="I292" s="1064"/>
      <c r="J292" s="1056"/>
    </row>
    <row r="293" spans="1:10" ht="16" x14ac:dyDescent="0.2">
      <c r="A293" s="1238"/>
      <c r="B293" s="1056">
        <f t="shared" si="62"/>
        <v>24</v>
      </c>
      <c r="C293" s="1056">
        <f t="shared" si="62"/>
        <v>12</v>
      </c>
      <c r="D293" s="1056" t="str">
        <f t="shared" si="61"/>
        <v>Café gâterie le spécial 12</v>
      </c>
      <c r="E293" s="1066">
        <f t="shared" si="63"/>
        <v>1.74</v>
      </c>
      <c r="F293" s="1066">
        <f t="shared" si="63"/>
        <v>6.6</v>
      </c>
      <c r="G293" s="1067">
        <f>E293/F293</f>
        <v>0.26363636363636367</v>
      </c>
      <c r="H293" s="1068">
        <f>F293-E293</f>
        <v>4.8599999999999994</v>
      </c>
      <c r="I293" s="1064"/>
      <c r="J293" s="1056"/>
    </row>
    <row r="294" spans="1:10" ht="19" x14ac:dyDescent="0.35">
      <c r="A294" s="1238"/>
      <c r="B294" s="1056"/>
      <c r="C294" s="1056"/>
      <c r="D294" s="1063" t="str">
        <f t="shared" si="61"/>
        <v>CmO—PmO—Beverage Cost—Marge brute</v>
      </c>
      <c r="E294" s="1072">
        <f>SUM(E282:E293)/C293</f>
        <v>1.4241666666666666</v>
      </c>
      <c r="F294" s="1072">
        <f>SUM(F282:F293)/C293</f>
        <v>4.7666666666666666</v>
      </c>
      <c r="G294" s="1077">
        <f>E294/F294</f>
        <v>0.29877622377622376</v>
      </c>
      <c r="H294" s="1074">
        <f>F294-E294</f>
        <v>3.3425000000000002</v>
      </c>
      <c r="I294" s="1075"/>
      <c r="J294" s="1056"/>
    </row>
    <row r="295" spans="1:10" ht="17" thickBot="1" x14ac:dyDescent="0.25">
      <c r="A295" s="1238"/>
      <c r="B295" s="1056"/>
      <c r="C295" s="1056"/>
      <c r="D295" s="1056"/>
      <c r="E295" s="1066"/>
      <c r="F295" s="1066"/>
      <c r="G295" s="1065"/>
      <c r="H295" s="1076"/>
      <c r="I295" s="1056"/>
      <c r="J295" s="1056"/>
    </row>
    <row r="296" spans="1:10" ht="21" thickTop="1" thickBot="1" x14ac:dyDescent="0.4">
      <c r="A296" s="1238"/>
      <c r="B296" s="1056"/>
      <c r="C296" s="1078"/>
      <c r="D296" s="1079"/>
      <c r="E296" s="1080"/>
      <c r="F296" s="1080"/>
      <c r="G296" s="1081"/>
      <c r="H296" s="1082"/>
      <c r="I296" s="1083"/>
      <c r="J296" s="1056"/>
    </row>
    <row r="297" spans="1:10" ht="18" thickTop="1" thickBot="1" x14ac:dyDescent="0.25">
      <c r="A297" s="1238"/>
      <c r="B297" s="1056"/>
      <c r="C297" s="1085"/>
      <c r="D297" s="1063"/>
      <c r="E297" s="1086" t="str">
        <f>E254</f>
        <v>CmO</v>
      </c>
      <c r="F297" s="1086" t="str">
        <f>F254</f>
        <v>PmO</v>
      </c>
      <c r="G297" s="1087" t="str">
        <f>G254</f>
        <v>F&amp;BCmO</v>
      </c>
      <c r="H297" s="1113" t="str">
        <f>H254</f>
        <v>BmO</v>
      </c>
      <c r="I297" s="1088"/>
      <c r="J297" s="1056"/>
    </row>
    <row r="298" spans="1:10" ht="17" thickTop="1" x14ac:dyDescent="0.2">
      <c r="A298" s="1238"/>
      <c r="B298" s="1056"/>
      <c r="C298" s="1085"/>
      <c r="D298" s="1089" t="str">
        <f>D255</f>
        <v>OFFRE TOTALE AVEC LES GÂTERIES ET LES CAFÉS GÂTERIES</v>
      </c>
      <c r="E298" s="1066"/>
      <c r="F298" s="1066"/>
      <c r="G298" s="1065"/>
      <c r="H298" s="1076"/>
      <c r="I298" s="1090"/>
      <c r="J298" s="1056"/>
    </row>
    <row r="299" spans="1:10" ht="19" x14ac:dyDescent="0.35">
      <c r="A299" s="1238"/>
      <c r="B299" s="1056"/>
      <c r="C299" s="1085"/>
      <c r="D299" s="1063" t="str">
        <f>D256</f>
        <v>CmO—PmO—F&amp;B cost moyen offert—Marge brute</v>
      </c>
      <c r="E299" s="1093">
        <f>+(E267+E268+E269+E270+E271+E272+E273+E274+E275+E276+E277+E278+E282+E283+E284+E285+E286+E287+E288+E289+E290+E291+E292+E293)/B293</f>
        <v>1.4529166666666666</v>
      </c>
      <c r="F299" s="1093">
        <f>+(F267+F268+F269+F270+F271+F272+F273+F274+F275+F276+F277+F278+F282+F283+F284+F285+F286+F287+F288+F289+F290+F291+F292+F293)/B293</f>
        <v>4.791666666666667</v>
      </c>
      <c r="G299" s="1094">
        <f>E299/F299</f>
        <v>0.30321739130434783</v>
      </c>
      <c r="H299" s="1095">
        <f>F299-E299</f>
        <v>3.3387500000000001</v>
      </c>
      <c r="I299" s="1096"/>
      <c r="J299" s="1056"/>
    </row>
    <row r="300" spans="1:10" ht="16" x14ac:dyDescent="0.2">
      <c r="A300" s="1238"/>
      <c r="B300" s="1056"/>
      <c r="C300" s="1085"/>
      <c r="D300" s="1056"/>
      <c r="E300" s="1069"/>
      <c r="F300" s="1069"/>
      <c r="G300" s="1070"/>
      <c r="H300" s="1097"/>
      <c r="I300" s="1098"/>
      <c r="J300" s="1056"/>
    </row>
    <row r="301" spans="1:10" ht="17" thickBot="1" x14ac:dyDescent="0.25">
      <c r="A301" s="1238"/>
      <c r="B301" s="1056"/>
      <c r="C301" s="1100"/>
      <c r="D301" s="1101"/>
      <c r="E301" s="1102"/>
      <c r="F301" s="1102"/>
      <c r="G301" s="1103"/>
      <c r="H301" s="1104"/>
      <c r="I301" s="1105"/>
      <c r="J301" s="1056"/>
    </row>
    <row r="302" spans="1:10" ht="14" thickTop="1" x14ac:dyDescent="0.15">
      <c r="A302" s="1238"/>
    </row>
    <row r="303" spans="1:10" ht="22" x14ac:dyDescent="0.25">
      <c r="A303" s="1238"/>
      <c r="D303" s="1058" t="s">
        <v>592</v>
      </c>
      <c r="F303" s="1059"/>
    </row>
    <row r="304" spans="1:10" ht="23" thickBot="1" x14ac:dyDescent="0.3">
      <c r="A304" s="1238"/>
      <c r="D304" s="1060"/>
    </row>
    <row r="305" spans="1:10" ht="23" thickTop="1" x14ac:dyDescent="0.25">
      <c r="A305" s="1238"/>
      <c r="D305" s="1060"/>
      <c r="E305" s="1232" t="str">
        <f>E262</f>
        <v>Coûts des ressources alimentaires pour chaque produit offert (voir recettes standardisées)</v>
      </c>
      <c r="F305" s="1232" t="str">
        <f>F262</f>
        <v>Prix de vente par produit offert</v>
      </c>
      <c r="G305" s="1232" t="str">
        <f>G262</f>
        <v xml:space="preserve">« Food &amp; Beverage Cost » </v>
      </c>
      <c r="H305" s="1232" t="str">
        <f>H262</f>
        <v>Marge brute gagnée sur la vente de chaque produit offert</v>
      </c>
      <c r="I305" s="1061"/>
    </row>
    <row r="306" spans="1:10" ht="22" x14ac:dyDescent="0.25">
      <c r="A306" s="1238"/>
      <c r="D306" s="1060"/>
      <c r="E306" s="1233"/>
      <c r="F306" s="1235"/>
      <c r="G306" s="1235"/>
      <c r="H306" s="1235"/>
      <c r="I306" s="1062"/>
    </row>
    <row r="307" spans="1:10" ht="14" thickBot="1" x14ac:dyDescent="0.2">
      <c r="A307" s="1238"/>
      <c r="E307" s="1234"/>
      <c r="F307" s="1236"/>
      <c r="G307" s="1236"/>
      <c r="H307" s="1236"/>
      <c r="I307" s="1062"/>
    </row>
    <row r="308" spans="1:10" ht="14" thickTop="1" x14ac:dyDescent="0.15">
      <c r="A308" s="1238"/>
      <c r="B308" s="161" t="s">
        <v>2</v>
      </c>
      <c r="E308" s="1059"/>
      <c r="F308" s="1059"/>
      <c r="G308" s="315"/>
    </row>
    <row r="309" spans="1:10" ht="16" x14ac:dyDescent="0.2">
      <c r="A309" s="1238"/>
      <c r="B309" s="1056"/>
      <c r="C309" s="1056"/>
      <c r="D309" s="1063" t="str">
        <f t="shared" ref="D309:D322" si="66">D266</f>
        <v>Les gâteries</v>
      </c>
      <c r="E309" s="1064"/>
      <c r="F309" s="1064"/>
      <c r="G309" s="1065"/>
      <c r="H309" s="1056"/>
      <c r="I309" s="1056"/>
      <c r="J309" s="1056"/>
    </row>
    <row r="310" spans="1:10" ht="16" x14ac:dyDescent="0.2">
      <c r="A310" s="1238"/>
      <c r="B310" s="1056">
        <f t="shared" ref="B310:C321" si="67">B267</f>
        <v>1</v>
      </c>
      <c r="C310" s="1056">
        <f t="shared" si="67"/>
        <v>1</v>
      </c>
      <c r="D310" s="1056" t="str">
        <f t="shared" si="66"/>
        <v>Gâterie 1</v>
      </c>
      <c r="E310" s="1066">
        <v>0.76</v>
      </c>
      <c r="F310" s="1066">
        <f t="shared" ref="F310:F321" si="68">F267</f>
        <v>3.3</v>
      </c>
      <c r="G310" s="1067">
        <f t="shared" ref="G310:G322" si="69">E310/F310</f>
        <v>0.23030303030303031</v>
      </c>
      <c r="H310" s="1068">
        <f t="shared" ref="H310:H322" si="70">F310-E310</f>
        <v>2.54</v>
      </c>
      <c r="I310" s="1064"/>
      <c r="J310" s="1056"/>
    </row>
    <row r="311" spans="1:10" ht="16" x14ac:dyDescent="0.2">
      <c r="A311" s="1238"/>
      <c r="B311" s="1056">
        <f t="shared" si="67"/>
        <v>2</v>
      </c>
      <c r="C311" s="1056">
        <f t="shared" si="67"/>
        <v>2</v>
      </c>
      <c r="D311" s="1056" t="str">
        <f t="shared" si="66"/>
        <v>Gâterie 2</v>
      </c>
      <c r="E311" s="1066">
        <v>0.86</v>
      </c>
      <c r="F311" s="1066">
        <f t="shared" si="68"/>
        <v>3.8</v>
      </c>
      <c r="G311" s="1067">
        <f t="shared" si="69"/>
        <v>0.22631578947368422</v>
      </c>
      <c r="H311" s="1068">
        <f t="shared" si="70"/>
        <v>2.94</v>
      </c>
      <c r="I311" s="1064"/>
      <c r="J311" s="1056"/>
    </row>
    <row r="312" spans="1:10" ht="16" x14ac:dyDescent="0.2">
      <c r="A312" s="1238"/>
      <c r="B312" s="1056">
        <f t="shared" si="67"/>
        <v>3</v>
      </c>
      <c r="C312" s="1056">
        <f t="shared" si="67"/>
        <v>3</v>
      </c>
      <c r="D312" s="1056" t="str">
        <f t="shared" si="66"/>
        <v>Gâterie 3</v>
      </c>
      <c r="E312" s="1066">
        <v>0.9</v>
      </c>
      <c r="F312" s="1066">
        <f t="shared" si="68"/>
        <v>4</v>
      </c>
      <c r="G312" s="1067">
        <f t="shared" si="69"/>
        <v>0.22500000000000001</v>
      </c>
      <c r="H312" s="1068">
        <f t="shared" si="70"/>
        <v>3.1</v>
      </c>
      <c r="I312" s="1064"/>
      <c r="J312" s="1056"/>
    </row>
    <row r="313" spans="1:10" ht="16" x14ac:dyDescent="0.2">
      <c r="A313" s="1238"/>
      <c r="B313" s="1056">
        <f t="shared" si="67"/>
        <v>4</v>
      </c>
      <c r="C313" s="1056">
        <f t="shared" si="67"/>
        <v>4</v>
      </c>
      <c r="D313" s="1056" t="str">
        <f t="shared" si="66"/>
        <v>Gâterie 4</v>
      </c>
      <c r="E313" s="1066">
        <v>1</v>
      </c>
      <c r="F313" s="1066">
        <f t="shared" si="68"/>
        <v>4.5</v>
      </c>
      <c r="G313" s="1067">
        <f t="shared" si="69"/>
        <v>0.22222222222222221</v>
      </c>
      <c r="H313" s="1068">
        <f t="shared" si="70"/>
        <v>3.5</v>
      </c>
      <c r="I313" s="1064"/>
      <c r="J313" s="1056"/>
    </row>
    <row r="314" spans="1:10" ht="16" x14ac:dyDescent="0.2">
      <c r="A314" s="1238"/>
      <c r="B314" s="1056">
        <f t="shared" si="67"/>
        <v>5</v>
      </c>
      <c r="C314" s="1056">
        <f t="shared" si="67"/>
        <v>5</v>
      </c>
      <c r="D314" s="1056" t="str">
        <f t="shared" si="66"/>
        <v>Gâterie 5</v>
      </c>
      <c r="E314" s="1066">
        <v>1.02</v>
      </c>
      <c r="F314" s="1066">
        <f t="shared" si="68"/>
        <v>4.5999999999999996</v>
      </c>
      <c r="G314" s="1067">
        <f t="shared" si="69"/>
        <v>0.22173913043478263</v>
      </c>
      <c r="H314" s="1068">
        <f t="shared" si="70"/>
        <v>3.5799999999999996</v>
      </c>
      <c r="I314" s="1064"/>
      <c r="J314" s="1056"/>
    </row>
    <row r="315" spans="1:10" ht="16" x14ac:dyDescent="0.2">
      <c r="A315" s="1238"/>
      <c r="B315" s="1056">
        <f t="shared" si="67"/>
        <v>6</v>
      </c>
      <c r="C315" s="1056">
        <f t="shared" si="67"/>
        <v>6</v>
      </c>
      <c r="D315" s="1056" t="str">
        <f t="shared" si="66"/>
        <v>Gâterie 6</v>
      </c>
      <c r="E315" s="1066">
        <v>1.04</v>
      </c>
      <c r="F315" s="1066">
        <f t="shared" si="68"/>
        <v>4.7</v>
      </c>
      <c r="G315" s="1067">
        <f t="shared" si="69"/>
        <v>0.22127659574468084</v>
      </c>
      <c r="H315" s="1068">
        <f t="shared" si="70"/>
        <v>3.66</v>
      </c>
      <c r="I315" s="1064"/>
      <c r="J315" s="1056"/>
    </row>
    <row r="316" spans="1:10" ht="16" x14ac:dyDescent="0.2">
      <c r="A316" s="1238"/>
      <c r="B316" s="1056">
        <f t="shared" si="67"/>
        <v>7</v>
      </c>
      <c r="C316" s="1056">
        <f t="shared" si="67"/>
        <v>7</v>
      </c>
      <c r="D316" s="1056" t="str">
        <f t="shared" si="66"/>
        <v>Gâterie 7</v>
      </c>
      <c r="E316" s="1066">
        <v>1.06</v>
      </c>
      <c r="F316" s="1066">
        <f t="shared" si="68"/>
        <v>4.8</v>
      </c>
      <c r="G316" s="1067">
        <f t="shared" si="69"/>
        <v>0.22083333333333335</v>
      </c>
      <c r="H316" s="1068">
        <f t="shared" si="70"/>
        <v>3.7399999999999998</v>
      </c>
      <c r="I316" s="1064"/>
      <c r="J316" s="1056"/>
    </row>
    <row r="317" spans="1:10" ht="16" x14ac:dyDescent="0.2">
      <c r="A317" s="1238"/>
      <c r="B317" s="1056">
        <f t="shared" si="67"/>
        <v>8</v>
      </c>
      <c r="C317" s="1056">
        <f t="shared" si="67"/>
        <v>8</v>
      </c>
      <c r="D317" s="1056" t="str">
        <f t="shared" si="66"/>
        <v>Gâterie 8</v>
      </c>
      <c r="E317" s="1066">
        <v>1.08</v>
      </c>
      <c r="F317" s="1066">
        <f t="shared" si="68"/>
        <v>4.9000000000000004</v>
      </c>
      <c r="G317" s="1067">
        <f t="shared" si="69"/>
        <v>0.22040816326530613</v>
      </c>
      <c r="H317" s="1068">
        <f t="shared" si="70"/>
        <v>3.8200000000000003</v>
      </c>
      <c r="I317" s="1064"/>
      <c r="J317" s="1056"/>
    </row>
    <row r="318" spans="1:10" ht="16" x14ac:dyDescent="0.2">
      <c r="A318" s="1238"/>
      <c r="B318" s="1056">
        <f t="shared" si="67"/>
        <v>9</v>
      </c>
      <c r="C318" s="1056">
        <f t="shared" si="67"/>
        <v>9</v>
      </c>
      <c r="D318" s="1056" t="str">
        <f t="shared" si="66"/>
        <v>Gâterie 9</v>
      </c>
      <c r="E318" s="1066">
        <v>1.1000000000000001</v>
      </c>
      <c r="F318" s="1066">
        <f t="shared" si="68"/>
        <v>5</v>
      </c>
      <c r="G318" s="1067">
        <f t="shared" si="69"/>
        <v>0.22000000000000003</v>
      </c>
      <c r="H318" s="1068">
        <f t="shared" si="70"/>
        <v>3.9</v>
      </c>
      <c r="I318" s="1064"/>
      <c r="J318" s="1056"/>
    </row>
    <row r="319" spans="1:10" ht="16" x14ac:dyDescent="0.2">
      <c r="A319" s="1238"/>
      <c r="B319" s="1056">
        <f t="shared" si="67"/>
        <v>10</v>
      </c>
      <c r="C319" s="1056">
        <f t="shared" si="67"/>
        <v>10</v>
      </c>
      <c r="D319" s="1056" t="str">
        <f t="shared" si="66"/>
        <v>Gâterie 10</v>
      </c>
      <c r="E319" s="1066">
        <v>1.1399999999999999</v>
      </c>
      <c r="F319" s="1066">
        <f t="shared" si="68"/>
        <v>5.2</v>
      </c>
      <c r="G319" s="1067">
        <f t="shared" si="69"/>
        <v>0.2192307692307692</v>
      </c>
      <c r="H319" s="1068">
        <f t="shared" si="70"/>
        <v>4.0600000000000005</v>
      </c>
      <c r="I319" s="1064"/>
      <c r="J319" s="1056"/>
    </row>
    <row r="320" spans="1:10" ht="16" x14ac:dyDescent="0.2">
      <c r="A320" s="1238"/>
      <c r="B320" s="1056">
        <f t="shared" si="67"/>
        <v>11</v>
      </c>
      <c r="C320" s="1056">
        <f t="shared" si="67"/>
        <v>11</v>
      </c>
      <c r="D320" s="1056" t="str">
        <f t="shared" si="66"/>
        <v>Gâterie 11</v>
      </c>
      <c r="E320" s="1066">
        <v>1.38</v>
      </c>
      <c r="F320" s="1066">
        <f t="shared" si="68"/>
        <v>6.4</v>
      </c>
      <c r="G320" s="1067">
        <f t="shared" si="69"/>
        <v>0.21562499999999998</v>
      </c>
      <c r="H320" s="1068">
        <f t="shared" si="70"/>
        <v>5.0200000000000005</v>
      </c>
      <c r="I320" s="1064"/>
      <c r="J320" s="1056"/>
    </row>
    <row r="321" spans="1:10" ht="16" x14ac:dyDescent="0.2">
      <c r="A321" s="1238"/>
      <c r="B321" s="1056">
        <f t="shared" si="67"/>
        <v>12</v>
      </c>
      <c r="C321" s="1056">
        <f t="shared" si="67"/>
        <v>12</v>
      </c>
      <c r="D321" s="1056" t="str">
        <f t="shared" si="66"/>
        <v>Gâterie 12</v>
      </c>
      <c r="E321" s="1066">
        <v>1.42</v>
      </c>
      <c r="F321" s="1066">
        <f t="shared" si="68"/>
        <v>6.6</v>
      </c>
      <c r="G321" s="1067">
        <f t="shared" si="69"/>
        <v>0.21515151515151515</v>
      </c>
      <c r="H321" s="1068">
        <f t="shared" si="70"/>
        <v>5.18</v>
      </c>
      <c r="I321" s="1064"/>
      <c r="J321" s="1056"/>
    </row>
    <row r="322" spans="1:10" ht="19" x14ac:dyDescent="0.35">
      <c r="A322" s="1238"/>
      <c r="B322" s="1056"/>
      <c r="C322" s="1056"/>
      <c r="D322" s="1063" t="str">
        <f t="shared" si="66"/>
        <v>CmO—PmO—Food Cost—BmO</v>
      </c>
      <c r="E322" s="1072">
        <f>SUM(E310:E321)/C321</f>
        <v>1.0633333333333332</v>
      </c>
      <c r="F322" s="1072">
        <f>SUM(F310:F321)/C321</f>
        <v>4.8166666666666673</v>
      </c>
      <c r="G322" s="1073">
        <f t="shared" si="69"/>
        <v>0.22076124567474043</v>
      </c>
      <c r="H322" s="1074">
        <f t="shared" si="70"/>
        <v>3.7533333333333339</v>
      </c>
      <c r="I322" s="1075"/>
      <c r="J322" s="1056"/>
    </row>
    <row r="323" spans="1:10" ht="16" x14ac:dyDescent="0.2">
      <c r="A323" s="1238"/>
      <c r="B323" s="1056" t="s">
        <v>2</v>
      </c>
      <c r="C323" s="1056"/>
      <c r="D323" s="1056"/>
      <c r="E323" s="1066"/>
      <c r="F323" s="1066"/>
      <c r="G323" s="1067"/>
      <c r="H323" s="1076"/>
      <c r="I323" s="1056"/>
      <c r="J323" s="1056"/>
    </row>
    <row r="324" spans="1:10" ht="16" x14ac:dyDescent="0.2">
      <c r="A324" s="1238"/>
      <c r="B324" s="1056"/>
      <c r="C324" s="1056"/>
      <c r="D324" s="1063" t="str">
        <f t="shared" ref="D324:D337" si="71">D281</f>
        <v>Les cafés gâteries</v>
      </c>
      <c r="E324" s="1066"/>
      <c r="F324" s="1066"/>
      <c r="G324" s="1067"/>
      <c r="H324" s="1076"/>
      <c r="I324" s="1056"/>
      <c r="J324" s="1056"/>
    </row>
    <row r="325" spans="1:10" ht="16" x14ac:dyDescent="0.2">
      <c r="A325" s="1238"/>
      <c r="B325" s="1056">
        <f t="shared" ref="B325:C336" si="72">B282</f>
        <v>13</v>
      </c>
      <c r="C325" s="1056">
        <f t="shared" si="72"/>
        <v>1</v>
      </c>
      <c r="D325" s="1056" t="str">
        <f t="shared" si="71"/>
        <v>Café gâterie le spécial 1</v>
      </c>
      <c r="E325" s="1066">
        <f t="shared" ref="E325:F336" si="73">E282</f>
        <v>1.1399999999999999</v>
      </c>
      <c r="F325" s="1066">
        <f t="shared" si="73"/>
        <v>3.3</v>
      </c>
      <c r="G325" s="1067">
        <f>E325/F325</f>
        <v>0.34545454545454546</v>
      </c>
      <c r="H325" s="1068">
        <f>F325-E325</f>
        <v>2.16</v>
      </c>
      <c r="I325" s="1064"/>
      <c r="J325" s="1056"/>
    </row>
    <row r="326" spans="1:10" ht="16" x14ac:dyDescent="0.2">
      <c r="A326" s="1238"/>
      <c r="B326" s="1056">
        <f t="shared" si="72"/>
        <v>14</v>
      </c>
      <c r="C326" s="1056">
        <f t="shared" si="72"/>
        <v>2</v>
      </c>
      <c r="D326" s="1056" t="str">
        <f t="shared" si="71"/>
        <v>Café gâterie le spécial 2</v>
      </c>
      <c r="E326" s="1066">
        <f t="shared" si="73"/>
        <v>1.33</v>
      </c>
      <c r="F326" s="1066">
        <f t="shared" si="73"/>
        <v>3.8</v>
      </c>
      <c r="G326" s="1067">
        <f>E326/F326</f>
        <v>0.35000000000000003</v>
      </c>
      <c r="H326" s="1068">
        <f>F326-E326</f>
        <v>2.4699999999999998</v>
      </c>
      <c r="I326" s="1064"/>
      <c r="J326" s="1056"/>
    </row>
    <row r="327" spans="1:10" ht="16" x14ac:dyDescent="0.2">
      <c r="A327" s="1238"/>
      <c r="B327" s="1056">
        <f t="shared" si="72"/>
        <v>15</v>
      </c>
      <c r="C327" s="1056">
        <f t="shared" si="72"/>
        <v>3</v>
      </c>
      <c r="D327" s="1056" t="str">
        <f t="shared" si="71"/>
        <v>Café gâterie le spécial 3</v>
      </c>
      <c r="E327" s="1066">
        <f t="shared" si="73"/>
        <v>1.37</v>
      </c>
      <c r="F327" s="1066">
        <f t="shared" si="73"/>
        <v>4</v>
      </c>
      <c r="G327" s="1067">
        <f>E327/F327</f>
        <v>0.34250000000000003</v>
      </c>
      <c r="H327" s="1068">
        <f>F327-E327</f>
        <v>2.63</v>
      </c>
      <c r="I327" s="1064"/>
      <c r="J327" s="1056"/>
    </row>
    <row r="328" spans="1:10" ht="16" x14ac:dyDescent="0.2">
      <c r="A328" s="1238"/>
      <c r="B328" s="1056">
        <f t="shared" si="72"/>
        <v>16</v>
      </c>
      <c r="C328" s="1056">
        <f t="shared" si="72"/>
        <v>4</v>
      </c>
      <c r="D328" s="1056" t="str">
        <f t="shared" si="71"/>
        <v>Café gâterie le spécial 4</v>
      </c>
      <c r="E328" s="1066">
        <f t="shared" si="73"/>
        <v>1.36</v>
      </c>
      <c r="F328" s="1066">
        <f t="shared" si="73"/>
        <v>4.5</v>
      </c>
      <c r="G328" s="1067">
        <f t="shared" ref="G328:G335" si="74">E328/F328</f>
        <v>0.30222222222222223</v>
      </c>
      <c r="H328" s="1068">
        <f t="shared" ref="H328:H335" si="75">F328-E328</f>
        <v>3.1399999999999997</v>
      </c>
      <c r="I328" s="1064"/>
      <c r="J328" s="1056"/>
    </row>
    <row r="329" spans="1:10" ht="16" x14ac:dyDescent="0.2">
      <c r="A329" s="1238"/>
      <c r="B329" s="1056">
        <f t="shared" si="72"/>
        <v>17</v>
      </c>
      <c r="C329" s="1056">
        <f t="shared" si="72"/>
        <v>5</v>
      </c>
      <c r="D329" s="1056" t="str">
        <f t="shared" si="71"/>
        <v>Café gâterie le spécial 5</v>
      </c>
      <c r="E329" s="1066">
        <f t="shared" si="73"/>
        <v>1.38</v>
      </c>
      <c r="F329" s="1066">
        <f t="shared" si="73"/>
        <v>4.5999999999999996</v>
      </c>
      <c r="G329" s="1067">
        <f t="shared" si="74"/>
        <v>0.3</v>
      </c>
      <c r="H329" s="1068">
        <f t="shared" si="75"/>
        <v>3.2199999999999998</v>
      </c>
      <c r="I329" s="1064"/>
      <c r="J329" s="1056"/>
    </row>
    <row r="330" spans="1:10" ht="16" x14ac:dyDescent="0.2">
      <c r="A330" s="1238"/>
      <c r="B330" s="1056">
        <f t="shared" si="72"/>
        <v>18</v>
      </c>
      <c r="C330" s="1056">
        <f t="shared" si="72"/>
        <v>6</v>
      </c>
      <c r="D330" s="1056" t="str">
        <f t="shared" si="71"/>
        <v>Café gâterie le spécial 6</v>
      </c>
      <c r="E330" s="1066">
        <f t="shared" si="73"/>
        <v>1.4</v>
      </c>
      <c r="F330" s="1066">
        <f t="shared" si="73"/>
        <v>4.7</v>
      </c>
      <c r="G330" s="1067">
        <f t="shared" si="74"/>
        <v>0.2978723404255319</v>
      </c>
      <c r="H330" s="1068">
        <f t="shared" si="75"/>
        <v>3.3000000000000003</v>
      </c>
      <c r="I330" s="1064"/>
      <c r="J330" s="1056"/>
    </row>
    <row r="331" spans="1:10" ht="16" x14ac:dyDescent="0.2">
      <c r="A331" s="1238"/>
      <c r="B331" s="1056">
        <f t="shared" si="72"/>
        <v>19</v>
      </c>
      <c r="C331" s="1056">
        <f t="shared" si="72"/>
        <v>7</v>
      </c>
      <c r="D331" s="1056" t="str">
        <f t="shared" si="71"/>
        <v>Café gâterie le spécial 7</v>
      </c>
      <c r="E331" s="1066">
        <f t="shared" si="73"/>
        <v>1.41</v>
      </c>
      <c r="F331" s="1066">
        <f t="shared" si="73"/>
        <v>4.8</v>
      </c>
      <c r="G331" s="1067">
        <f t="shared" si="74"/>
        <v>0.29375000000000001</v>
      </c>
      <c r="H331" s="1068">
        <f t="shared" si="75"/>
        <v>3.3899999999999997</v>
      </c>
      <c r="I331" s="1064"/>
      <c r="J331" s="1056"/>
    </row>
    <row r="332" spans="1:10" ht="16" x14ac:dyDescent="0.2">
      <c r="A332" s="1238"/>
      <c r="B332" s="1056">
        <f t="shared" si="72"/>
        <v>20</v>
      </c>
      <c r="C332" s="1056">
        <f t="shared" si="72"/>
        <v>8</v>
      </c>
      <c r="D332" s="1056" t="str">
        <f t="shared" si="71"/>
        <v>Café gâterie le spécial 8</v>
      </c>
      <c r="E332" s="1066">
        <f t="shared" si="73"/>
        <v>1.43</v>
      </c>
      <c r="F332" s="1066">
        <f t="shared" si="73"/>
        <v>4.9000000000000004</v>
      </c>
      <c r="G332" s="1067">
        <f t="shared" si="74"/>
        <v>0.2918367346938775</v>
      </c>
      <c r="H332" s="1068">
        <f t="shared" si="75"/>
        <v>3.4700000000000006</v>
      </c>
      <c r="I332" s="1064"/>
      <c r="J332" s="1056"/>
    </row>
    <row r="333" spans="1:10" ht="16" x14ac:dyDescent="0.2">
      <c r="A333" s="1238"/>
      <c r="B333" s="1056">
        <f t="shared" si="72"/>
        <v>21</v>
      </c>
      <c r="C333" s="1056">
        <f t="shared" si="72"/>
        <v>9</v>
      </c>
      <c r="D333" s="1056" t="str">
        <f t="shared" si="71"/>
        <v>Café gâterie le spécial 9</v>
      </c>
      <c r="E333" s="1066">
        <f t="shared" si="73"/>
        <v>1.45</v>
      </c>
      <c r="F333" s="1066">
        <f t="shared" si="73"/>
        <v>5</v>
      </c>
      <c r="G333" s="1067">
        <f t="shared" si="74"/>
        <v>0.28999999999999998</v>
      </c>
      <c r="H333" s="1068">
        <f t="shared" si="75"/>
        <v>3.55</v>
      </c>
      <c r="I333" s="1064"/>
      <c r="J333" s="1056"/>
    </row>
    <row r="334" spans="1:10" ht="16" x14ac:dyDescent="0.2">
      <c r="A334" s="1238"/>
      <c r="B334" s="1056">
        <f t="shared" si="72"/>
        <v>22</v>
      </c>
      <c r="C334" s="1056">
        <f t="shared" si="72"/>
        <v>10</v>
      </c>
      <c r="D334" s="1056" t="str">
        <f t="shared" si="71"/>
        <v>Café gâterie le spécial 10</v>
      </c>
      <c r="E334" s="1066">
        <f t="shared" si="73"/>
        <v>1.49</v>
      </c>
      <c r="F334" s="1066">
        <f t="shared" si="73"/>
        <v>5.2</v>
      </c>
      <c r="G334" s="1067">
        <f t="shared" si="74"/>
        <v>0.28653846153846152</v>
      </c>
      <c r="H334" s="1068">
        <f t="shared" si="75"/>
        <v>3.71</v>
      </c>
      <c r="I334" s="1064"/>
      <c r="J334" s="1056"/>
    </row>
    <row r="335" spans="1:10" ht="16" x14ac:dyDescent="0.2">
      <c r="A335" s="1238"/>
      <c r="B335" s="1056">
        <f t="shared" si="72"/>
        <v>23</v>
      </c>
      <c r="C335" s="1056">
        <f t="shared" si="72"/>
        <v>11</v>
      </c>
      <c r="D335" s="1056" t="str">
        <f t="shared" si="71"/>
        <v>Café gâterie le spécial 11</v>
      </c>
      <c r="E335" s="1066">
        <f t="shared" si="73"/>
        <v>1.59</v>
      </c>
      <c r="F335" s="1066">
        <f t="shared" si="73"/>
        <v>5.8</v>
      </c>
      <c r="G335" s="1067">
        <f t="shared" si="74"/>
        <v>0.27413793103448281</v>
      </c>
      <c r="H335" s="1068">
        <f t="shared" si="75"/>
        <v>4.21</v>
      </c>
      <c r="I335" s="1064"/>
      <c r="J335" s="1056"/>
    </row>
    <row r="336" spans="1:10" ht="16" x14ac:dyDescent="0.2">
      <c r="A336" s="1238"/>
      <c r="B336" s="1056">
        <f t="shared" si="72"/>
        <v>24</v>
      </c>
      <c r="C336" s="1056">
        <f t="shared" si="72"/>
        <v>12</v>
      </c>
      <c r="D336" s="1056" t="str">
        <f t="shared" si="71"/>
        <v>Café gâterie le spécial 12</v>
      </c>
      <c r="E336" s="1066">
        <f t="shared" si="73"/>
        <v>1.74</v>
      </c>
      <c r="F336" s="1066">
        <f t="shared" si="73"/>
        <v>6.6</v>
      </c>
      <c r="G336" s="1067">
        <f>E336/F336</f>
        <v>0.26363636363636367</v>
      </c>
      <c r="H336" s="1068">
        <f>F336-E336</f>
        <v>4.8599999999999994</v>
      </c>
      <c r="I336" s="1064"/>
      <c r="J336" s="1056"/>
    </row>
    <row r="337" spans="1:10" ht="19" x14ac:dyDescent="0.35">
      <c r="A337" s="1238"/>
      <c r="B337" s="1056"/>
      <c r="C337" s="1056"/>
      <c r="D337" s="1063" t="str">
        <f t="shared" si="71"/>
        <v>CmO—PmO—Beverage Cost—Marge brute</v>
      </c>
      <c r="E337" s="1072">
        <f>SUM(E325:E336)/C336</f>
        <v>1.4241666666666666</v>
      </c>
      <c r="F337" s="1072">
        <f>SUM(F325:F336)/C336</f>
        <v>4.7666666666666666</v>
      </c>
      <c r="G337" s="1077">
        <f>E337/F337</f>
        <v>0.29877622377622376</v>
      </c>
      <c r="H337" s="1074">
        <f>F337-E337</f>
        <v>3.3425000000000002</v>
      </c>
      <c r="I337" s="1075"/>
      <c r="J337" s="1056"/>
    </row>
    <row r="338" spans="1:10" ht="17" thickBot="1" x14ac:dyDescent="0.25">
      <c r="A338" s="1238"/>
      <c r="B338" s="1056"/>
      <c r="C338" s="1056"/>
      <c r="D338" s="1056"/>
      <c r="E338" s="1066"/>
      <c r="F338" s="1066"/>
      <c r="G338" s="1065"/>
      <c r="H338" s="1076"/>
      <c r="I338" s="1056"/>
      <c r="J338" s="1056"/>
    </row>
    <row r="339" spans="1:10" ht="21" thickTop="1" thickBot="1" x14ac:dyDescent="0.4">
      <c r="A339" s="1238"/>
      <c r="B339" s="1056"/>
      <c r="C339" s="1078"/>
      <c r="D339" s="1079"/>
      <c r="E339" s="1080"/>
      <c r="F339" s="1080"/>
      <c r="G339" s="1081"/>
      <c r="H339" s="1082"/>
      <c r="I339" s="1083"/>
      <c r="J339" s="1056"/>
    </row>
    <row r="340" spans="1:10" ht="18" thickTop="1" thickBot="1" x14ac:dyDescent="0.25">
      <c r="A340" s="1238"/>
      <c r="B340" s="1056"/>
      <c r="C340" s="1085"/>
      <c r="D340" s="1063"/>
      <c r="E340" s="1086" t="str">
        <f>E297</f>
        <v>CmO</v>
      </c>
      <c r="F340" s="1086" t="str">
        <f>F297</f>
        <v>PmO</v>
      </c>
      <c r="G340" s="1087" t="str">
        <f>G297</f>
        <v>F&amp;BCmO</v>
      </c>
      <c r="H340" s="1113" t="str">
        <f>H297</f>
        <v>BmO</v>
      </c>
      <c r="I340" s="1088"/>
      <c r="J340" s="1056"/>
    </row>
    <row r="341" spans="1:10" ht="17" thickTop="1" x14ac:dyDescent="0.2">
      <c r="A341" s="1238"/>
      <c r="B341" s="1056"/>
      <c r="C341" s="1085"/>
      <c r="D341" s="1089" t="str">
        <f>D298</f>
        <v>OFFRE TOTALE AVEC LES GÂTERIES ET LES CAFÉS GÂTERIES</v>
      </c>
      <c r="E341" s="1066"/>
      <c r="F341" s="1066"/>
      <c r="G341" s="1065"/>
      <c r="H341" s="1076"/>
      <c r="I341" s="1090"/>
      <c r="J341" s="1056"/>
    </row>
    <row r="342" spans="1:10" ht="19" x14ac:dyDescent="0.35">
      <c r="A342" s="1238"/>
      <c r="B342" s="1056"/>
      <c r="C342" s="1085"/>
      <c r="D342" s="1063" t="str">
        <f>D299</f>
        <v>CmO—PmO—F&amp;B cost moyen offert—Marge brute</v>
      </c>
      <c r="E342" s="1093">
        <f>+(E310+E311+E312+E313+E314+E315+E316+E317+E318+E319+E320+E321+E325+E326+E327+E328+E329+E330+E331+E332+E333+E334+E335+E336)/B336</f>
        <v>1.2437499999999997</v>
      </c>
      <c r="F342" s="1093">
        <f>+(F310+F311+F312+F313+F314+F315+F316+F317+F318+F319+F320+F321+F325+F326+F327+F328+F329+F330+F331+F332+F333+F334+F335+F336)/B336</f>
        <v>4.791666666666667</v>
      </c>
      <c r="G342" s="1094">
        <f>E342/F342</f>
        <v>0.25956521739130428</v>
      </c>
      <c r="H342" s="1095">
        <f>F342-E342</f>
        <v>3.5479166666666675</v>
      </c>
      <c r="I342" s="1096"/>
      <c r="J342" s="1056"/>
    </row>
    <row r="343" spans="1:10" ht="16" x14ac:dyDescent="0.2">
      <c r="A343" s="1238"/>
      <c r="B343" s="1056"/>
      <c r="C343" s="1085"/>
      <c r="D343" s="1056"/>
      <c r="E343" s="1069"/>
      <c r="F343" s="1069"/>
      <c r="G343" s="1070"/>
      <c r="H343" s="1097"/>
      <c r="I343" s="1098"/>
      <c r="J343" s="1056"/>
    </row>
    <row r="344" spans="1:10" ht="17" thickBot="1" x14ac:dyDescent="0.25">
      <c r="A344" s="1238"/>
      <c r="B344" s="1056"/>
      <c r="C344" s="1100"/>
      <c r="D344" s="1101"/>
      <c r="E344" s="1102"/>
      <c r="F344" s="1102"/>
      <c r="G344" s="1103"/>
      <c r="H344" s="1104"/>
      <c r="I344" s="1105"/>
      <c r="J344" s="1056"/>
    </row>
    <row r="345" spans="1:10" ht="14" thickTop="1" x14ac:dyDescent="0.15">
      <c r="A345" s="1238"/>
    </row>
    <row r="346" spans="1:10" ht="22" x14ac:dyDescent="0.25">
      <c r="A346" s="1238"/>
      <c r="D346" s="1058" t="s">
        <v>593</v>
      </c>
      <c r="F346" s="1059"/>
    </row>
    <row r="347" spans="1:10" ht="23" thickBot="1" x14ac:dyDescent="0.3">
      <c r="A347" s="1238"/>
      <c r="D347" s="1060"/>
    </row>
    <row r="348" spans="1:10" ht="23" thickTop="1" x14ac:dyDescent="0.25">
      <c r="A348" s="1238"/>
      <c r="D348" s="1060"/>
      <c r="E348" s="1232" t="str">
        <f>E305</f>
        <v>Coûts des ressources alimentaires pour chaque produit offert (voir recettes standardisées)</v>
      </c>
      <c r="F348" s="1232" t="str">
        <f>F305</f>
        <v>Prix de vente par produit offert</v>
      </c>
      <c r="G348" s="1232" t="str">
        <f>G305</f>
        <v xml:space="preserve">« Food &amp; Beverage Cost » </v>
      </c>
      <c r="H348" s="1232" t="str">
        <f>H305</f>
        <v>Marge brute gagnée sur la vente de chaque produit offert</v>
      </c>
      <c r="I348" s="1061"/>
    </row>
    <row r="349" spans="1:10" ht="22" x14ac:dyDescent="0.25">
      <c r="A349" s="1238"/>
      <c r="D349" s="1060"/>
      <c r="E349" s="1233"/>
      <c r="F349" s="1235"/>
      <c r="G349" s="1235"/>
      <c r="H349" s="1235"/>
      <c r="I349" s="1062"/>
    </row>
    <row r="350" spans="1:10" ht="14" thickBot="1" x14ac:dyDescent="0.2">
      <c r="A350" s="1238"/>
      <c r="E350" s="1234"/>
      <c r="F350" s="1236"/>
      <c r="G350" s="1236"/>
      <c r="H350" s="1236"/>
      <c r="I350" s="1062"/>
    </row>
    <row r="351" spans="1:10" ht="14" thickTop="1" x14ac:dyDescent="0.15">
      <c r="A351" s="1238"/>
      <c r="B351" s="161" t="s">
        <v>2</v>
      </c>
      <c r="E351" s="1059"/>
      <c r="F351" s="1059"/>
      <c r="G351" s="315"/>
    </row>
    <row r="352" spans="1:10" ht="16" x14ac:dyDescent="0.2">
      <c r="A352" s="1238"/>
      <c r="B352" s="1056"/>
      <c r="C352" s="1056"/>
      <c r="D352" s="1063" t="str">
        <f t="shared" ref="D352:D365" si="76">D309</f>
        <v>Les gâteries</v>
      </c>
      <c r="E352" s="1064"/>
      <c r="F352" s="1064"/>
      <c r="G352" s="1065"/>
      <c r="H352" s="1056"/>
      <c r="I352" s="1056"/>
      <c r="J352" s="1056"/>
    </row>
    <row r="353" spans="1:10" ht="16" x14ac:dyDescent="0.2">
      <c r="A353" s="1238"/>
      <c r="B353" s="1056">
        <f t="shared" ref="B353:C364" si="77">B310</f>
        <v>1</v>
      </c>
      <c r="C353" s="1056">
        <f t="shared" si="77"/>
        <v>1</v>
      </c>
      <c r="D353" s="1056" t="str">
        <f t="shared" si="76"/>
        <v>Gâterie 1</v>
      </c>
      <c r="E353" s="1066">
        <f t="shared" ref="E353:F364" si="78">E310</f>
        <v>0.76</v>
      </c>
      <c r="F353" s="1066">
        <f t="shared" si="78"/>
        <v>3.3</v>
      </c>
      <c r="G353" s="1067">
        <f t="shared" ref="G353:G365" si="79">E353/F353</f>
        <v>0.23030303030303031</v>
      </c>
      <c r="H353" s="1068">
        <f t="shared" ref="H353:H365" si="80">F353-E353</f>
        <v>2.54</v>
      </c>
      <c r="I353" s="1064"/>
      <c r="J353" s="1056"/>
    </row>
    <row r="354" spans="1:10" ht="16" x14ac:dyDescent="0.2">
      <c r="A354" s="1238"/>
      <c r="B354" s="1056">
        <f t="shared" si="77"/>
        <v>2</v>
      </c>
      <c r="C354" s="1056">
        <f t="shared" si="77"/>
        <v>2</v>
      </c>
      <c r="D354" s="1056" t="str">
        <f t="shared" si="76"/>
        <v>Gâterie 2</v>
      </c>
      <c r="E354" s="1066">
        <f t="shared" si="78"/>
        <v>0.86</v>
      </c>
      <c r="F354" s="1066">
        <f t="shared" si="78"/>
        <v>3.8</v>
      </c>
      <c r="G354" s="1067">
        <f t="shared" si="79"/>
        <v>0.22631578947368422</v>
      </c>
      <c r="H354" s="1068">
        <f t="shared" si="80"/>
        <v>2.94</v>
      </c>
      <c r="I354" s="1064"/>
      <c r="J354" s="1056"/>
    </row>
    <row r="355" spans="1:10" ht="16" x14ac:dyDescent="0.2">
      <c r="A355" s="1238"/>
      <c r="B355" s="1056">
        <f t="shared" si="77"/>
        <v>3</v>
      </c>
      <c r="C355" s="1056">
        <f t="shared" si="77"/>
        <v>3</v>
      </c>
      <c r="D355" s="1056" t="str">
        <f t="shared" si="76"/>
        <v>Gâterie 3</v>
      </c>
      <c r="E355" s="1066">
        <f t="shared" si="78"/>
        <v>0.9</v>
      </c>
      <c r="F355" s="1066">
        <f t="shared" si="78"/>
        <v>4</v>
      </c>
      <c r="G355" s="1067">
        <f t="shared" si="79"/>
        <v>0.22500000000000001</v>
      </c>
      <c r="H355" s="1068">
        <f t="shared" si="80"/>
        <v>3.1</v>
      </c>
      <c r="I355" s="1064"/>
      <c r="J355" s="1056"/>
    </row>
    <row r="356" spans="1:10" ht="16" x14ac:dyDescent="0.2">
      <c r="A356" s="1238"/>
      <c r="B356" s="1056">
        <f t="shared" si="77"/>
        <v>4</v>
      </c>
      <c r="C356" s="1056">
        <f t="shared" si="77"/>
        <v>4</v>
      </c>
      <c r="D356" s="1056" t="str">
        <f t="shared" si="76"/>
        <v>Gâterie 4</v>
      </c>
      <c r="E356" s="1066">
        <f t="shared" si="78"/>
        <v>1</v>
      </c>
      <c r="F356" s="1066">
        <f t="shared" si="78"/>
        <v>4.5</v>
      </c>
      <c r="G356" s="1067">
        <f t="shared" si="79"/>
        <v>0.22222222222222221</v>
      </c>
      <c r="H356" s="1068">
        <f t="shared" si="80"/>
        <v>3.5</v>
      </c>
      <c r="I356" s="1064"/>
      <c r="J356" s="1056"/>
    </row>
    <row r="357" spans="1:10" ht="16" x14ac:dyDescent="0.2">
      <c r="A357" s="1238"/>
      <c r="B357" s="1056">
        <f t="shared" si="77"/>
        <v>5</v>
      </c>
      <c r="C357" s="1056">
        <f t="shared" si="77"/>
        <v>5</v>
      </c>
      <c r="D357" s="1056" t="str">
        <f t="shared" si="76"/>
        <v>Gâterie 5</v>
      </c>
      <c r="E357" s="1066">
        <f t="shared" si="78"/>
        <v>1.02</v>
      </c>
      <c r="F357" s="1066">
        <f t="shared" si="78"/>
        <v>4.5999999999999996</v>
      </c>
      <c r="G357" s="1067">
        <f t="shared" si="79"/>
        <v>0.22173913043478263</v>
      </c>
      <c r="H357" s="1068">
        <f t="shared" si="80"/>
        <v>3.5799999999999996</v>
      </c>
      <c r="I357" s="1064"/>
      <c r="J357" s="1056"/>
    </row>
    <row r="358" spans="1:10" ht="16" x14ac:dyDescent="0.2">
      <c r="A358" s="1238"/>
      <c r="B358" s="1056">
        <f t="shared" si="77"/>
        <v>6</v>
      </c>
      <c r="C358" s="1056">
        <f t="shared" si="77"/>
        <v>6</v>
      </c>
      <c r="D358" s="1056" t="str">
        <f t="shared" si="76"/>
        <v>Gâterie 6</v>
      </c>
      <c r="E358" s="1066">
        <f t="shared" si="78"/>
        <v>1.04</v>
      </c>
      <c r="F358" s="1066">
        <f t="shared" si="78"/>
        <v>4.7</v>
      </c>
      <c r="G358" s="1067">
        <f t="shared" si="79"/>
        <v>0.22127659574468084</v>
      </c>
      <c r="H358" s="1068">
        <f t="shared" si="80"/>
        <v>3.66</v>
      </c>
      <c r="I358" s="1064"/>
      <c r="J358" s="1056"/>
    </row>
    <row r="359" spans="1:10" ht="16" x14ac:dyDescent="0.2">
      <c r="A359" s="1238"/>
      <c r="B359" s="1056">
        <f t="shared" si="77"/>
        <v>7</v>
      </c>
      <c r="C359" s="1056">
        <f t="shared" si="77"/>
        <v>7</v>
      </c>
      <c r="D359" s="1056" t="str">
        <f t="shared" si="76"/>
        <v>Gâterie 7</v>
      </c>
      <c r="E359" s="1066">
        <f t="shared" si="78"/>
        <v>1.06</v>
      </c>
      <c r="F359" s="1066">
        <f t="shared" si="78"/>
        <v>4.8</v>
      </c>
      <c r="G359" s="1067">
        <f t="shared" si="79"/>
        <v>0.22083333333333335</v>
      </c>
      <c r="H359" s="1068">
        <f t="shared" si="80"/>
        <v>3.7399999999999998</v>
      </c>
      <c r="I359" s="1064"/>
      <c r="J359" s="1056"/>
    </row>
    <row r="360" spans="1:10" ht="16" x14ac:dyDescent="0.2">
      <c r="A360" s="1238"/>
      <c r="B360" s="1056">
        <f t="shared" si="77"/>
        <v>8</v>
      </c>
      <c r="C360" s="1056">
        <f t="shared" si="77"/>
        <v>8</v>
      </c>
      <c r="D360" s="1056" t="str">
        <f t="shared" si="76"/>
        <v>Gâterie 8</v>
      </c>
      <c r="E360" s="1066">
        <f t="shared" si="78"/>
        <v>1.08</v>
      </c>
      <c r="F360" s="1066">
        <f t="shared" si="78"/>
        <v>4.9000000000000004</v>
      </c>
      <c r="G360" s="1067">
        <f t="shared" si="79"/>
        <v>0.22040816326530613</v>
      </c>
      <c r="H360" s="1068">
        <f t="shared" si="80"/>
        <v>3.8200000000000003</v>
      </c>
      <c r="I360" s="1064"/>
      <c r="J360" s="1056"/>
    </row>
    <row r="361" spans="1:10" ht="16" x14ac:dyDescent="0.2">
      <c r="A361" s="1238"/>
      <c r="B361" s="1056">
        <f t="shared" si="77"/>
        <v>9</v>
      </c>
      <c r="C361" s="1056">
        <f t="shared" si="77"/>
        <v>9</v>
      </c>
      <c r="D361" s="1056" t="str">
        <f t="shared" si="76"/>
        <v>Gâterie 9</v>
      </c>
      <c r="E361" s="1066">
        <f t="shared" si="78"/>
        <v>1.1000000000000001</v>
      </c>
      <c r="F361" s="1066">
        <f t="shared" si="78"/>
        <v>5</v>
      </c>
      <c r="G361" s="1067">
        <f t="shared" si="79"/>
        <v>0.22000000000000003</v>
      </c>
      <c r="H361" s="1068">
        <f t="shared" si="80"/>
        <v>3.9</v>
      </c>
      <c r="I361" s="1064"/>
      <c r="J361" s="1056"/>
    </row>
    <row r="362" spans="1:10" ht="16" x14ac:dyDescent="0.2">
      <c r="A362" s="1238"/>
      <c r="B362" s="1056">
        <f t="shared" si="77"/>
        <v>10</v>
      </c>
      <c r="C362" s="1056">
        <f t="shared" si="77"/>
        <v>10</v>
      </c>
      <c r="D362" s="1056" t="str">
        <f t="shared" si="76"/>
        <v>Gâterie 10</v>
      </c>
      <c r="E362" s="1066">
        <f t="shared" si="78"/>
        <v>1.1399999999999999</v>
      </c>
      <c r="F362" s="1066">
        <f t="shared" si="78"/>
        <v>5.2</v>
      </c>
      <c r="G362" s="1067">
        <f t="shared" si="79"/>
        <v>0.2192307692307692</v>
      </c>
      <c r="H362" s="1068">
        <f t="shared" si="80"/>
        <v>4.0600000000000005</v>
      </c>
      <c r="I362" s="1064"/>
      <c r="J362" s="1056"/>
    </row>
    <row r="363" spans="1:10" ht="16" x14ac:dyDescent="0.2">
      <c r="A363" s="1238"/>
      <c r="B363" s="1056">
        <f t="shared" si="77"/>
        <v>11</v>
      </c>
      <c r="C363" s="1056">
        <f t="shared" si="77"/>
        <v>11</v>
      </c>
      <c r="D363" s="1056" t="str">
        <f t="shared" si="76"/>
        <v>Gâterie 11</v>
      </c>
      <c r="E363" s="1066">
        <f t="shared" si="78"/>
        <v>1.38</v>
      </c>
      <c r="F363" s="1066">
        <f t="shared" si="78"/>
        <v>6.4</v>
      </c>
      <c r="G363" s="1067">
        <f t="shared" si="79"/>
        <v>0.21562499999999998</v>
      </c>
      <c r="H363" s="1068">
        <f t="shared" si="80"/>
        <v>5.0200000000000005</v>
      </c>
      <c r="I363" s="1064"/>
      <c r="J363" s="1056"/>
    </row>
    <row r="364" spans="1:10" ht="16" x14ac:dyDescent="0.2">
      <c r="A364" s="1238"/>
      <c r="B364" s="1056">
        <f t="shared" si="77"/>
        <v>12</v>
      </c>
      <c r="C364" s="1056">
        <f t="shared" si="77"/>
        <v>12</v>
      </c>
      <c r="D364" s="1056" t="str">
        <f t="shared" si="76"/>
        <v>Gâterie 12</v>
      </c>
      <c r="E364" s="1066">
        <f t="shared" si="78"/>
        <v>1.42</v>
      </c>
      <c r="F364" s="1066">
        <f t="shared" si="78"/>
        <v>6.6</v>
      </c>
      <c r="G364" s="1067">
        <f t="shared" si="79"/>
        <v>0.21515151515151515</v>
      </c>
      <c r="H364" s="1068">
        <f t="shared" si="80"/>
        <v>5.18</v>
      </c>
      <c r="I364" s="1064"/>
      <c r="J364" s="1056"/>
    </row>
    <row r="365" spans="1:10" ht="19" x14ac:dyDescent="0.35">
      <c r="A365" s="1238"/>
      <c r="B365" s="1056"/>
      <c r="C365" s="1056"/>
      <c r="D365" s="1063" t="str">
        <f t="shared" si="76"/>
        <v>CmO—PmO—Food Cost—BmO</v>
      </c>
      <c r="E365" s="1072">
        <f>SUM(E353:E364)/C364</f>
        <v>1.0633333333333332</v>
      </c>
      <c r="F365" s="1072">
        <f>SUM(F353:F364)/C364</f>
        <v>4.8166666666666673</v>
      </c>
      <c r="G365" s="1073">
        <f t="shared" si="79"/>
        <v>0.22076124567474043</v>
      </c>
      <c r="H365" s="1074">
        <f t="shared" si="80"/>
        <v>3.7533333333333339</v>
      </c>
      <c r="I365" s="1075"/>
      <c r="J365" s="1056"/>
    </row>
    <row r="366" spans="1:10" ht="16" x14ac:dyDescent="0.2">
      <c r="A366" s="1238"/>
      <c r="B366" s="1056" t="s">
        <v>2</v>
      </c>
      <c r="C366" s="1056"/>
      <c r="D366" s="1056"/>
      <c r="E366" s="1066"/>
      <c r="F366" s="1066"/>
      <c r="G366" s="1067"/>
      <c r="H366" s="1076"/>
      <c r="I366" s="1056"/>
      <c r="J366" s="1056"/>
    </row>
    <row r="367" spans="1:10" ht="16" x14ac:dyDescent="0.2">
      <c r="A367" s="1238"/>
      <c r="B367" s="1056"/>
      <c r="C367" s="1056"/>
      <c r="D367" s="1063" t="str">
        <f t="shared" ref="D367:D380" si="81">D324</f>
        <v>Les cafés gâteries</v>
      </c>
      <c r="E367" s="1066"/>
      <c r="F367" s="1066"/>
      <c r="G367" s="1067"/>
      <c r="H367" s="1076"/>
      <c r="I367" s="1056"/>
      <c r="J367" s="1056"/>
    </row>
    <row r="368" spans="1:10" ht="16" x14ac:dyDescent="0.2">
      <c r="A368" s="1238"/>
      <c r="B368" s="1056">
        <f t="shared" ref="B368:C379" si="82">B325</f>
        <v>13</v>
      </c>
      <c r="C368" s="1056">
        <f t="shared" si="82"/>
        <v>1</v>
      </c>
      <c r="D368" s="1056" t="str">
        <f t="shared" si="81"/>
        <v>Café gâterie le spécial 1</v>
      </c>
      <c r="E368" s="1066">
        <f t="shared" ref="E368:F379" si="83">E325</f>
        <v>1.1399999999999999</v>
      </c>
      <c r="F368" s="1066">
        <f t="shared" si="83"/>
        <v>3.3</v>
      </c>
      <c r="G368" s="1067">
        <f>E368/F368</f>
        <v>0.34545454545454546</v>
      </c>
      <c r="H368" s="1068">
        <f>F368-E368</f>
        <v>2.16</v>
      </c>
      <c r="I368" s="1064"/>
      <c r="J368" s="1056"/>
    </row>
    <row r="369" spans="1:10" ht="16" x14ac:dyDescent="0.2">
      <c r="A369" s="1238"/>
      <c r="B369" s="1056">
        <f t="shared" si="82"/>
        <v>14</v>
      </c>
      <c r="C369" s="1056">
        <f t="shared" si="82"/>
        <v>2</v>
      </c>
      <c r="D369" s="1056" t="str">
        <f t="shared" si="81"/>
        <v>Café gâterie le spécial 2</v>
      </c>
      <c r="E369" s="1066">
        <f t="shared" si="83"/>
        <v>1.33</v>
      </c>
      <c r="F369" s="1066">
        <f t="shared" si="83"/>
        <v>3.8</v>
      </c>
      <c r="G369" s="1067">
        <f>E369/F369</f>
        <v>0.35000000000000003</v>
      </c>
      <c r="H369" s="1068">
        <f>F369-E369</f>
        <v>2.4699999999999998</v>
      </c>
      <c r="I369" s="1064"/>
      <c r="J369" s="1056"/>
    </row>
    <row r="370" spans="1:10" ht="16" x14ac:dyDescent="0.2">
      <c r="A370" s="1238"/>
      <c r="B370" s="1056">
        <f t="shared" si="82"/>
        <v>15</v>
      </c>
      <c r="C370" s="1056">
        <f t="shared" si="82"/>
        <v>3</v>
      </c>
      <c r="D370" s="1056" t="str">
        <f t="shared" si="81"/>
        <v>Café gâterie le spécial 3</v>
      </c>
      <c r="E370" s="1066">
        <f t="shared" si="83"/>
        <v>1.37</v>
      </c>
      <c r="F370" s="1066">
        <f t="shared" si="83"/>
        <v>4</v>
      </c>
      <c r="G370" s="1067">
        <f>E370/F370</f>
        <v>0.34250000000000003</v>
      </c>
      <c r="H370" s="1068">
        <f>F370-E370</f>
        <v>2.63</v>
      </c>
      <c r="I370" s="1064"/>
      <c r="J370" s="1056"/>
    </row>
    <row r="371" spans="1:10" ht="16" x14ac:dyDescent="0.2">
      <c r="A371" s="1238"/>
      <c r="B371" s="1056">
        <f t="shared" si="82"/>
        <v>16</v>
      </c>
      <c r="C371" s="1056">
        <f t="shared" si="82"/>
        <v>4</v>
      </c>
      <c r="D371" s="1056" t="str">
        <f t="shared" si="81"/>
        <v>Café gâterie le spécial 4</v>
      </c>
      <c r="E371" s="1066">
        <f t="shared" si="83"/>
        <v>1.36</v>
      </c>
      <c r="F371" s="1066">
        <f t="shared" si="83"/>
        <v>4.5</v>
      </c>
      <c r="G371" s="1067">
        <f t="shared" ref="G371:G378" si="84">E371/F371</f>
        <v>0.30222222222222223</v>
      </c>
      <c r="H371" s="1068">
        <f t="shared" ref="H371:H378" si="85">F371-E371</f>
        <v>3.1399999999999997</v>
      </c>
      <c r="I371" s="1064"/>
      <c r="J371" s="1056"/>
    </row>
    <row r="372" spans="1:10" ht="16" x14ac:dyDescent="0.2">
      <c r="A372" s="1238"/>
      <c r="B372" s="1056">
        <f t="shared" si="82"/>
        <v>17</v>
      </c>
      <c r="C372" s="1056">
        <f t="shared" si="82"/>
        <v>5</v>
      </c>
      <c r="D372" s="1056" t="str">
        <f t="shared" si="81"/>
        <v>Café gâterie le spécial 5</v>
      </c>
      <c r="E372" s="1066">
        <f t="shared" si="83"/>
        <v>1.38</v>
      </c>
      <c r="F372" s="1066">
        <f t="shared" si="83"/>
        <v>4.5999999999999996</v>
      </c>
      <c r="G372" s="1067">
        <f t="shared" si="84"/>
        <v>0.3</v>
      </c>
      <c r="H372" s="1068">
        <f t="shared" si="85"/>
        <v>3.2199999999999998</v>
      </c>
      <c r="I372" s="1064"/>
      <c r="J372" s="1056"/>
    </row>
    <row r="373" spans="1:10" ht="16" x14ac:dyDescent="0.2">
      <c r="A373" s="1238"/>
      <c r="B373" s="1056">
        <f t="shared" si="82"/>
        <v>18</v>
      </c>
      <c r="C373" s="1056">
        <f t="shared" si="82"/>
        <v>6</v>
      </c>
      <c r="D373" s="1056" t="str">
        <f t="shared" si="81"/>
        <v>Café gâterie le spécial 6</v>
      </c>
      <c r="E373" s="1066">
        <f t="shared" si="83"/>
        <v>1.4</v>
      </c>
      <c r="F373" s="1066">
        <f t="shared" si="83"/>
        <v>4.7</v>
      </c>
      <c r="G373" s="1067">
        <f t="shared" si="84"/>
        <v>0.2978723404255319</v>
      </c>
      <c r="H373" s="1068">
        <f t="shared" si="85"/>
        <v>3.3000000000000003</v>
      </c>
      <c r="I373" s="1064"/>
      <c r="J373" s="1056"/>
    </row>
    <row r="374" spans="1:10" ht="16" x14ac:dyDescent="0.2">
      <c r="A374" s="1238"/>
      <c r="B374" s="1056">
        <f t="shared" si="82"/>
        <v>19</v>
      </c>
      <c r="C374" s="1056">
        <f t="shared" si="82"/>
        <v>7</v>
      </c>
      <c r="D374" s="1056" t="str">
        <f t="shared" si="81"/>
        <v>Café gâterie le spécial 7</v>
      </c>
      <c r="E374" s="1066">
        <f t="shared" si="83"/>
        <v>1.41</v>
      </c>
      <c r="F374" s="1066">
        <f t="shared" si="83"/>
        <v>4.8</v>
      </c>
      <c r="G374" s="1067">
        <f t="shared" si="84"/>
        <v>0.29375000000000001</v>
      </c>
      <c r="H374" s="1068">
        <f t="shared" si="85"/>
        <v>3.3899999999999997</v>
      </c>
      <c r="I374" s="1064"/>
      <c r="J374" s="1056"/>
    </row>
    <row r="375" spans="1:10" ht="16" x14ac:dyDescent="0.2">
      <c r="A375" s="1238"/>
      <c r="B375" s="1056">
        <f t="shared" si="82"/>
        <v>20</v>
      </c>
      <c r="C375" s="1056">
        <f t="shared" si="82"/>
        <v>8</v>
      </c>
      <c r="D375" s="1056" t="str">
        <f t="shared" si="81"/>
        <v>Café gâterie le spécial 8</v>
      </c>
      <c r="E375" s="1066">
        <f t="shared" si="83"/>
        <v>1.43</v>
      </c>
      <c r="F375" s="1066">
        <f t="shared" si="83"/>
        <v>4.9000000000000004</v>
      </c>
      <c r="G375" s="1067">
        <f t="shared" si="84"/>
        <v>0.2918367346938775</v>
      </c>
      <c r="H375" s="1068">
        <f t="shared" si="85"/>
        <v>3.4700000000000006</v>
      </c>
      <c r="I375" s="1064"/>
      <c r="J375" s="1056"/>
    </row>
    <row r="376" spans="1:10" ht="16" x14ac:dyDescent="0.2">
      <c r="A376" s="1238"/>
      <c r="B376" s="1056">
        <f t="shared" si="82"/>
        <v>21</v>
      </c>
      <c r="C376" s="1056">
        <f t="shared" si="82"/>
        <v>9</v>
      </c>
      <c r="D376" s="1056" t="str">
        <f t="shared" si="81"/>
        <v>Café gâterie le spécial 9</v>
      </c>
      <c r="E376" s="1066">
        <f t="shared" si="83"/>
        <v>1.45</v>
      </c>
      <c r="F376" s="1066">
        <f t="shared" si="83"/>
        <v>5</v>
      </c>
      <c r="G376" s="1067">
        <f t="shared" si="84"/>
        <v>0.28999999999999998</v>
      </c>
      <c r="H376" s="1068">
        <f t="shared" si="85"/>
        <v>3.55</v>
      </c>
      <c r="I376" s="1064"/>
      <c r="J376" s="1056"/>
    </row>
    <row r="377" spans="1:10" ht="16" x14ac:dyDescent="0.2">
      <c r="A377" s="1238"/>
      <c r="B377" s="1056">
        <f t="shared" si="82"/>
        <v>22</v>
      </c>
      <c r="C377" s="1056">
        <f t="shared" si="82"/>
        <v>10</v>
      </c>
      <c r="D377" s="1056" t="str">
        <f t="shared" si="81"/>
        <v>Café gâterie le spécial 10</v>
      </c>
      <c r="E377" s="1066">
        <f t="shared" si="83"/>
        <v>1.49</v>
      </c>
      <c r="F377" s="1066">
        <f t="shared" si="83"/>
        <v>5.2</v>
      </c>
      <c r="G377" s="1067">
        <f t="shared" si="84"/>
        <v>0.28653846153846152</v>
      </c>
      <c r="H377" s="1068">
        <f t="shared" si="85"/>
        <v>3.71</v>
      </c>
      <c r="I377" s="1064"/>
      <c r="J377" s="1056"/>
    </row>
    <row r="378" spans="1:10" ht="16" x14ac:dyDescent="0.2">
      <c r="A378" s="1238"/>
      <c r="B378" s="1056">
        <f t="shared" si="82"/>
        <v>23</v>
      </c>
      <c r="C378" s="1056">
        <f t="shared" si="82"/>
        <v>11</v>
      </c>
      <c r="D378" s="1056" t="str">
        <f t="shared" si="81"/>
        <v>Café gâterie le spécial 11</v>
      </c>
      <c r="E378" s="1066">
        <f t="shared" si="83"/>
        <v>1.59</v>
      </c>
      <c r="F378" s="1066">
        <f t="shared" si="83"/>
        <v>5.8</v>
      </c>
      <c r="G378" s="1067">
        <f t="shared" si="84"/>
        <v>0.27413793103448281</v>
      </c>
      <c r="H378" s="1068">
        <f t="shared" si="85"/>
        <v>4.21</v>
      </c>
      <c r="I378" s="1064"/>
      <c r="J378" s="1056"/>
    </row>
    <row r="379" spans="1:10" ht="16" x14ac:dyDescent="0.2">
      <c r="A379" s="1238"/>
      <c r="B379" s="1056">
        <f t="shared" si="82"/>
        <v>24</v>
      </c>
      <c r="C379" s="1056">
        <f t="shared" si="82"/>
        <v>12</v>
      </c>
      <c r="D379" s="1056" t="str">
        <f t="shared" si="81"/>
        <v>Café gâterie le spécial 12</v>
      </c>
      <c r="E379" s="1066">
        <f t="shared" si="83"/>
        <v>1.74</v>
      </c>
      <c r="F379" s="1066">
        <f t="shared" si="83"/>
        <v>6.6</v>
      </c>
      <c r="G379" s="1067">
        <f>E379/F379</f>
        <v>0.26363636363636367</v>
      </c>
      <c r="H379" s="1068">
        <f>F379-E379</f>
        <v>4.8599999999999994</v>
      </c>
      <c r="I379" s="1064"/>
      <c r="J379" s="1056"/>
    </row>
    <row r="380" spans="1:10" ht="19" x14ac:dyDescent="0.35">
      <c r="A380" s="1238"/>
      <c r="B380" s="1056"/>
      <c r="C380" s="1056"/>
      <c r="D380" s="1063" t="str">
        <f t="shared" si="81"/>
        <v>CmO—PmO—Beverage Cost—Marge brute</v>
      </c>
      <c r="E380" s="1072">
        <f>SUM(E368:E379)/C379</f>
        <v>1.4241666666666666</v>
      </c>
      <c r="F380" s="1072">
        <f>SUM(F368:F379)/C379</f>
        <v>4.7666666666666666</v>
      </c>
      <c r="G380" s="1077">
        <f>E380/F380</f>
        <v>0.29877622377622376</v>
      </c>
      <c r="H380" s="1074">
        <f>F380-E380</f>
        <v>3.3425000000000002</v>
      </c>
      <c r="I380" s="1075"/>
      <c r="J380" s="1056"/>
    </row>
    <row r="381" spans="1:10" ht="17" thickBot="1" x14ac:dyDescent="0.25">
      <c r="A381" s="1238"/>
      <c r="B381" s="1056"/>
      <c r="C381" s="1056"/>
      <c r="D381" s="1056"/>
      <c r="E381" s="1066"/>
      <c r="F381" s="1066"/>
      <c r="G381" s="1065"/>
      <c r="H381" s="1076"/>
      <c r="I381" s="1056"/>
      <c r="J381" s="1056"/>
    </row>
    <row r="382" spans="1:10" ht="21" thickTop="1" thickBot="1" x14ac:dyDescent="0.4">
      <c r="A382" s="1238"/>
      <c r="B382" s="1056"/>
      <c r="C382" s="1078"/>
      <c r="D382" s="1079"/>
      <c r="E382" s="1080"/>
      <c r="F382" s="1080"/>
      <c r="G382" s="1081"/>
      <c r="H382" s="1082"/>
      <c r="I382" s="1083"/>
      <c r="J382" s="1056"/>
    </row>
    <row r="383" spans="1:10" ht="18" thickTop="1" thickBot="1" x14ac:dyDescent="0.25">
      <c r="A383" s="1238"/>
      <c r="B383" s="1056"/>
      <c r="C383" s="1085"/>
      <c r="D383" s="1063"/>
      <c r="E383" s="1086" t="str">
        <f>E340</f>
        <v>CmO</v>
      </c>
      <c r="F383" s="1086" t="str">
        <f>F340</f>
        <v>PmO</v>
      </c>
      <c r="G383" s="1087" t="str">
        <f>G340</f>
        <v>F&amp;BCmO</v>
      </c>
      <c r="H383" s="1113" t="str">
        <f>H340</f>
        <v>BmO</v>
      </c>
      <c r="I383" s="1088"/>
      <c r="J383" s="1056"/>
    </row>
    <row r="384" spans="1:10" ht="17" thickTop="1" x14ac:dyDescent="0.2">
      <c r="A384" s="1238"/>
      <c r="B384" s="1056"/>
      <c r="C384" s="1085"/>
      <c r="D384" s="1089" t="str">
        <f>D341</f>
        <v>OFFRE TOTALE AVEC LES GÂTERIES ET LES CAFÉS GÂTERIES</v>
      </c>
      <c r="E384" s="1066"/>
      <c r="F384" s="1066"/>
      <c r="G384" s="1065"/>
      <c r="H384" s="1076"/>
      <c r="I384" s="1090"/>
      <c r="J384" s="1056"/>
    </row>
    <row r="385" spans="1:10" ht="19" x14ac:dyDescent="0.35">
      <c r="A385" s="1238"/>
      <c r="B385" s="1056"/>
      <c r="C385" s="1085"/>
      <c r="D385" s="1063" t="str">
        <f>D342</f>
        <v>CmO—PmO—F&amp;B cost moyen offert—Marge brute</v>
      </c>
      <c r="E385" s="1093">
        <f>+(E353+E354+E355+E356+E357+E358+E359+E360+E361+E362+E363+E364+E368+E369+E370+E371+E372+E373+E374+E375+E376+E377+E378+E379)/B379</f>
        <v>1.2437499999999997</v>
      </c>
      <c r="F385" s="1093">
        <f>+(F353+F354+F355+F356+F357+F358+F359+F360+F361+F362+F363+F364+F368+F369+F370+F371+F372+F373+F374+F375+F376+F377+F378+F379)/B379</f>
        <v>4.791666666666667</v>
      </c>
      <c r="G385" s="1094">
        <f>E385/F385</f>
        <v>0.25956521739130428</v>
      </c>
      <c r="H385" s="1095">
        <f>F385-E385</f>
        <v>3.5479166666666675</v>
      </c>
      <c r="I385" s="1096"/>
      <c r="J385" s="1056"/>
    </row>
    <row r="386" spans="1:10" ht="16" x14ac:dyDescent="0.2">
      <c r="A386" s="1238"/>
      <c r="B386" s="1056"/>
      <c r="C386" s="1085"/>
      <c r="D386" s="1056"/>
      <c r="E386" s="1069"/>
      <c r="F386" s="1069"/>
      <c r="G386" s="1070"/>
      <c r="H386" s="1097"/>
      <c r="I386" s="1098"/>
      <c r="J386" s="1056"/>
    </row>
    <row r="387" spans="1:10" ht="17" thickBot="1" x14ac:dyDescent="0.25">
      <c r="A387" s="1238"/>
      <c r="B387" s="1056"/>
      <c r="C387" s="1100"/>
      <c r="D387" s="1101"/>
      <c r="E387" s="1102"/>
      <c r="F387" s="1102"/>
      <c r="G387" s="1103"/>
      <c r="H387" s="1104"/>
      <c r="I387" s="1105"/>
      <c r="J387" s="1056"/>
    </row>
    <row r="388" spans="1:10" ht="14" thickTop="1" x14ac:dyDescent="0.15">
      <c r="A388" s="1238"/>
    </row>
    <row r="389" spans="1:10" ht="22" x14ac:dyDescent="0.25">
      <c r="A389" s="1238"/>
      <c r="D389" s="1058" t="s">
        <v>594</v>
      </c>
      <c r="F389" s="1059"/>
    </row>
    <row r="390" spans="1:10" ht="23" thickBot="1" x14ac:dyDescent="0.3">
      <c r="A390" s="1238"/>
      <c r="D390" s="1060"/>
    </row>
    <row r="391" spans="1:10" ht="23" thickTop="1" x14ac:dyDescent="0.25">
      <c r="A391" s="1238"/>
      <c r="D391" s="1060"/>
      <c r="E391" s="1232" t="str">
        <f>E348</f>
        <v>Coûts des ressources alimentaires pour chaque produit offert (voir recettes standardisées)</v>
      </c>
      <c r="F391" s="1232" t="str">
        <f>F348</f>
        <v>Prix de vente par produit offert</v>
      </c>
      <c r="G391" s="1232" t="str">
        <f>G348</f>
        <v xml:space="preserve">« Food &amp; Beverage Cost » </v>
      </c>
      <c r="H391" s="1232" t="str">
        <f>H348</f>
        <v>Marge brute gagnée sur la vente de chaque produit offert</v>
      </c>
      <c r="I391" s="1061"/>
    </row>
    <row r="392" spans="1:10" ht="22" x14ac:dyDescent="0.25">
      <c r="A392" s="1238"/>
      <c r="D392" s="1060"/>
      <c r="E392" s="1233"/>
      <c r="F392" s="1235"/>
      <c r="G392" s="1235"/>
      <c r="H392" s="1235"/>
      <c r="I392" s="1062"/>
    </row>
    <row r="393" spans="1:10" ht="14" thickBot="1" x14ac:dyDescent="0.2">
      <c r="A393" s="1238"/>
      <c r="E393" s="1234"/>
      <c r="F393" s="1236"/>
      <c r="G393" s="1236"/>
      <c r="H393" s="1236"/>
      <c r="I393" s="1062"/>
    </row>
    <row r="394" spans="1:10" ht="14" thickTop="1" x14ac:dyDescent="0.15">
      <c r="A394" s="1238"/>
      <c r="B394" s="161" t="s">
        <v>2</v>
      </c>
      <c r="E394" s="1059"/>
      <c r="F394" s="1059"/>
      <c r="G394" s="315"/>
    </row>
    <row r="395" spans="1:10" ht="16" x14ac:dyDescent="0.2">
      <c r="A395" s="1238"/>
      <c r="B395" s="1056"/>
      <c r="C395" s="1056"/>
      <c r="D395" s="1063" t="str">
        <f t="shared" ref="D395:D408" si="86">D352</f>
        <v>Les gâteries</v>
      </c>
      <c r="E395" s="1064"/>
      <c r="F395" s="1064"/>
      <c r="G395" s="1065"/>
      <c r="H395" s="1056"/>
      <c r="I395" s="1056"/>
      <c r="J395" s="1056"/>
    </row>
    <row r="396" spans="1:10" ht="16" x14ac:dyDescent="0.2">
      <c r="A396" s="1238"/>
      <c r="B396" s="1056">
        <f t="shared" ref="B396:C407" si="87">B353</f>
        <v>1</v>
      </c>
      <c r="C396" s="1056">
        <f t="shared" si="87"/>
        <v>1</v>
      </c>
      <c r="D396" s="1056" t="str">
        <f t="shared" si="86"/>
        <v>Gâterie 1</v>
      </c>
      <c r="E396" s="1066">
        <f t="shared" ref="E396:F407" si="88">E353</f>
        <v>0.76</v>
      </c>
      <c r="F396" s="1108">
        <f t="shared" si="88"/>
        <v>3.3</v>
      </c>
      <c r="G396" s="1067">
        <f t="shared" ref="G396:G408" si="89">E396/F396</f>
        <v>0.23030303030303031</v>
      </c>
      <c r="H396" s="1068">
        <f t="shared" ref="H396:H408" si="90">F396-E396</f>
        <v>2.54</v>
      </c>
      <c r="I396" s="1064"/>
      <c r="J396" s="1056"/>
    </row>
    <row r="397" spans="1:10" ht="16" x14ac:dyDescent="0.2">
      <c r="A397" s="1238"/>
      <c r="B397" s="1056">
        <f t="shared" si="87"/>
        <v>2</v>
      </c>
      <c r="C397" s="1056">
        <f t="shared" si="87"/>
        <v>2</v>
      </c>
      <c r="D397" s="1056" t="str">
        <f t="shared" si="86"/>
        <v>Gâterie 2</v>
      </c>
      <c r="E397" s="1066">
        <f t="shared" si="88"/>
        <v>0.86</v>
      </c>
      <c r="F397" s="1066">
        <f t="shared" si="88"/>
        <v>3.8</v>
      </c>
      <c r="G397" s="1067">
        <f t="shared" si="89"/>
        <v>0.22631578947368422</v>
      </c>
      <c r="H397" s="1068">
        <f t="shared" si="90"/>
        <v>2.94</v>
      </c>
      <c r="I397" s="1064"/>
      <c r="J397" s="1056"/>
    </row>
    <row r="398" spans="1:10" ht="16" x14ac:dyDescent="0.2">
      <c r="A398" s="1238"/>
      <c r="B398" s="1056">
        <f t="shared" si="87"/>
        <v>3</v>
      </c>
      <c r="C398" s="1056">
        <f t="shared" si="87"/>
        <v>3</v>
      </c>
      <c r="D398" s="1056" t="str">
        <f t="shared" si="86"/>
        <v>Gâterie 3</v>
      </c>
      <c r="E398" s="1066">
        <f t="shared" si="88"/>
        <v>0.9</v>
      </c>
      <c r="F398" s="1066">
        <f t="shared" si="88"/>
        <v>4</v>
      </c>
      <c r="G398" s="1067">
        <f t="shared" si="89"/>
        <v>0.22500000000000001</v>
      </c>
      <c r="H398" s="1068">
        <f t="shared" si="90"/>
        <v>3.1</v>
      </c>
      <c r="I398" s="1064"/>
      <c r="J398" s="1056"/>
    </row>
    <row r="399" spans="1:10" ht="16" x14ac:dyDescent="0.2">
      <c r="A399" s="1238"/>
      <c r="B399" s="1056">
        <f t="shared" si="87"/>
        <v>4</v>
      </c>
      <c r="C399" s="1056">
        <f t="shared" si="87"/>
        <v>4</v>
      </c>
      <c r="D399" s="1056" t="str">
        <f t="shared" si="86"/>
        <v>Gâterie 4</v>
      </c>
      <c r="E399" s="1066">
        <f t="shared" si="88"/>
        <v>1</v>
      </c>
      <c r="F399" s="1066">
        <f t="shared" si="88"/>
        <v>4.5</v>
      </c>
      <c r="G399" s="1067">
        <f t="shared" si="89"/>
        <v>0.22222222222222221</v>
      </c>
      <c r="H399" s="1068">
        <f t="shared" si="90"/>
        <v>3.5</v>
      </c>
      <c r="I399" s="1064"/>
      <c r="J399" s="1056"/>
    </row>
    <row r="400" spans="1:10" ht="16" x14ac:dyDescent="0.2">
      <c r="A400" s="1238"/>
      <c r="B400" s="1056">
        <f t="shared" si="87"/>
        <v>5</v>
      </c>
      <c r="C400" s="1056">
        <f t="shared" si="87"/>
        <v>5</v>
      </c>
      <c r="D400" s="1056" t="str">
        <f t="shared" si="86"/>
        <v>Gâterie 5</v>
      </c>
      <c r="E400" s="1066">
        <f t="shared" si="88"/>
        <v>1.02</v>
      </c>
      <c r="F400" s="1066">
        <f t="shared" si="88"/>
        <v>4.5999999999999996</v>
      </c>
      <c r="G400" s="1067">
        <f t="shared" si="89"/>
        <v>0.22173913043478263</v>
      </c>
      <c r="H400" s="1068">
        <f t="shared" si="90"/>
        <v>3.5799999999999996</v>
      </c>
      <c r="I400" s="1064"/>
      <c r="J400" s="1056"/>
    </row>
    <row r="401" spans="1:10" ht="16" x14ac:dyDescent="0.2">
      <c r="A401" s="1238"/>
      <c r="B401" s="1056">
        <f t="shared" si="87"/>
        <v>6</v>
      </c>
      <c r="C401" s="1056">
        <f t="shared" si="87"/>
        <v>6</v>
      </c>
      <c r="D401" s="1056" t="str">
        <f t="shared" si="86"/>
        <v>Gâterie 6</v>
      </c>
      <c r="E401" s="1066">
        <f t="shared" si="88"/>
        <v>1.04</v>
      </c>
      <c r="F401" s="1066">
        <f t="shared" si="88"/>
        <v>4.7</v>
      </c>
      <c r="G401" s="1067">
        <f t="shared" si="89"/>
        <v>0.22127659574468084</v>
      </c>
      <c r="H401" s="1068">
        <f t="shared" si="90"/>
        <v>3.66</v>
      </c>
      <c r="I401" s="1064"/>
      <c r="J401" s="1056"/>
    </row>
    <row r="402" spans="1:10" ht="16" x14ac:dyDescent="0.2">
      <c r="A402" s="1238"/>
      <c r="B402" s="1056">
        <f t="shared" si="87"/>
        <v>7</v>
      </c>
      <c r="C402" s="1056">
        <f t="shared" si="87"/>
        <v>7</v>
      </c>
      <c r="D402" s="1056" t="str">
        <f t="shared" si="86"/>
        <v>Gâterie 7</v>
      </c>
      <c r="E402" s="1066">
        <f t="shared" si="88"/>
        <v>1.06</v>
      </c>
      <c r="F402" s="1066">
        <f t="shared" si="88"/>
        <v>4.8</v>
      </c>
      <c r="G402" s="1067">
        <f t="shared" si="89"/>
        <v>0.22083333333333335</v>
      </c>
      <c r="H402" s="1068">
        <f t="shared" si="90"/>
        <v>3.7399999999999998</v>
      </c>
      <c r="I402" s="1064"/>
      <c r="J402" s="1056"/>
    </row>
    <row r="403" spans="1:10" ht="16" x14ac:dyDescent="0.2">
      <c r="A403" s="1238"/>
      <c r="B403" s="1056">
        <f t="shared" si="87"/>
        <v>8</v>
      </c>
      <c r="C403" s="1056">
        <f t="shared" si="87"/>
        <v>8</v>
      </c>
      <c r="D403" s="1056" t="str">
        <f t="shared" si="86"/>
        <v>Gâterie 8</v>
      </c>
      <c r="E403" s="1066">
        <f t="shared" si="88"/>
        <v>1.08</v>
      </c>
      <c r="F403" s="1066">
        <f t="shared" si="88"/>
        <v>4.9000000000000004</v>
      </c>
      <c r="G403" s="1067">
        <f t="shared" si="89"/>
        <v>0.22040816326530613</v>
      </c>
      <c r="H403" s="1068">
        <f t="shared" si="90"/>
        <v>3.8200000000000003</v>
      </c>
      <c r="I403" s="1064"/>
      <c r="J403" s="1056"/>
    </row>
    <row r="404" spans="1:10" ht="16" x14ac:dyDescent="0.2">
      <c r="A404" s="1238"/>
      <c r="B404" s="1056">
        <f t="shared" si="87"/>
        <v>9</v>
      </c>
      <c r="C404" s="1056">
        <f t="shared" si="87"/>
        <v>9</v>
      </c>
      <c r="D404" s="1056" t="str">
        <f t="shared" si="86"/>
        <v>Gâterie 9</v>
      </c>
      <c r="E404" s="1066">
        <f t="shared" si="88"/>
        <v>1.1000000000000001</v>
      </c>
      <c r="F404" s="1066">
        <f t="shared" si="88"/>
        <v>5</v>
      </c>
      <c r="G404" s="1067">
        <f t="shared" si="89"/>
        <v>0.22000000000000003</v>
      </c>
      <c r="H404" s="1068">
        <f t="shared" si="90"/>
        <v>3.9</v>
      </c>
      <c r="I404" s="1064"/>
      <c r="J404" s="1056"/>
    </row>
    <row r="405" spans="1:10" ht="16" x14ac:dyDescent="0.2">
      <c r="A405" s="1238"/>
      <c r="B405" s="1056">
        <f t="shared" si="87"/>
        <v>10</v>
      </c>
      <c r="C405" s="1056">
        <f t="shared" si="87"/>
        <v>10</v>
      </c>
      <c r="D405" s="1056" t="str">
        <f t="shared" si="86"/>
        <v>Gâterie 10</v>
      </c>
      <c r="E405" s="1066">
        <f t="shared" si="88"/>
        <v>1.1399999999999999</v>
      </c>
      <c r="F405" s="1066">
        <f t="shared" si="88"/>
        <v>5.2</v>
      </c>
      <c r="G405" s="1067">
        <f t="shared" si="89"/>
        <v>0.2192307692307692</v>
      </c>
      <c r="H405" s="1068">
        <f t="shared" si="90"/>
        <v>4.0600000000000005</v>
      </c>
      <c r="I405" s="1064"/>
      <c r="J405" s="1056"/>
    </row>
    <row r="406" spans="1:10" ht="16" x14ac:dyDescent="0.2">
      <c r="A406" s="1238"/>
      <c r="B406" s="1056">
        <f t="shared" si="87"/>
        <v>11</v>
      </c>
      <c r="C406" s="1056">
        <f t="shared" si="87"/>
        <v>11</v>
      </c>
      <c r="D406" s="1056" t="str">
        <f t="shared" si="86"/>
        <v>Gâterie 11</v>
      </c>
      <c r="E406" s="1066">
        <f t="shared" si="88"/>
        <v>1.38</v>
      </c>
      <c r="F406" s="1066">
        <f t="shared" si="88"/>
        <v>6.4</v>
      </c>
      <c r="G406" s="1067">
        <f t="shared" si="89"/>
        <v>0.21562499999999998</v>
      </c>
      <c r="H406" s="1068">
        <f t="shared" si="90"/>
        <v>5.0200000000000005</v>
      </c>
      <c r="I406" s="1064"/>
      <c r="J406" s="1056"/>
    </row>
    <row r="407" spans="1:10" ht="16" x14ac:dyDescent="0.2">
      <c r="A407" s="1238"/>
      <c r="B407" s="1056">
        <f t="shared" si="87"/>
        <v>12</v>
      </c>
      <c r="C407" s="1056">
        <f t="shared" si="87"/>
        <v>12</v>
      </c>
      <c r="D407" s="1056" t="str">
        <f t="shared" si="86"/>
        <v>Gâterie 12</v>
      </c>
      <c r="E407" s="1066">
        <f t="shared" si="88"/>
        <v>1.42</v>
      </c>
      <c r="F407" s="1066">
        <f t="shared" si="88"/>
        <v>6.6</v>
      </c>
      <c r="G407" s="1067">
        <f t="shared" si="89"/>
        <v>0.21515151515151515</v>
      </c>
      <c r="H407" s="1068">
        <f t="shared" si="90"/>
        <v>5.18</v>
      </c>
      <c r="I407" s="1064"/>
      <c r="J407" s="1056"/>
    </row>
    <row r="408" spans="1:10" ht="19" x14ac:dyDescent="0.35">
      <c r="A408" s="1238"/>
      <c r="B408" s="1056"/>
      <c r="C408" s="1056"/>
      <c r="D408" s="1063" t="str">
        <f t="shared" si="86"/>
        <v>CmO—PmO—Food Cost—BmO</v>
      </c>
      <c r="E408" s="1072">
        <f>SUM(E396:E407)/C407</f>
        <v>1.0633333333333332</v>
      </c>
      <c r="F408" s="1072">
        <f>SUM(F396:F407)/C407</f>
        <v>4.8166666666666673</v>
      </c>
      <c r="G408" s="1073">
        <f t="shared" si="89"/>
        <v>0.22076124567474043</v>
      </c>
      <c r="H408" s="1074">
        <f t="shared" si="90"/>
        <v>3.7533333333333339</v>
      </c>
      <c r="I408" s="1075"/>
      <c r="J408" s="1056"/>
    </row>
    <row r="409" spans="1:10" ht="16" x14ac:dyDescent="0.2">
      <c r="A409" s="1238"/>
      <c r="B409" s="1056" t="s">
        <v>2</v>
      </c>
      <c r="C409" s="1056"/>
      <c r="D409" s="1056"/>
      <c r="E409" s="1066"/>
      <c r="F409" s="1066"/>
      <c r="G409" s="1067"/>
      <c r="H409" s="1076"/>
      <c r="I409" s="1056"/>
      <c r="J409" s="1056"/>
    </row>
    <row r="410" spans="1:10" ht="16" x14ac:dyDescent="0.2">
      <c r="A410" s="1238"/>
      <c r="B410" s="1056"/>
      <c r="C410" s="1056"/>
      <c r="D410" s="1063" t="str">
        <f t="shared" ref="D410:D423" si="91">D367</f>
        <v>Les cafés gâteries</v>
      </c>
      <c r="E410" s="1066"/>
      <c r="F410" s="1066"/>
      <c r="G410" s="1067"/>
      <c r="H410" s="1076"/>
      <c r="I410" s="1056"/>
      <c r="J410" s="1056"/>
    </row>
    <row r="411" spans="1:10" ht="16" x14ac:dyDescent="0.2">
      <c r="A411" s="1238"/>
      <c r="B411" s="1056">
        <f t="shared" ref="B411:C422" si="92">B368</f>
        <v>13</v>
      </c>
      <c r="C411" s="1056">
        <f t="shared" si="92"/>
        <v>1</v>
      </c>
      <c r="D411" s="1056" t="str">
        <f t="shared" si="91"/>
        <v>Café gâterie le spécial 1</v>
      </c>
      <c r="E411" s="1066">
        <f t="shared" ref="E411:F422" si="93">E368</f>
        <v>1.1399999999999999</v>
      </c>
      <c r="F411" s="1108">
        <f t="shared" si="93"/>
        <v>3.3</v>
      </c>
      <c r="G411" s="1067">
        <f>E411/F411</f>
        <v>0.34545454545454546</v>
      </c>
      <c r="H411" s="1068">
        <f>F411-E411</f>
        <v>2.16</v>
      </c>
      <c r="I411" s="1064"/>
      <c r="J411" s="1056"/>
    </row>
    <row r="412" spans="1:10" ht="16" x14ac:dyDescent="0.2">
      <c r="A412" s="1238"/>
      <c r="B412" s="1056">
        <f t="shared" si="92"/>
        <v>14</v>
      </c>
      <c r="C412" s="1056">
        <f t="shared" si="92"/>
        <v>2</v>
      </c>
      <c r="D412" s="1056" t="str">
        <f t="shared" si="91"/>
        <v>Café gâterie le spécial 2</v>
      </c>
      <c r="E412" s="1066">
        <f t="shared" si="93"/>
        <v>1.33</v>
      </c>
      <c r="F412" s="1066">
        <f t="shared" si="93"/>
        <v>3.8</v>
      </c>
      <c r="G412" s="1067">
        <f>E412/F412</f>
        <v>0.35000000000000003</v>
      </c>
      <c r="H412" s="1068">
        <f>F412-E412</f>
        <v>2.4699999999999998</v>
      </c>
      <c r="I412" s="1064"/>
      <c r="J412" s="1056"/>
    </row>
    <row r="413" spans="1:10" ht="16" x14ac:dyDescent="0.2">
      <c r="A413" s="1238"/>
      <c r="B413" s="1056">
        <f t="shared" si="92"/>
        <v>15</v>
      </c>
      <c r="C413" s="1056">
        <f t="shared" si="92"/>
        <v>3</v>
      </c>
      <c r="D413" s="1056" t="str">
        <f t="shared" si="91"/>
        <v>Café gâterie le spécial 3</v>
      </c>
      <c r="E413" s="1066">
        <f t="shared" si="93"/>
        <v>1.37</v>
      </c>
      <c r="F413" s="1066">
        <f t="shared" si="93"/>
        <v>4</v>
      </c>
      <c r="G413" s="1067">
        <f>E413/F413</f>
        <v>0.34250000000000003</v>
      </c>
      <c r="H413" s="1068">
        <f>F413-E413</f>
        <v>2.63</v>
      </c>
      <c r="I413" s="1064"/>
      <c r="J413" s="1056"/>
    </row>
    <row r="414" spans="1:10" ht="16" x14ac:dyDescent="0.2">
      <c r="A414" s="1238"/>
      <c r="B414" s="1056">
        <f t="shared" si="92"/>
        <v>16</v>
      </c>
      <c r="C414" s="1056">
        <f t="shared" si="92"/>
        <v>4</v>
      </c>
      <c r="D414" s="1056" t="str">
        <f t="shared" si="91"/>
        <v>Café gâterie le spécial 4</v>
      </c>
      <c r="E414" s="1066">
        <f t="shared" si="93"/>
        <v>1.36</v>
      </c>
      <c r="F414" s="1066">
        <f t="shared" si="93"/>
        <v>4.5</v>
      </c>
      <c r="G414" s="1067">
        <f t="shared" ref="G414:G421" si="94">E414/F414</f>
        <v>0.30222222222222223</v>
      </c>
      <c r="H414" s="1068">
        <f t="shared" ref="H414:H421" si="95">F414-E414</f>
        <v>3.1399999999999997</v>
      </c>
      <c r="I414" s="1064"/>
      <c r="J414" s="1056"/>
    </row>
    <row r="415" spans="1:10" ht="16" x14ac:dyDescent="0.2">
      <c r="A415" s="1238"/>
      <c r="B415" s="1056">
        <f t="shared" si="92"/>
        <v>17</v>
      </c>
      <c r="C415" s="1056">
        <f t="shared" si="92"/>
        <v>5</v>
      </c>
      <c r="D415" s="1056" t="str">
        <f t="shared" si="91"/>
        <v>Café gâterie le spécial 5</v>
      </c>
      <c r="E415" s="1066">
        <f t="shared" si="93"/>
        <v>1.38</v>
      </c>
      <c r="F415" s="1066">
        <f t="shared" si="93"/>
        <v>4.5999999999999996</v>
      </c>
      <c r="G415" s="1067">
        <f t="shared" si="94"/>
        <v>0.3</v>
      </c>
      <c r="H415" s="1068">
        <f t="shared" si="95"/>
        <v>3.2199999999999998</v>
      </c>
      <c r="I415" s="1064"/>
      <c r="J415" s="1056"/>
    </row>
    <row r="416" spans="1:10" ht="16" x14ac:dyDescent="0.2">
      <c r="A416" s="1238"/>
      <c r="B416" s="1056">
        <f t="shared" si="92"/>
        <v>18</v>
      </c>
      <c r="C416" s="1056">
        <f t="shared" si="92"/>
        <v>6</v>
      </c>
      <c r="D416" s="1056" t="str">
        <f t="shared" si="91"/>
        <v>Café gâterie le spécial 6</v>
      </c>
      <c r="E416" s="1066">
        <f t="shared" si="93"/>
        <v>1.4</v>
      </c>
      <c r="F416" s="1066">
        <f t="shared" si="93"/>
        <v>4.7</v>
      </c>
      <c r="G416" s="1067">
        <f t="shared" si="94"/>
        <v>0.2978723404255319</v>
      </c>
      <c r="H416" s="1068">
        <f t="shared" si="95"/>
        <v>3.3000000000000003</v>
      </c>
      <c r="I416" s="1064"/>
      <c r="J416" s="1056"/>
    </row>
    <row r="417" spans="1:10" ht="16" x14ac:dyDescent="0.2">
      <c r="A417" s="1238"/>
      <c r="B417" s="1056">
        <f t="shared" si="92"/>
        <v>19</v>
      </c>
      <c r="C417" s="1056">
        <f t="shared" si="92"/>
        <v>7</v>
      </c>
      <c r="D417" s="1056" t="str">
        <f t="shared" si="91"/>
        <v>Café gâterie le spécial 7</v>
      </c>
      <c r="E417" s="1066">
        <f t="shared" si="93"/>
        <v>1.41</v>
      </c>
      <c r="F417" s="1066">
        <f t="shared" si="93"/>
        <v>4.8</v>
      </c>
      <c r="G417" s="1067">
        <f t="shared" si="94"/>
        <v>0.29375000000000001</v>
      </c>
      <c r="H417" s="1068">
        <f t="shared" si="95"/>
        <v>3.3899999999999997</v>
      </c>
      <c r="I417" s="1064"/>
      <c r="J417" s="1056"/>
    </row>
    <row r="418" spans="1:10" ht="16" x14ac:dyDescent="0.2">
      <c r="A418" s="1238"/>
      <c r="B418" s="1056">
        <f t="shared" si="92"/>
        <v>20</v>
      </c>
      <c r="C418" s="1056">
        <f t="shared" si="92"/>
        <v>8</v>
      </c>
      <c r="D418" s="1056" t="str">
        <f t="shared" si="91"/>
        <v>Café gâterie le spécial 8</v>
      </c>
      <c r="E418" s="1066">
        <f t="shared" si="93"/>
        <v>1.43</v>
      </c>
      <c r="F418" s="1066">
        <f t="shared" si="93"/>
        <v>4.9000000000000004</v>
      </c>
      <c r="G418" s="1067">
        <f t="shared" si="94"/>
        <v>0.2918367346938775</v>
      </c>
      <c r="H418" s="1068">
        <f t="shared" si="95"/>
        <v>3.4700000000000006</v>
      </c>
      <c r="I418" s="1064"/>
      <c r="J418" s="1056"/>
    </row>
    <row r="419" spans="1:10" ht="16" x14ac:dyDescent="0.2">
      <c r="A419" s="1238"/>
      <c r="B419" s="1056">
        <f t="shared" si="92"/>
        <v>21</v>
      </c>
      <c r="C419" s="1056">
        <f t="shared" si="92"/>
        <v>9</v>
      </c>
      <c r="D419" s="1056" t="str">
        <f t="shared" si="91"/>
        <v>Café gâterie le spécial 9</v>
      </c>
      <c r="E419" s="1066">
        <f t="shared" si="93"/>
        <v>1.45</v>
      </c>
      <c r="F419" s="1066">
        <f t="shared" si="93"/>
        <v>5</v>
      </c>
      <c r="G419" s="1067">
        <f t="shared" si="94"/>
        <v>0.28999999999999998</v>
      </c>
      <c r="H419" s="1068">
        <f t="shared" si="95"/>
        <v>3.55</v>
      </c>
      <c r="I419" s="1064"/>
      <c r="J419" s="1056"/>
    </row>
    <row r="420" spans="1:10" ht="16" x14ac:dyDescent="0.2">
      <c r="A420" s="1238"/>
      <c r="B420" s="1056">
        <f t="shared" si="92"/>
        <v>22</v>
      </c>
      <c r="C420" s="1056">
        <f t="shared" si="92"/>
        <v>10</v>
      </c>
      <c r="D420" s="1056" t="str">
        <f t="shared" si="91"/>
        <v>Café gâterie le spécial 10</v>
      </c>
      <c r="E420" s="1066">
        <f t="shared" si="93"/>
        <v>1.49</v>
      </c>
      <c r="F420" s="1066">
        <f t="shared" si="93"/>
        <v>5.2</v>
      </c>
      <c r="G420" s="1067">
        <f t="shared" si="94"/>
        <v>0.28653846153846152</v>
      </c>
      <c r="H420" s="1068">
        <f t="shared" si="95"/>
        <v>3.71</v>
      </c>
      <c r="I420" s="1064"/>
      <c r="J420" s="1056"/>
    </row>
    <row r="421" spans="1:10" ht="16" x14ac:dyDescent="0.2">
      <c r="A421" s="1238"/>
      <c r="B421" s="1056">
        <f t="shared" si="92"/>
        <v>23</v>
      </c>
      <c r="C421" s="1056">
        <f t="shared" si="92"/>
        <v>11</v>
      </c>
      <c r="D421" s="1056" t="str">
        <f t="shared" si="91"/>
        <v>Café gâterie le spécial 11</v>
      </c>
      <c r="E421" s="1066">
        <f t="shared" si="93"/>
        <v>1.59</v>
      </c>
      <c r="F421" s="1066">
        <f t="shared" si="93"/>
        <v>5.8</v>
      </c>
      <c r="G421" s="1067">
        <f t="shared" si="94"/>
        <v>0.27413793103448281</v>
      </c>
      <c r="H421" s="1068">
        <f t="shared" si="95"/>
        <v>4.21</v>
      </c>
      <c r="I421" s="1064"/>
      <c r="J421" s="1056"/>
    </row>
    <row r="422" spans="1:10" ht="16" x14ac:dyDescent="0.2">
      <c r="A422" s="1238"/>
      <c r="B422" s="1056">
        <f t="shared" si="92"/>
        <v>24</v>
      </c>
      <c r="C422" s="1056">
        <f t="shared" si="92"/>
        <v>12</v>
      </c>
      <c r="D422" s="1056" t="str">
        <f t="shared" si="91"/>
        <v>Café gâterie le spécial 12</v>
      </c>
      <c r="E422" s="1066">
        <f t="shared" si="93"/>
        <v>1.74</v>
      </c>
      <c r="F422" s="1066">
        <f t="shared" si="93"/>
        <v>6.6</v>
      </c>
      <c r="G422" s="1067">
        <f>E422/F422</f>
        <v>0.26363636363636367</v>
      </c>
      <c r="H422" s="1068">
        <f>F422-E422</f>
        <v>4.8599999999999994</v>
      </c>
      <c r="I422" s="1064"/>
      <c r="J422" s="1056"/>
    </row>
    <row r="423" spans="1:10" ht="19" x14ac:dyDescent="0.35">
      <c r="A423" s="1238"/>
      <c r="B423" s="1056"/>
      <c r="C423" s="1056"/>
      <c r="D423" s="1063" t="str">
        <f t="shared" si="91"/>
        <v>CmO—PmO—Beverage Cost—Marge brute</v>
      </c>
      <c r="E423" s="1072">
        <f>SUM(E411:E422)/C422</f>
        <v>1.4241666666666666</v>
      </c>
      <c r="F423" s="1072">
        <f>SUM(F411:F422)/C422</f>
        <v>4.7666666666666666</v>
      </c>
      <c r="G423" s="1077">
        <f>E423/F423</f>
        <v>0.29877622377622376</v>
      </c>
      <c r="H423" s="1074">
        <f>F423-E423</f>
        <v>3.3425000000000002</v>
      </c>
      <c r="I423" s="1075"/>
      <c r="J423" s="1056"/>
    </row>
    <row r="424" spans="1:10" ht="17" thickBot="1" x14ac:dyDescent="0.25">
      <c r="A424" s="1238"/>
      <c r="B424" s="1056"/>
      <c r="C424" s="1056"/>
      <c r="D424" s="1056"/>
      <c r="E424" s="1066"/>
      <c r="F424" s="1066"/>
      <c r="G424" s="1065"/>
      <c r="H424" s="1076"/>
      <c r="I424" s="1056"/>
      <c r="J424" s="1056"/>
    </row>
    <row r="425" spans="1:10" ht="21" thickTop="1" thickBot="1" x14ac:dyDescent="0.4">
      <c r="A425" s="1238"/>
      <c r="B425" s="1056"/>
      <c r="C425" s="1078"/>
      <c r="D425" s="1079"/>
      <c r="E425" s="1080"/>
      <c r="F425" s="1080"/>
      <c r="G425" s="1081"/>
      <c r="H425" s="1082"/>
      <c r="I425" s="1083"/>
      <c r="J425" s="1056"/>
    </row>
    <row r="426" spans="1:10" ht="18" thickTop="1" thickBot="1" x14ac:dyDescent="0.25">
      <c r="A426" s="1238"/>
      <c r="B426" s="1056"/>
      <c r="C426" s="1085"/>
      <c r="D426" s="1063"/>
      <c r="E426" s="1086" t="str">
        <f>E383</f>
        <v>CmO</v>
      </c>
      <c r="F426" s="1086" t="str">
        <f>F383</f>
        <v>PmO</v>
      </c>
      <c r="G426" s="1087" t="str">
        <f>G383</f>
        <v>F&amp;BCmO</v>
      </c>
      <c r="H426" s="1113" t="str">
        <f>H383</f>
        <v>BmO</v>
      </c>
      <c r="I426" s="1088"/>
      <c r="J426" s="1056"/>
    </row>
    <row r="427" spans="1:10" ht="17" thickTop="1" x14ac:dyDescent="0.2">
      <c r="A427" s="1238"/>
      <c r="B427" s="1056"/>
      <c r="C427" s="1085"/>
      <c r="D427" s="1089" t="str">
        <f>D384</f>
        <v>OFFRE TOTALE AVEC LES GÂTERIES ET LES CAFÉS GÂTERIES</v>
      </c>
      <c r="E427" s="1066"/>
      <c r="F427" s="1066"/>
      <c r="G427" s="1065"/>
      <c r="H427" s="1076"/>
      <c r="I427" s="1090"/>
      <c r="J427" s="1056"/>
    </row>
    <row r="428" spans="1:10" ht="19" x14ac:dyDescent="0.35">
      <c r="A428" s="1238"/>
      <c r="B428" s="1056"/>
      <c r="C428" s="1085"/>
      <c r="D428" s="1063" t="str">
        <f>D385</f>
        <v>CmO—PmO—F&amp;B cost moyen offert—Marge brute</v>
      </c>
      <c r="E428" s="1093">
        <f>+(E396+E397+E398+E399+E400+E401+E402+E403+E404+E405+E406+E407+E411+E412+E413+E414+E415+E416+E417+E418+E419+E420+E421+E422)/B422</f>
        <v>1.2437499999999997</v>
      </c>
      <c r="F428" s="1093">
        <f>+(F396+F397+F398+F399+F400+F401+F402+F403+F404+F405+F406+F407+F411+F412+F413+F414+F415+F416+F417+F418+F419+F420+F421+F422)/B422</f>
        <v>4.791666666666667</v>
      </c>
      <c r="G428" s="1094">
        <f>E428/F428</f>
        <v>0.25956521739130428</v>
      </c>
      <c r="H428" s="1095">
        <f>F428-E428</f>
        <v>3.5479166666666675</v>
      </c>
      <c r="I428" s="1096"/>
      <c r="J428" s="1056"/>
    </row>
    <row r="429" spans="1:10" ht="16" x14ac:dyDescent="0.2">
      <c r="A429" s="1238"/>
      <c r="B429" s="1056"/>
      <c r="C429" s="1085"/>
      <c r="D429" s="1056"/>
      <c r="E429" s="1069"/>
      <c r="F429" s="1069"/>
      <c r="G429" s="1070"/>
      <c r="H429" s="1097"/>
      <c r="I429" s="1098"/>
      <c r="J429" s="1056"/>
    </row>
    <row r="430" spans="1:10" ht="17" thickBot="1" x14ac:dyDescent="0.25">
      <c r="A430" s="1238"/>
      <c r="B430" s="1056"/>
      <c r="C430" s="1100"/>
      <c r="D430" s="1101"/>
      <c r="E430" s="1102"/>
      <c r="F430" s="1102"/>
      <c r="G430" s="1103"/>
      <c r="H430" s="1104"/>
      <c r="I430" s="1105"/>
      <c r="J430" s="1056"/>
    </row>
    <row r="431" spans="1:10" ht="14" thickTop="1" x14ac:dyDescent="0.15">
      <c r="A431" s="1238"/>
    </row>
    <row r="432" spans="1:10" ht="22" x14ac:dyDescent="0.25">
      <c r="A432" s="1238"/>
      <c r="D432" s="1058" t="s">
        <v>595</v>
      </c>
      <c r="F432" s="1059"/>
    </row>
    <row r="433" spans="1:10" ht="23" thickBot="1" x14ac:dyDescent="0.3">
      <c r="A433" s="1238"/>
      <c r="D433" s="1060"/>
    </row>
    <row r="434" spans="1:10" ht="23" thickTop="1" x14ac:dyDescent="0.25">
      <c r="A434" s="1238"/>
      <c r="D434" s="1060"/>
      <c r="E434" s="1232" t="str">
        <f>E391</f>
        <v>Coûts des ressources alimentaires pour chaque produit offert (voir recettes standardisées)</v>
      </c>
      <c r="F434" s="1232" t="str">
        <f>F391</f>
        <v>Prix de vente par produit offert</v>
      </c>
      <c r="G434" s="1232" t="str">
        <f>G391</f>
        <v xml:space="preserve">« Food &amp; Beverage Cost » </v>
      </c>
      <c r="H434" s="1232" t="str">
        <f>H391</f>
        <v>Marge brute gagnée sur la vente de chaque produit offert</v>
      </c>
      <c r="I434" s="1061"/>
    </row>
    <row r="435" spans="1:10" ht="22" x14ac:dyDescent="0.25">
      <c r="A435" s="1238"/>
      <c r="D435" s="1060"/>
      <c r="E435" s="1233"/>
      <c r="F435" s="1235"/>
      <c r="G435" s="1235"/>
      <c r="H435" s="1235"/>
      <c r="I435" s="1062"/>
    </row>
    <row r="436" spans="1:10" ht="14" thickBot="1" x14ac:dyDescent="0.2">
      <c r="A436" s="1238"/>
      <c r="E436" s="1234"/>
      <c r="F436" s="1236"/>
      <c r="G436" s="1236"/>
      <c r="H436" s="1236"/>
      <c r="I436" s="1062"/>
    </row>
    <row r="437" spans="1:10" ht="14" thickTop="1" x14ac:dyDescent="0.15">
      <c r="A437" s="1238"/>
      <c r="B437" s="161" t="s">
        <v>2</v>
      </c>
      <c r="E437" s="1059"/>
      <c r="F437" s="1059"/>
      <c r="G437" s="315"/>
    </row>
    <row r="438" spans="1:10" ht="16" x14ac:dyDescent="0.2">
      <c r="A438" s="1238"/>
      <c r="B438" s="1056"/>
      <c r="C438" s="1056"/>
      <c r="D438" s="1063" t="str">
        <f t="shared" ref="D438:D451" si="96">D395</f>
        <v>Les gâteries</v>
      </c>
      <c r="E438" s="1064"/>
      <c r="F438" s="1064"/>
      <c r="G438" s="1065"/>
      <c r="H438" s="1056"/>
      <c r="I438" s="1056"/>
      <c r="J438" s="1056"/>
    </row>
    <row r="439" spans="1:10" ht="16" x14ac:dyDescent="0.2">
      <c r="A439" s="1238"/>
      <c r="B439" s="1056">
        <f t="shared" ref="B439:C450" si="97">B396</f>
        <v>1</v>
      </c>
      <c r="C439" s="1056">
        <f t="shared" si="97"/>
        <v>1</v>
      </c>
      <c r="D439" s="1056" t="str">
        <f t="shared" si="96"/>
        <v>Gâterie 1</v>
      </c>
      <c r="E439" s="1066">
        <f t="shared" ref="E439:F450" si="98">E396</f>
        <v>0.76</v>
      </c>
      <c r="F439" s="1066">
        <f t="shared" si="98"/>
        <v>3.3</v>
      </c>
      <c r="G439" s="1067">
        <f t="shared" ref="G439:G451" si="99">E439/F439</f>
        <v>0.23030303030303031</v>
      </c>
      <c r="H439" s="1068">
        <f t="shared" ref="H439:H451" si="100">F439-E439</f>
        <v>2.54</v>
      </c>
      <c r="I439" s="1064"/>
      <c r="J439" s="1056"/>
    </row>
    <row r="440" spans="1:10" ht="16" x14ac:dyDescent="0.2">
      <c r="A440" s="1238"/>
      <c r="B440" s="1056">
        <f t="shared" si="97"/>
        <v>2</v>
      </c>
      <c r="C440" s="1056">
        <f t="shared" si="97"/>
        <v>2</v>
      </c>
      <c r="D440" s="1056" t="str">
        <f t="shared" si="96"/>
        <v>Gâterie 2</v>
      </c>
      <c r="E440" s="1066">
        <f t="shared" si="98"/>
        <v>0.86</v>
      </c>
      <c r="F440" s="1066">
        <f t="shared" si="98"/>
        <v>3.8</v>
      </c>
      <c r="G440" s="1067">
        <f t="shared" si="99"/>
        <v>0.22631578947368422</v>
      </c>
      <c r="H440" s="1068">
        <f t="shared" si="100"/>
        <v>2.94</v>
      </c>
      <c r="I440" s="1064"/>
      <c r="J440" s="1056"/>
    </row>
    <row r="441" spans="1:10" ht="16" x14ac:dyDescent="0.2">
      <c r="A441" s="1238"/>
      <c r="B441" s="1056">
        <f t="shared" si="97"/>
        <v>3</v>
      </c>
      <c r="C441" s="1056">
        <f t="shared" si="97"/>
        <v>3</v>
      </c>
      <c r="D441" s="1056" t="str">
        <f t="shared" si="96"/>
        <v>Gâterie 3</v>
      </c>
      <c r="E441" s="1066">
        <f t="shared" si="98"/>
        <v>0.9</v>
      </c>
      <c r="F441" s="1066">
        <f t="shared" si="98"/>
        <v>4</v>
      </c>
      <c r="G441" s="1067">
        <f t="shared" si="99"/>
        <v>0.22500000000000001</v>
      </c>
      <c r="H441" s="1068">
        <f t="shared" si="100"/>
        <v>3.1</v>
      </c>
      <c r="I441" s="1064"/>
      <c r="J441" s="1056"/>
    </row>
    <row r="442" spans="1:10" ht="16" x14ac:dyDescent="0.2">
      <c r="A442" s="1238"/>
      <c r="B442" s="1056">
        <f t="shared" si="97"/>
        <v>4</v>
      </c>
      <c r="C442" s="1056">
        <f t="shared" si="97"/>
        <v>4</v>
      </c>
      <c r="D442" s="1056" t="str">
        <f t="shared" si="96"/>
        <v>Gâterie 4</v>
      </c>
      <c r="E442" s="1066">
        <f t="shared" si="98"/>
        <v>1</v>
      </c>
      <c r="F442" s="1066">
        <f t="shared" si="98"/>
        <v>4.5</v>
      </c>
      <c r="G442" s="1067">
        <f t="shared" si="99"/>
        <v>0.22222222222222221</v>
      </c>
      <c r="H442" s="1068">
        <f t="shared" si="100"/>
        <v>3.5</v>
      </c>
      <c r="I442" s="1064"/>
      <c r="J442" s="1056"/>
    </row>
    <row r="443" spans="1:10" ht="16" x14ac:dyDescent="0.2">
      <c r="A443" s="1238"/>
      <c r="B443" s="1056">
        <f t="shared" si="97"/>
        <v>5</v>
      </c>
      <c r="C443" s="1056">
        <f t="shared" si="97"/>
        <v>5</v>
      </c>
      <c r="D443" s="1056" t="str">
        <f t="shared" si="96"/>
        <v>Gâterie 5</v>
      </c>
      <c r="E443" s="1066">
        <f t="shared" si="98"/>
        <v>1.02</v>
      </c>
      <c r="F443" s="1066">
        <f t="shared" si="98"/>
        <v>4.5999999999999996</v>
      </c>
      <c r="G443" s="1067">
        <f t="shared" si="99"/>
        <v>0.22173913043478263</v>
      </c>
      <c r="H443" s="1068">
        <f t="shared" si="100"/>
        <v>3.5799999999999996</v>
      </c>
      <c r="I443" s="1064"/>
      <c r="J443" s="1056"/>
    </row>
    <row r="444" spans="1:10" ht="16" x14ac:dyDescent="0.2">
      <c r="A444" s="1238"/>
      <c r="B444" s="1056">
        <f t="shared" si="97"/>
        <v>6</v>
      </c>
      <c r="C444" s="1056">
        <f t="shared" si="97"/>
        <v>6</v>
      </c>
      <c r="D444" s="1056" t="str">
        <f t="shared" si="96"/>
        <v>Gâterie 6</v>
      </c>
      <c r="E444" s="1066">
        <f t="shared" si="98"/>
        <v>1.04</v>
      </c>
      <c r="F444" s="1066">
        <f t="shared" si="98"/>
        <v>4.7</v>
      </c>
      <c r="G444" s="1067">
        <f t="shared" si="99"/>
        <v>0.22127659574468084</v>
      </c>
      <c r="H444" s="1068">
        <f t="shared" si="100"/>
        <v>3.66</v>
      </c>
      <c r="I444" s="1064"/>
      <c r="J444" s="1056"/>
    </row>
    <row r="445" spans="1:10" ht="16" x14ac:dyDescent="0.2">
      <c r="A445" s="1238"/>
      <c r="B445" s="1056">
        <f t="shared" si="97"/>
        <v>7</v>
      </c>
      <c r="C445" s="1056">
        <f t="shared" si="97"/>
        <v>7</v>
      </c>
      <c r="D445" s="1056" t="str">
        <f t="shared" si="96"/>
        <v>Gâterie 7</v>
      </c>
      <c r="E445" s="1066">
        <f t="shared" si="98"/>
        <v>1.06</v>
      </c>
      <c r="F445" s="1066">
        <f t="shared" si="98"/>
        <v>4.8</v>
      </c>
      <c r="G445" s="1067">
        <f t="shared" si="99"/>
        <v>0.22083333333333335</v>
      </c>
      <c r="H445" s="1068">
        <f t="shared" si="100"/>
        <v>3.7399999999999998</v>
      </c>
      <c r="I445" s="1064"/>
      <c r="J445" s="1056"/>
    </row>
    <row r="446" spans="1:10" ht="16" x14ac:dyDescent="0.2">
      <c r="A446" s="1238"/>
      <c r="B446" s="1056">
        <f t="shared" si="97"/>
        <v>8</v>
      </c>
      <c r="C446" s="1056">
        <f t="shared" si="97"/>
        <v>8</v>
      </c>
      <c r="D446" s="1056" t="str">
        <f t="shared" si="96"/>
        <v>Gâterie 8</v>
      </c>
      <c r="E446" s="1066">
        <f t="shared" si="98"/>
        <v>1.08</v>
      </c>
      <c r="F446" s="1066">
        <f t="shared" si="98"/>
        <v>4.9000000000000004</v>
      </c>
      <c r="G446" s="1067">
        <f t="shared" si="99"/>
        <v>0.22040816326530613</v>
      </c>
      <c r="H446" s="1068">
        <f t="shared" si="100"/>
        <v>3.8200000000000003</v>
      </c>
      <c r="I446" s="1064"/>
      <c r="J446" s="1056"/>
    </row>
    <row r="447" spans="1:10" ht="16" x14ac:dyDescent="0.2">
      <c r="A447" s="1238"/>
      <c r="B447" s="1056">
        <f t="shared" si="97"/>
        <v>9</v>
      </c>
      <c r="C447" s="1056">
        <f t="shared" si="97"/>
        <v>9</v>
      </c>
      <c r="D447" s="1056" t="str">
        <f t="shared" si="96"/>
        <v>Gâterie 9</v>
      </c>
      <c r="E447" s="1066">
        <f t="shared" si="98"/>
        <v>1.1000000000000001</v>
      </c>
      <c r="F447" s="1066">
        <f t="shared" si="98"/>
        <v>5</v>
      </c>
      <c r="G447" s="1067">
        <f t="shared" si="99"/>
        <v>0.22000000000000003</v>
      </c>
      <c r="H447" s="1068">
        <f t="shared" si="100"/>
        <v>3.9</v>
      </c>
      <c r="I447" s="1064"/>
      <c r="J447" s="1056"/>
    </row>
    <row r="448" spans="1:10" ht="16" x14ac:dyDescent="0.2">
      <c r="A448" s="1238"/>
      <c r="B448" s="1056">
        <f t="shared" si="97"/>
        <v>10</v>
      </c>
      <c r="C448" s="1056">
        <f t="shared" si="97"/>
        <v>10</v>
      </c>
      <c r="D448" s="1056" t="str">
        <f t="shared" si="96"/>
        <v>Gâterie 10</v>
      </c>
      <c r="E448" s="1066">
        <f t="shared" si="98"/>
        <v>1.1399999999999999</v>
      </c>
      <c r="F448" s="1066">
        <f t="shared" si="98"/>
        <v>5.2</v>
      </c>
      <c r="G448" s="1067">
        <f t="shared" si="99"/>
        <v>0.2192307692307692</v>
      </c>
      <c r="H448" s="1068">
        <f t="shared" si="100"/>
        <v>4.0600000000000005</v>
      </c>
      <c r="I448" s="1064"/>
      <c r="J448" s="1056"/>
    </row>
    <row r="449" spans="1:10" ht="16" x14ac:dyDescent="0.2">
      <c r="A449" s="1238"/>
      <c r="B449" s="1056">
        <f t="shared" si="97"/>
        <v>11</v>
      </c>
      <c r="C449" s="1056">
        <f t="shared" si="97"/>
        <v>11</v>
      </c>
      <c r="D449" s="1056" t="str">
        <f t="shared" si="96"/>
        <v>Gâterie 11</v>
      </c>
      <c r="E449" s="1066">
        <f t="shared" si="98"/>
        <v>1.38</v>
      </c>
      <c r="F449" s="1066">
        <f t="shared" si="98"/>
        <v>6.4</v>
      </c>
      <c r="G449" s="1067">
        <f t="shared" si="99"/>
        <v>0.21562499999999998</v>
      </c>
      <c r="H449" s="1068">
        <f t="shared" si="100"/>
        <v>5.0200000000000005</v>
      </c>
      <c r="I449" s="1064"/>
      <c r="J449" s="1056"/>
    </row>
    <row r="450" spans="1:10" ht="16" x14ac:dyDescent="0.2">
      <c r="A450" s="1238"/>
      <c r="B450" s="1056">
        <f t="shared" si="97"/>
        <v>12</v>
      </c>
      <c r="C450" s="1056">
        <f t="shared" si="97"/>
        <v>12</v>
      </c>
      <c r="D450" s="1056" t="str">
        <f t="shared" si="96"/>
        <v>Gâterie 12</v>
      </c>
      <c r="E450" s="1066">
        <f t="shared" si="98"/>
        <v>1.42</v>
      </c>
      <c r="F450" s="1066">
        <f t="shared" si="98"/>
        <v>6.6</v>
      </c>
      <c r="G450" s="1067">
        <f t="shared" si="99"/>
        <v>0.21515151515151515</v>
      </c>
      <c r="H450" s="1068">
        <f t="shared" si="100"/>
        <v>5.18</v>
      </c>
      <c r="I450" s="1064"/>
      <c r="J450" s="1056"/>
    </row>
    <row r="451" spans="1:10" ht="19" x14ac:dyDescent="0.35">
      <c r="A451" s="1238"/>
      <c r="B451" s="1056"/>
      <c r="C451" s="1056"/>
      <c r="D451" s="1063" t="str">
        <f t="shared" si="96"/>
        <v>CmO—PmO—Food Cost—BmO</v>
      </c>
      <c r="E451" s="1072">
        <f>SUM(E439:E450)/C450</f>
        <v>1.0633333333333332</v>
      </c>
      <c r="F451" s="1072">
        <f>SUM(F439:F450)/C450</f>
        <v>4.8166666666666673</v>
      </c>
      <c r="G451" s="1073">
        <f t="shared" si="99"/>
        <v>0.22076124567474043</v>
      </c>
      <c r="H451" s="1074">
        <f t="shared" si="100"/>
        <v>3.7533333333333339</v>
      </c>
      <c r="I451" s="1075"/>
      <c r="J451" s="1056"/>
    </row>
    <row r="452" spans="1:10" ht="16" x14ac:dyDescent="0.2">
      <c r="A452" s="1238"/>
      <c r="B452" s="1056" t="s">
        <v>2</v>
      </c>
      <c r="C452" s="1056"/>
      <c r="D452" s="1056"/>
      <c r="E452" s="1066"/>
      <c r="F452" s="1066"/>
      <c r="G452" s="1067"/>
      <c r="H452" s="1076"/>
      <c r="I452" s="1056"/>
      <c r="J452" s="1056"/>
    </row>
    <row r="453" spans="1:10" ht="16" x14ac:dyDescent="0.2">
      <c r="A453" s="1238"/>
      <c r="B453" s="1056"/>
      <c r="C453" s="1056"/>
      <c r="D453" s="1063" t="str">
        <f t="shared" ref="D453:D466" si="101">D410</f>
        <v>Les cafés gâteries</v>
      </c>
      <c r="E453" s="1066"/>
      <c r="F453" s="1066"/>
      <c r="G453" s="1067"/>
      <c r="H453" s="1076"/>
      <c r="I453" s="1056"/>
      <c r="J453" s="1056"/>
    </row>
    <row r="454" spans="1:10" ht="16" x14ac:dyDescent="0.2">
      <c r="A454" s="1238"/>
      <c r="B454" s="1056">
        <f t="shared" ref="B454:C465" si="102">B411</f>
        <v>13</v>
      </c>
      <c r="C454" s="1056">
        <f t="shared" si="102"/>
        <v>1</v>
      </c>
      <c r="D454" s="1056" t="str">
        <f t="shared" si="101"/>
        <v>Café gâterie le spécial 1</v>
      </c>
      <c r="E454" s="1066">
        <f t="shared" ref="E454:F465" si="103">E411</f>
        <v>1.1399999999999999</v>
      </c>
      <c r="F454" s="1066">
        <f t="shared" si="103"/>
        <v>3.3</v>
      </c>
      <c r="G454" s="1067">
        <f>E454/F454</f>
        <v>0.34545454545454546</v>
      </c>
      <c r="H454" s="1068">
        <f>F454-E454</f>
        <v>2.16</v>
      </c>
      <c r="I454" s="1064"/>
      <c r="J454" s="1056"/>
    </row>
    <row r="455" spans="1:10" ht="16" x14ac:dyDescent="0.2">
      <c r="A455" s="1238"/>
      <c r="B455" s="1056">
        <f t="shared" si="102"/>
        <v>14</v>
      </c>
      <c r="C455" s="1056">
        <f t="shared" si="102"/>
        <v>2</v>
      </c>
      <c r="D455" s="1056" t="str">
        <f t="shared" si="101"/>
        <v>Café gâterie le spécial 2</v>
      </c>
      <c r="E455" s="1066">
        <f t="shared" si="103"/>
        <v>1.33</v>
      </c>
      <c r="F455" s="1066">
        <f t="shared" si="103"/>
        <v>3.8</v>
      </c>
      <c r="G455" s="1067">
        <f>E455/F455</f>
        <v>0.35000000000000003</v>
      </c>
      <c r="H455" s="1068">
        <f>F455-E455</f>
        <v>2.4699999999999998</v>
      </c>
      <c r="I455" s="1064"/>
      <c r="J455" s="1056"/>
    </row>
    <row r="456" spans="1:10" ht="16" x14ac:dyDescent="0.2">
      <c r="A456" s="1238"/>
      <c r="B456" s="1056">
        <f t="shared" si="102"/>
        <v>15</v>
      </c>
      <c r="C456" s="1056">
        <f t="shared" si="102"/>
        <v>3</v>
      </c>
      <c r="D456" s="1056" t="str">
        <f t="shared" si="101"/>
        <v>Café gâterie le spécial 3</v>
      </c>
      <c r="E456" s="1066">
        <f t="shared" si="103"/>
        <v>1.37</v>
      </c>
      <c r="F456" s="1066">
        <f t="shared" si="103"/>
        <v>4</v>
      </c>
      <c r="G456" s="1067">
        <f>E456/F456</f>
        <v>0.34250000000000003</v>
      </c>
      <c r="H456" s="1068">
        <f>F456-E456</f>
        <v>2.63</v>
      </c>
      <c r="I456" s="1064"/>
      <c r="J456" s="1056"/>
    </row>
    <row r="457" spans="1:10" ht="16" x14ac:dyDescent="0.2">
      <c r="A457" s="1238"/>
      <c r="B457" s="1056">
        <f t="shared" si="102"/>
        <v>16</v>
      </c>
      <c r="C457" s="1056">
        <f t="shared" si="102"/>
        <v>4</v>
      </c>
      <c r="D457" s="1056" t="str">
        <f t="shared" si="101"/>
        <v>Café gâterie le spécial 4</v>
      </c>
      <c r="E457" s="1066">
        <f t="shared" si="103"/>
        <v>1.36</v>
      </c>
      <c r="F457" s="1066">
        <f t="shared" si="103"/>
        <v>4.5</v>
      </c>
      <c r="G457" s="1067">
        <f t="shared" ref="G457:G464" si="104">E457/F457</f>
        <v>0.30222222222222223</v>
      </c>
      <c r="H457" s="1068">
        <f t="shared" ref="H457:H464" si="105">F457-E457</f>
        <v>3.1399999999999997</v>
      </c>
      <c r="I457" s="1064"/>
      <c r="J457" s="1056"/>
    </row>
    <row r="458" spans="1:10" ht="16" x14ac:dyDescent="0.2">
      <c r="A458" s="1238"/>
      <c r="B458" s="1056">
        <f t="shared" si="102"/>
        <v>17</v>
      </c>
      <c r="C458" s="1056">
        <f t="shared" si="102"/>
        <v>5</v>
      </c>
      <c r="D458" s="1056" t="str">
        <f t="shared" si="101"/>
        <v>Café gâterie le spécial 5</v>
      </c>
      <c r="E458" s="1066">
        <f t="shared" si="103"/>
        <v>1.38</v>
      </c>
      <c r="F458" s="1066">
        <f t="shared" si="103"/>
        <v>4.5999999999999996</v>
      </c>
      <c r="G458" s="1067">
        <f t="shared" si="104"/>
        <v>0.3</v>
      </c>
      <c r="H458" s="1068">
        <f t="shared" si="105"/>
        <v>3.2199999999999998</v>
      </c>
      <c r="I458" s="1064"/>
      <c r="J458" s="1056"/>
    </row>
    <row r="459" spans="1:10" ht="16" x14ac:dyDescent="0.2">
      <c r="A459" s="1238"/>
      <c r="B459" s="1056">
        <f t="shared" si="102"/>
        <v>18</v>
      </c>
      <c r="C459" s="1056">
        <f t="shared" si="102"/>
        <v>6</v>
      </c>
      <c r="D459" s="1056" t="str">
        <f t="shared" si="101"/>
        <v>Café gâterie le spécial 6</v>
      </c>
      <c r="E459" s="1066">
        <f t="shared" si="103"/>
        <v>1.4</v>
      </c>
      <c r="F459" s="1066">
        <f t="shared" si="103"/>
        <v>4.7</v>
      </c>
      <c r="G459" s="1067">
        <f t="shared" si="104"/>
        <v>0.2978723404255319</v>
      </c>
      <c r="H459" s="1068">
        <f t="shared" si="105"/>
        <v>3.3000000000000003</v>
      </c>
      <c r="I459" s="1064"/>
      <c r="J459" s="1056"/>
    </row>
    <row r="460" spans="1:10" ht="16" x14ac:dyDescent="0.2">
      <c r="A460" s="1238"/>
      <c r="B460" s="1056">
        <f t="shared" si="102"/>
        <v>19</v>
      </c>
      <c r="C460" s="1056">
        <f t="shared" si="102"/>
        <v>7</v>
      </c>
      <c r="D460" s="1056" t="str">
        <f t="shared" si="101"/>
        <v>Café gâterie le spécial 7</v>
      </c>
      <c r="E460" s="1066">
        <f t="shared" si="103"/>
        <v>1.41</v>
      </c>
      <c r="F460" s="1066">
        <f t="shared" si="103"/>
        <v>4.8</v>
      </c>
      <c r="G460" s="1067">
        <f t="shared" si="104"/>
        <v>0.29375000000000001</v>
      </c>
      <c r="H460" s="1068">
        <f t="shared" si="105"/>
        <v>3.3899999999999997</v>
      </c>
      <c r="I460" s="1064"/>
      <c r="J460" s="1056"/>
    </row>
    <row r="461" spans="1:10" ht="16" x14ac:dyDescent="0.2">
      <c r="A461" s="1238"/>
      <c r="B461" s="1056">
        <f t="shared" si="102"/>
        <v>20</v>
      </c>
      <c r="C461" s="1056">
        <f t="shared" si="102"/>
        <v>8</v>
      </c>
      <c r="D461" s="1056" t="str">
        <f t="shared" si="101"/>
        <v>Café gâterie le spécial 8</v>
      </c>
      <c r="E461" s="1066">
        <f t="shared" si="103"/>
        <v>1.43</v>
      </c>
      <c r="F461" s="1066">
        <f t="shared" si="103"/>
        <v>4.9000000000000004</v>
      </c>
      <c r="G461" s="1067">
        <f t="shared" si="104"/>
        <v>0.2918367346938775</v>
      </c>
      <c r="H461" s="1068">
        <f t="shared" si="105"/>
        <v>3.4700000000000006</v>
      </c>
      <c r="I461" s="1064"/>
      <c r="J461" s="1056"/>
    </row>
    <row r="462" spans="1:10" ht="16" x14ac:dyDescent="0.2">
      <c r="A462" s="1238"/>
      <c r="B462" s="1056">
        <f t="shared" si="102"/>
        <v>21</v>
      </c>
      <c r="C462" s="1056">
        <f t="shared" si="102"/>
        <v>9</v>
      </c>
      <c r="D462" s="1056" t="str">
        <f t="shared" si="101"/>
        <v>Café gâterie le spécial 9</v>
      </c>
      <c r="E462" s="1066">
        <f t="shared" si="103"/>
        <v>1.45</v>
      </c>
      <c r="F462" s="1066">
        <f t="shared" si="103"/>
        <v>5</v>
      </c>
      <c r="G462" s="1067">
        <f t="shared" si="104"/>
        <v>0.28999999999999998</v>
      </c>
      <c r="H462" s="1068">
        <f t="shared" si="105"/>
        <v>3.55</v>
      </c>
      <c r="I462" s="1064"/>
      <c r="J462" s="1056"/>
    </row>
    <row r="463" spans="1:10" ht="16" x14ac:dyDescent="0.2">
      <c r="A463" s="1238"/>
      <c r="B463" s="1056">
        <f t="shared" si="102"/>
        <v>22</v>
      </c>
      <c r="C463" s="1056">
        <f t="shared" si="102"/>
        <v>10</v>
      </c>
      <c r="D463" s="1056" t="str">
        <f t="shared" si="101"/>
        <v>Café gâterie le spécial 10</v>
      </c>
      <c r="E463" s="1066">
        <f t="shared" si="103"/>
        <v>1.49</v>
      </c>
      <c r="F463" s="1066">
        <f t="shared" si="103"/>
        <v>5.2</v>
      </c>
      <c r="G463" s="1067">
        <f t="shared" si="104"/>
        <v>0.28653846153846152</v>
      </c>
      <c r="H463" s="1068">
        <f t="shared" si="105"/>
        <v>3.71</v>
      </c>
      <c r="I463" s="1064"/>
      <c r="J463" s="1056"/>
    </row>
    <row r="464" spans="1:10" ht="16" x14ac:dyDescent="0.2">
      <c r="A464" s="1238"/>
      <c r="B464" s="1056">
        <f t="shared" si="102"/>
        <v>23</v>
      </c>
      <c r="C464" s="1056">
        <f t="shared" si="102"/>
        <v>11</v>
      </c>
      <c r="D464" s="1056" t="str">
        <f t="shared" si="101"/>
        <v>Café gâterie le spécial 11</v>
      </c>
      <c r="E464" s="1066">
        <f t="shared" si="103"/>
        <v>1.59</v>
      </c>
      <c r="F464" s="1066">
        <f t="shared" si="103"/>
        <v>5.8</v>
      </c>
      <c r="G464" s="1067">
        <f t="shared" si="104"/>
        <v>0.27413793103448281</v>
      </c>
      <c r="H464" s="1068">
        <f t="shared" si="105"/>
        <v>4.21</v>
      </c>
      <c r="I464" s="1064"/>
      <c r="J464" s="1056"/>
    </row>
    <row r="465" spans="1:10" ht="16" x14ac:dyDescent="0.2">
      <c r="A465" s="1238"/>
      <c r="B465" s="1056">
        <f t="shared" si="102"/>
        <v>24</v>
      </c>
      <c r="C465" s="1056">
        <f t="shared" si="102"/>
        <v>12</v>
      </c>
      <c r="D465" s="1056" t="str">
        <f t="shared" si="101"/>
        <v>Café gâterie le spécial 12</v>
      </c>
      <c r="E465" s="1066">
        <f t="shared" si="103"/>
        <v>1.74</v>
      </c>
      <c r="F465" s="1066">
        <f t="shared" si="103"/>
        <v>6.6</v>
      </c>
      <c r="G465" s="1067">
        <f>E465/F465</f>
        <v>0.26363636363636367</v>
      </c>
      <c r="H465" s="1068">
        <f>F465-E465</f>
        <v>4.8599999999999994</v>
      </c>
      <c r="I465" s="1064"/>
      <c r="J465" s="1056"/>
    </row>
    <row r="466" spans="1:10" ht="19" x14ac:dyDescent="0.35">
      <c r="A466" s="1238"/>
      <c r="B466" s="1056"/>
      <c r="C466" s="1056"/>
      <c r="D466" s="1063" t="str">
        <f t="shared" si="101"/>
        <v>CmO—PmO—Beverage Cost—Marge brute</v>
      </c>
      <c r="E466" s="1072">
        <f>SUM(E454:E465)/C465</f>
        <v>1.4241666666666666</v>
      </c>
      <c r="F466" s="1072">
        <f>SUM(F454:F465)/C465</f>
        <v>4.7666666666666666</v>
      </c>
      <c r="G466" s="1077">
        <f>E466/F466</f>
        <v>0.29877622377622376</v>
      </c>
      <c r="H466" s="1074">
        <f>F466-E466</f>
        <v>3.3425000000000002</v>
      </c>
      <c r="I466" s="1075"/>
      <c r="J466" s="1056"/>
    </row>
    <row r="467" spans="1:10" ht="17" thickBot="1" x14ac:dyDescent="0.25">
      <c r="A467" s="1238"/>
      <c r="B467" s="1056"/>
      <c r="C467" s="1056"/>
      <c r="D467" s="1056"/>
      <c r="E467" s="1066"/>
      <c r="F467" s="1066"/>
      <c r="G467" s="1065"/>
      <c r="H467" s="1076"/>
      <c r="I467" s="1056"/>
      <c r="J467" s="1056"/>
    </row>
    <row r="468" spans="1:10" ht="21" thickTop="1" thickBot="1" x14ac:dyDescent="0.4">
      <c r="A468" s="1238"/>
      <c r="B468" s="1056"/>
      <c r="C468" s="1078"/>
      <c r="D468" s="1079"/>
      <c r="E468" s="1080"/>
      <c r="F468" s="1080"/>
      <c r="G468" s="1081"/>
      <c r="H468" s="1082"/>
      <c r="I468" s="1083"/>
      <c r="J468" s="1056"/>
    </row>
    <row r="469" spans="1:10" ht="18" thickTop="1" thickBot="1" x14ac:dyDescent="0.25">
      <c r="A469" s="1238"/>
      <c r="B469" s="1056"/>
      <c r="C469" s="1085"/>
      <c r="D469" s="1063"/>
      <c r="E469" s="1086" t="str">
        <f>E426</f>
        <v>CmO</v>
      </c>
      <c r="F469" s="1086" t="str">
        <f>F426</f>
        <v>PmO</v>
      </c>
      <c r="G469" s="1087" t="str">
        <f>G426</f>
        <v>F&amp;BCmO</v>
      </c>
      <c r="H469" s="1113" t="str">
        <f>H426</f>
        <v>BmO</v>
      </c>
      <c r="I469" s="1088"/>
      <c r="J469" s="1056"/>
    </row>
    <row r="470" spans="1:10" ht="17" thickTop="1" x14ac:dyDescent="0.2">
      <c r="A470" s="1238"/>
      <c r="B470" s="1056"/>
      <c r="C470" s="1085"/>
      <c r="D470" s="1089" t="str">
        <f>D427</f>
        <v>OFFRE TOTALE AVEC LES GÂTERIES ET LES CAFÉS GÂTERIES</v>
      </c>
      <c r="E470" s="1066"/>
      <c r="F470" s="1066"/>
      <c r="G470" s="1065"/>
      <c r="H470" s="1076"/>
      <c r="I470" s="1090"/>
      <c r="J470" s="1056"/>
    </row>
    <row r="471" spans="1:10" ht="19" x14ac:dyDescent="0.35">
      <c r="A471" s="1238"/>
      <c r="B471" s="1056"/>
      <c r="C471" s="1085"/>
      <c r="D471" s="1063" t="str">
        <f>D428</f>
        <v>CmO—PmO—F&amp;B cost moyen offert—Marge brute</v>
      </c>
      <c r="E471" s="1093">
        <f>+(E439+E440+E441+E442+E443+E444+E445+E446+E447+E448+E449+E450+E454+E455+E456+E457+E458+E459+E460+E461+E462+E463+E464+E465)/B465</f>
        <v>1.2437499999999997</v>
      </c>
      <c r="F471" s="1093">
        <f>+(F439+F440+F441+F442+F443+F444+F445+F446+F447+F448+F449+F450+F454+F455+F456+F457+F458+F459+F460+F461+F462+F463+F464+F465)/B465</f>
        <v>4.791666666666667</v>
      </c>
      <c r="G471" s="1094">
        <f>E471/F471</f>
        <v>0.25956521739130428</v>
      </c>
      <c r="H471" s="1093">
        <f>F471-E471</f>
        <v>3.5479166666666675</v>
      </c>
      <c r="I471" s="1096"/>
      <c r="J471" s="1056"/>
    </row>
    <row r="472" spans="1:10" ht="16" x14ac:dyDescent="0.2">
      <c r="A472" s="1238"/>
      <c r="B472" s="1056"/>
      <c r="C472" s="1085"/>
      <c r="D472" s="1056"/>
      <c r="E472" s="1069"/>
      <c r="F472" s="1069"/>
      <c r="G472" s="1070"/>
      <c r="H472" s="1097"/>
      <c r="I472" s="1098"/>
      <c r="J472" s="1056"/>
    </row>
    <row r="473" spans="1:10" ht="17" thickBot="1" x14ac:dyDescent="0.25">
      <c r="A473" s="1238"/>
      <c r="B473" s="1056"/>
      <c r="C473" s="1100"/>
      <c r="D473" s="1101"/>
      <c r="E473" s="1102"/>
      <c r="F473" s="1102"/>
      <c r="G473" s="1103"/>
      <c r="H473" s="1104"/>
      <c r="I473" s="1105"/>
      <c r="J473" s="1056"/>
    </row>
    <row r="474" spans="1:10" ht="14" thickTop="1" x14ac:dyDescent="0.15">
      <c r="A474" s="1238"/>
    </row>
    <row r="475" spans="1:10" ht="22" x14ac:dyDescent="0.25">
      <c r="A475" s="1238"/>
      <c r="D475" s="1058" t="s">
        <v>596</v>
      </c>
      <c r="F475" s="1059"/>
    </row>
    <row r="476" spans="1:10" ht="23" thickBot="1" x14ac:dyDescent="0.3">
      <c r="A476" s="1238"/>
      <c r="D476" s="1060"/>
    </row>
    <row r="477" spans="1:10" ht="23" thickTop="1" x14ac:dyDescent="0.25">
      <c r="A477" s="1238"/>
      <c r="D477" s="1060"/>
      <c r="E477" s="1232" t="str">
        <f>E434</f>
        <v>Coûts des ressources alimentaires pour chaque produit offert (voir recettes standardisées)</v>
      </c>
      <c r="F477" s="1232" t="str">
        <f>F434</f>
        <v>Prix de vente par produit offert</v>
      </c>
      <c r="G477" s="1232" t="str">
        <f>G434</f>
        <v xml:space="preserve">« Food &amp; Beverage Cost » </v>
      </c>
      <c r="H477" s="1232" t="str">
        <f>H434</f>
        <v>Marge brute gagnée sur la vente de chaque produit offert</v>
      </c>
      <c r="I477" s="1061"/>
    </row>
    <row r="478" spans="1:10" ht="22" x14ac:dyDescent="0.25">
      <c r="A478" s="1238"/>
      <c r="D478" s="1060"/>
      <c r="E478" s="1233"/>
      <c r="F478" s="1235"/>
      <c r="G478" s="1235"/>
      <c r="H478" s="1235"/>
      <c r="I478" s="1062"/>
    </row>
    <row r="479" spans="1:10" ht="14" thickBot="1" x14ac:dyDescent="0.2">
      <c r="A479" s="1238"/>
      <c r="E479" s="1234"/>
      <c r="F479" s="1236"/>
      <c r="G479" s="1236"/>
      <c r="H479" s="1236"/>
      <c r="I479" s="1062"/>
    </row>
    <row r="480" spans="1:10" ht="14" thickTop="1" x14ac:dyDescent="0.15">
      <c r="A480" s="1238"/>
      <c r="B480" s="161" t="s">
        <v>2</v>
      </c>
      <c r="E480" s="1059"/>
      <c r="F480" s="1059"/>
      <c r="G480" s="315"/>
    </row>
    <row r="481" spans="1:10" ht="16" x14ac:dyDescent="0.2">
      <c r="A481" s="1238"/>
      <c r="B481" s="1056"/>
      <c r="C481" s="1056"/>
      <c r="D481" s="1063" t="str">
        <f t="shared" ref="D481:D494" si="106">D438</f>
        <v>Les gâteries</v>
      </c>
      <c r="E481" s="1064"/>
      <c r="F481" s="1064"/>
      <c r="G481" s="1065"/>
      <c r="H481" s="1056"/>
      <c r="I481" s="1056"/>
      <c r="J481" s="1056"/>
    </row>
    <row r="482" spans="1:10" ht="16" x14ac:dyDescent="0.2">
      <c r="A482" s="1238"/>
      <c r="B482" s="1056">
        <f t="shared" ref="B482:C493" si="107">B439</f>
        <v>1</v>
      </c>
      <c r="C482" s="1056">
        <f t="shared" si="107"/>
        <v>1</v>
      </c>
      <c r="D482" s="1056" t="str">
        <f t="shared" si="106"/>
        <v>Gâterie 1</v>
      </c>
      <c r="E482" s="1066">
        <f>E439</f>
        <v>0.76</v>
      </c>
      <c r="F482" s="1066">
        <f>F439</f>
        <v>3.3</v>
      </c>
      <c r="G482" s="1067">
        <f t="shared" ref="G482:G494" si="108">E482/F482</f>
        <v>0.23030303030303031</v>
      </c>
      <c r="H482" s="1068">
        <f t="shared" ref="H482:H494" si="109">F482-E482</f>
        <v>2.54</v>
      </c>
      <c r="I482" s="1064"/>
      <c r="J482" s="1056"/>
    </row>
    <row r="483" spans="1:10" ht="16" x14ac:dyDescent="0.2">
      <c r="A483" s="1238"/>
      <c r="B483" s="1056">
        <f t="shared" si="107"/>
        <v>2</v>
      </c>
      <c r="C483" s="1056">
        <f t="shared" si="107"/>
        <v>2</v>
      </c>
      <c r="D483" s="1056" t="str">
        <f t="shared" si="106"/>
        <v>Gâterie 2</v>
      </c>
      <c r="E483" s="1066">
        <f t="shared" ref="E483:E492" si="110">E440</f>
        <v>0.86</v>
      </c>
      <c r="F483" s="1066">
        <f t="shared" ref="F483:F493" si="111">F440</f>
        <v>3.8</v>
      </c>
      <c r="G483" s="1067">
        <f t="shared" si="108"/>
        <v>0.22631578947368422</v>
      </c>
      <c r="H483" s="1068">
        <f t="shared" si="109"/>
        <v>2.94</v>
      </c>
      <c r="I483" s="1064"/>
      <c r="J483" s="1056"/>
    </row>
    <row r="484" spans="1:10" ht="16" x14ac:dyDescent="0.2">
      <c r="A484" s="1238"/>
      <c r="B484" s="1056">
        <f t="shared" si="107"/>
        <v>3</v>
      </c>
      <c r="C484" s="1056">
        <f t="shared" si="107"/>
        <v>3</v>
      </c>
      <c r="D484" s="1056" t="str">
        <f t="shared" si="106"/>
        <v>Gâterie 3</v>
      </c>
      <c r="E484" s="1066">
        <f t="shared" si="110"/>
        <v>0.9</v>
      </c>
      <c r="F484" s="1066">
        <f t="shared" si="111"/>
        <v>4</v>
      </c>
      <c r="G484" s="1067">
        <f t="shared" si="108"/>
        <v>0.22500000000000001</v>
      </c>
      <c r="H484" s="1068">
        <f t="shared" si="109"/>
        <v>3.1</v>
      </c>
      <c r="I484" s="1064"/>
      <c r="J484" s="1056"/>
    </row>
    <row r="485" spans="1:10" ht="16" x14ac:dyDescent="0.2">
      <c r="A485" s="1238"/>
      <c r="B485" s="1056">
        <f t="shared" si="107"/>
        <v>4</v>
      </c>
      <c r="C485" s="1056">
        <f t="shared" si="107"/>
        <v>4</v>
      </c>
      <c r="D485" s="1056" t="str">
        <f t="shared" si="106"/>
        <v>Gâterie 4</v>
      </c>
      <c r="E485" s="1066">
        <f t="shared" si="110"/>
        <v>1</v>
      </c>
      <c r="F485" s="1066">
        <f t="shared" si="111"/>
        <v>4.5</v>
      </c>
      <c r="G485" s="1067">
        <f t="shared" si="108"/>
        <v>0.22222222222222221</v>
      </c>
      <c r="H485" s="1068">
        <f t="shared" si="109"/>
        <v>3.5</v>
      </c>
      <c r="I485" s="1064"/>
      <c r="J485" s="1056"/>
    </row>
    <row r="486" spans="1:10" ht="16" x14ac:dyDescent="0.2">
      <c r="A486" s="1238"/>
      <c r="B486" s="1056">
        <f t="shared" si="107"/>
        <v>5</v>
      </c>
      <c r="C486" s="1056">
        <f t="shared" si="107"/>
        <v>5</v>
      </c>
      <c r="D486" s="1056" t="str">
        <f t="shared" si="106"/>
        <v>Gâterie 5</v>
      </c>
      <c r="E486" s="1066">
        <f t="shared" si="110"/>
        <v>1.02</v>
      </c>
      <c r="F486" s="1066">
        <f t="shared" si="111"/>
        <v>4.5999999999999996</v>
      </c>
      <c r="G486" s="1067">
        <f t="shared" si="108"/>
        <v>0.22173913043478263</v>
      </c>
      <c r="H486" s="1068">
        <f t="shared" si="109"/>
        <v>3.5799999999999996</v>
      </c>
      <c r="I486" s="1064"/>
      <c r="J486" s="1056"/>
    </row>
    <row r="487" spans="1:10" ht="16" x14ac:dyDescent="0.2">
      <c r="A487" s="1238"/>
      <c r="B487" s="1056">
        <f t="shared" si="107"/>
        <v>6</v>
      </c>
      <c r="C487" s="1056">
        <f t="shared" si="107"/>
        <v>6</v>
      </c>
      <c r="D487" s="1056" t="str">
        <f t="shared" si="106"/>
        <v>Gâterie 6</v>
      </c>
      <c r="E487" s="1066">
        <f t="shared" si="110"/>
        <v>1.04</v>
      </c>
      <c r="F487" s="1066">
        <f t="shared" si="111"/>
        <v>4.7</v>
      </c>
      <c r="G487" s="1067">
        <f t="shared" si="108"/>
        <v>0.22127659574468084</v>
      </c>
      <c r="H487" s="1068">
        <f t="shared" si="109"/>
        <v>3.66</v>
      </c>
      <c r="I487" s="1064"/>
      <c r="J487" s="1056"/>
    </row>
    <row r="488" spans="1:10" ht="16" x14ac:dyDescent="0.2">
      <c r="A488" s="1238"/>
      <c r="B488" s="1056">
        <f t="shared" si="107"/>
        <v>7</v>
      </c>
      <c r="C488" s="1056">
        <f t="shared" si="107"/>
        <v>7</v>
      </c>
      <c r="D488" s="1056" t="str">
        <f t="shared" si="106"/>
        <v>Gâterie 7</v>
      </c>
      <c r="E488" s="1066">
        <f t="shared" si="110"/>
        <v>1.06</v>
      </c>
      <c r="F488" s="1066">
        <f t="shared" si="111"/>
        <v>4.8</v>
      </c>
      <c r="G488" s="1067">
        <f t="shared" si="108"/>
        <v>0.22083333333333335</v>
      </c>
      <c r="H488" s="1068">
        <f t="shared" si="109"/>
        <v>3.7399999999999998</v>
      </c>
      <c r="I488" s="1064"/>
      <c r="J488" s="1056"/>
    </row>
    <row r="489" spans="1:10" ht="16" x14ac:dyDescent="0.2">
      <c r="A489" s="1238"/>
      <c r="B489" s="1056">
        <f t="shared" si="107"/>
        <v>8</v>
      </c>
      <c r="C489" s="1056">
        <f t="shared" si="107"/>
        <v>8</v>
      </c>
      <c r="D489" s="1056" t="str">
        <f t="shared" si="106"/>
        <v>Gâterie 8</v>
      </c>
      <c r="E489" s="1066">
        <f t="shared" si="110"/>
        <v>1.08</v>
      </c>
      <c r="F489" s="1066">
        <f t="shared" si="111"/>
        <v>4.9000000000000004</v>
      </c>
      <c r="G489" s="1067">
        <f t="shared" si="108"/>
        <v>0.22040816326530613</v>
      </c>
      <c r="H489" s="1068">
        <f t="shared" si="109"/>
        <v>3.8200000000000003</v>
      </c>
      <c r="I489" s="1064"/>
      <c r="J489" s="1056"/>
    </row>
    <row r="490" spans="1:10" ht="16" x14ac:dyDescent="0.2">
      <c r="A490" s="1238"/>
      <c r="B490" s="1056">
        <f t="shared" si="107"/>
        <v>9</v>
      </c>
      <c r="C490" s="1056">
        <f t="shared" si="107"/>
        <v>9</v>
      </c>
      <c r="D490" s="1056" t="str">
        <f t="shared" si="106"/>
        <v>Gâterie 9</v>
      </c>
      <c r="E490" s="1066">
        <f t="shared" si="110"/>
        <v>1.1000000000000001</v>
      </c>
      <c r="F490" s="1066">
        <f t="shared" si="111"/>
        <v>5</v>
      </c>
      <c r="G490" s="1067">
        <f t="shared" si="108"/>
        <v>0.22000000000000003</v>
      </c>
      <c r="H490" s="1068">
        <f t="shared" si="109"/>
        <v>3.9</v>
      </c>
      <c r="I490" s="1064"/>
      <c r="J490" s="1056"/>
    </row>
    <row r="491" spans="1:10" ht="16" x14ac:dyDescent="0.2">
      <c r="A491" s="1238"/>
      <c r="B491" s="1056">
        <f t="shared" si="107"/>
        <v>10</v>
      </c>
      <c r="C491" s="1056">
        <f t="shared" si="107"/>
        <v>10</v>
      </c>
      <c r="D491" s="1056" t="str">
        <f t="shared" si="106"/>
        <v>Gâterie 10</v>
      </c>
      <c r="E491" s="1066">
        <f t="shared" si="110"/>
        <v>1.1399999999999999</v>
      </c>
      <c r="F491" s="1066">
        <f t="shared" si="111"/>
        <v>5.2</v>
      </c>
      <c r="G491" s="1067">
        <f t="shared" si="108"/>
        <v>0.2192307692307692</v>
      </c>
      <c r="H491" s="1068">
        <f t="shared" si="109"/>
        <v>4.0600000000000005</v>
      </c>
      <c r="I491" s="1064"/>
      <c r="J491" s="1056"/>
    </row>
    <row r="492" spans="1:10" ht="16" x14ac:dyDescent="0.2">
      <c r="A492" s="1238"/>
      <c r="B492" s="1056">
        <f t="shared" si="107"/>
        <v>11</v>
      </c>
      <c r="C492" s="1056">
        <f t="shared" si="107"/>
        <v>11</v>
      </c>
      <c r="D492" s="1056" t="str">
        <f t="shared" si="106"/>
        <v>Gâterie 11</v>
      </c>
      <c r="E492" s="1066">
        <f t="shared" si="110"/>
        <v>1.38</v>
      </c>
      <c r="F492" s="1066">
        <f t="shared" si="111"/>
        <v>6.4</v>
      </c>
      <c r="G492" s="1067">
        <f t="shared" si="108"/>
        <v>0.21562499999999998</v>
      </c>
      <c r="H492" s="1068">
        <f t="shared" si="109"/>
        <v>5.0200000000000005</v>
      </c>
      <c r="I492" s="1064"/>
      <c r="J492" s="1056"/>
    </row>
    <row r="493" spans="1:10" ht="16" x14ac:dyDescent="0.2">
      <c r="A493" s="1238"/>
      <c r="B493" s="1056">
        <f t="shared" si="107"/>
        <v>12</v>
      </c>
      <c r="C493" s="1056">
        <f t="shared" si="107"/>
        <v>12</v>
      </c>
      <c r="D493" s="1056" t="str">
        <f t="shared" si="106"/>
        <v>Gâterie 12</v>
      </c>
      <c r="E493" s="1066">
        <f>E450</f>
        <v>1.42</v>
      </c>
      <c r="F493" s="1066">
        <f t="shared" si="111"/>
        <v>6.6</v>
      </c>
      <c r="G493" s="1067">
        <f t="shared" si="108"/>
        <v>0.21515151515151515</v>
      </c>
      <c r="H493" s="1068">
        <f t="shared" si="109"/>
        <v>5.18</v>
      </c>
      <c r="I493" s="1064"/>
      <c r="J493" s="1056"/>
    </row>
    <row r="494" spans="1:10" ht="19" x14ac:dyDescent="0.35">
      <c r="A494" s="1238"/>
      <c r="B494" s="1056"/>
      <c r="C494" s="1056"/>
      <c r="D494" s="1063" t="str">
        <f t="shared" si="106"/>
        <v>CmO—PmO—Food Cost—BmO</v>
      </c>
      <c r="E494" s="1072">
        <f>SUM(E482:E493)/C493</f>
        <v>1.0633333333333332</v>
      </c>
      <c r="F494" s="1072">
        <f>SUM(F482:F493)/C493</f>
        <v>4.8166666666666673</v>
      </c>
      <c r="G494" s="1073">
        <f t="shared" si="108"/>
        <v>0.22076124567474043</v>
      </c>
      <c r="H494" s="1074">
        <f t="shared" si="109"/>
        <v>3.7533333333333339</v>
      </c>
      <c r="I494" s="1075"/>
      <c r="J494" s="1056"/>
    </row>
    <row r="495" spans="1:10" ht="16" x14ac:dyDescent="0.2">
      <c r="A495" s="1238"/>
      <c r="B495" s="1056" t="s">
        <v>2</v>
      </c>
      <c r="C495" s="1056"/>
      <c r="D495" s="1056"/>
      <c r="E495" s="1066"/>
      <c r="F495" s="1066"/>
      <c r="G495" s="1067"/>
      <c r="H495" s="1076"/>
      <c r="I495" s="1056"/>
      <c r="J495" s="1056"/>
    </row>
    <row r="496" spans="1:10" ht="16" x14ac:dyDescent="0.2">
      <c r="A496" s="1238"/>
      <c r="B496" s="1056"/>
      <c r="C496" s="1056"/>
      <c r="D496" s="1063" t="str">
        <f t="shared" ref="D496:D509" si="112">D453</f>
        <v>Les cafés gâteries</v>
      </c>
      <c r="E496" s="1066"/>
      <c r="F496" s="1066"/>
      <c r="G496" s="1067"/>
      <c r="H496" s="1076"/>
      <c r="I496" s="1056"/>
      <c r="J496" s="1056"/>
    </row>
    <row r="497" spans="1:10" ht="16" x14ac:dyDescent="0.2">
      <c r="A497" s="1238"/>
      <c r="B497" s="1056">
        <f t="shared" ref="B497:C508" si="113">B454</f>
        <v>13</v>
      </c>
      <c r="C497" s="1056">
        <f t="shared" si="113"/>
        <v>1</v>
      </c>
      <c r="D497" s="1056" t="str">
        <f t="shared" si="112"/>
        <v>Café gâterie le spécial 1</v>
      </c>
      <c r="E497" s="1066">
        <f t="shared" ref="E497:F508" si="114">E454</f>
        <v>1.1399999999999999</v>
      </c>
      <c r="F497" s="1066">
        <f t="shared" si="114"/>
        <v>3.3</v>
      </c>
      <c r="G497" s="1067">
        <f>E497/F497</f>
        <v>0.34545454545454546</v>
      </c>
      <c r="H497" s="1068">
        <f>F497-E497</f>
        <v>2.16</v>
      </c>
      <c r="I497" s="1064"/>
      <c r="J497" s="1056"/>
    </row>
    <row r="498" spans="1:10" ht="16" x14ac:dyDescent="0.2">
      <c r="A498" s="1238"/>
      <c r="B498" s="1056">
        <f t="shared" si="113"/>
        <v>14</v>
      </c>
      <c r="C498" s="1056">
        <f t="shared" si="113"/>
        <v>2</v>
      </c>
      <c r="D498" s="1056" t="str">
        <f t="shared" si="112"/>
        <v>Café gâterie le spécial 2</v>
      </c>
      <c r="E498" s="1066">
        <f t="shared" si="114"/>
        <v>1.33</v>
      </c>
      <c r="F498" s="1066">
        <f t="shared" si="114"/>
        <v>3.8</v>
      </c>
      <c r="G498" s="1067">
        <f>E498/F498</f>
        <v>0.35000000000000003</v>
      </c>
      <c r="H498" s="1068">
        <f>F498-E498</f>
        <v>2.4699999999999998</v>
      </c>
      <c r="I498" s="1064"/>
      <c r="J498" s="1056"/>
    </row>
    <row r="499" spans="1:10" ht="16" x14ac:dyDescent="0.2">
      <c r="A499" s="1238"/>
      <c r="B499" s="1056">
        <f t="shared" si="113"/>
        <v>15</v>
      </c>
      <c r="C499" s="1056">
        <f t="shared" si="113"/>
        <v>3</v>
      </c>
      <c r="D499" s="1056" t="str">
        <f t="shared" si="112"/>
        <v>Café gâterie le spécial 3</v>
      </c>
      <c r="E499" s="1066">
        <f t="shared" si="114"/>
        <v>1.37</v>
      </c>
      <c r="F499" s="1066">
        <f t="shared" si="114"/>
        <v>4</v>
      </c>
      <c r="G499" s="1067">
        <f>E499/F499</f>
        <v>0.34250000000000003</v>
      </c>
      <c r="H499" s="1068">
        <f>F499-E499</f>
        <v>2.63</v>
      </c>
      <c r="I499" s="1064"/>
      <c r="J499" s="1056"/>
    </row>
    <row r="500" spans="1:10" ht="16" x14ac:dyDescent="0.2">
      <c r="A500" s="1238"/>
      <c r="B500" s="1056">
        <f t="shared" si="113"/>
        <v>16</v>
      </c>
      <c r="C500" s="1056">
        <f t="shared" si="113"/>
        <v>4</v>
      </c>
      <c r="D500" s="1056" t="str">
        <f t="shared" si="112"/>
        <v>Café gâterie le spécial 4</v>
      </c>
      <c r="E500" s="1066">
        <f t="shared" si="114"/>
        <v>1.36</v>
      </c>
      <c r="F500" s="1066">
        <f t="shared" si="114"/>
        <v>4.5</v>
      </c>
      <c r="G500" s="1067">
        <f t="shared" ref="G500:G507" si="115">E500/F500</f>
        <v>0.30222222222222223</v>
      </c>
      <c r="H500" s="1068">
        <f t="shared" ref="H500:H507" si="116">F500-E500</f>
        <v>3.1399999999999997</v>
      </c>
      <c r="I500" s="1064"/>
      <c r="J500" s="1056"/>
    </row>
    <row r="501" spans="1:10" ht="16" x14ac:dyDescent="0.2">
      <c r="A501" s="1238"/>
      <c r="B501" s="1056">
        <f t="shared" si="113"/>
        <v>17</v>
      </c>
      <c r="C501" s="1056">
        <f t="shared" si="113"/>
        <v>5</v>
      </c>
      <c r="D501" s="1056" t="str">
        <f t="shared" si="112"/>
        <v>Café gâterie le spécial 5</v>
      </c>
      <c r="E501" s="1066">
        <f t="shared" si="114"/>
        <v>1.38</v>
      </c>
      <c r="F501" s="1066">
        <f t="shared" si="114"/>
        <v>4.5999999999999996</v>
      </c>
      <c r="G501" s="1067">
        <f t="shared" si="115"/>
        <v>0.3</v>
      </c>
      <c r="H501" s="1068">
        <f t="shared" si="116"/>
        <v>3.2199999999999998</v>
      </c>
      <c r="I501" s="1064"/>
      <c r="J501" s="1056"/>
    </row>
    <row r="502" spans="1:10" ht="16" x14ac:dyDescent="0.2">
      <c r="A502" s="1238"/>
      <c r="B502" s="1056">
        <f t="shared" si="113"/>
        <v>18</v>
      </c>
      <c r="C502" s="1056">
        <f t="shared" si="113"/>
        <v>6</v>
      </c>
      <c r="D502" s="1056" t="str">
        <f t="shared" si="112"/>
        <v>Café gâterie le spécial 6</v>
      </c>
      <c r="E502" s="1066">
        <f t="shared" si="114"/>
        <v>1.4</v>
      </c>
      <c r="F502" s="1066">
        <f t="shared" si="114"/>
        <v>4.7</v>
      </c>
      <c r="G502" s="1067">
        <f t="shared" si="115"/>
        <v>0.2978723404255319</v>
      </c>
      <c r="H502" s="1068">
        <f t="shared" si="116"/>
        <v>3.3000000000000003</v>
      </c>
      <c r="I502" s="1064"/>
      <c r="J502" s="1056"/>
    </row>
    <row r="503" spans="1:10" ht="16" x14ac:dyDescent="0.2">
      <c r="A503" s="1238"/>
      <c r="B503" s="1056">
        <f t="shared" si="113"/>
        <v>19</v>
      </c>
      <c r="C503" s="1056">
        <f t="shared" si="113"/>
        <v>7</v>
      </c>
      <c r="D503" s="1056" t="str">
        <f t="shared" si="112"/>
        <v>Café gâterie le spécial 7</v>
      </c>
      <c r="E503" s="1066">
        <f t="shared" si="114"/>
        <v>1.41</v>
      </c>
      <c r="F503" s="1066">
        <f t="shared" si="114"/>
        <v>4.8</v>
      </c>
      <c r="G503" s="1067">
        <f t="shared" si="115"/>
        <v>0.29375000000000001</v>
      </c>
      <c r="H503" s="1068">
        <f t="shared" si="116"/>
        <v>3.3899999999999997</v>
      </c>
      <c r="I503" s="1064"/>
      <c r="J503" s="1056"/>
    </row>
    <row r="504" spans="1:10" ht="16" x14ac:dyDescent="0.2">
      <c r="A504" s="1238"/>
      <c r="B504" s="1056">
        <f t="shared" si="113"/>
        <v>20</v>
      </c>
      <c r="C504" s="1056">
        <f t="shared" si="113"/>
        <v>8</v>
      </c>
      <c r="D504" s="1056" t="str">
        <f t="shared" si="112"/>
        <v>Café gâterie le spécial 8</v>
      </c>
      <c r="E504" s="1066">
        <f t="shared" si="114"/>
        <v>1.43</v>
      </c>
      <c r="F504" s="1066">
        <f t="shared" si="114"/>
        <v>4.9000000000000004</v>
      </c>
      <c r="G504" s="1067">
        <f t="shared" si="115"/>
        <v>0.2918367346938775</v>
      </c>
      <c r="H504" s="1068">
        <f t="shared" si="116"/>
        <v>3.4700000000000006</v>
      </c>
      <c r="I504" s="1064"/>
      <c r="J504" s="1056"/>
    </row>
    <row r="505" spans="1:10" ht="16" x14ac:dyDescent="0.2">
      <c r="A505" s="1238"/>
      <c r="B505" s="1056">
        <f t="shared" si="113"/>
        <v>21</v>
      </c>
      <c r="C505" s="1056">
        <f t="shared" si="113"/>
        <v>9</v>
      </c>
      <c r="D505" s="1056" t="str">
        <f t="shared" si="112"/>
        <v>Café gâterie le spécial 9</v>
      </c>
      <c r="E505" s="1066">
        <f t="shared" si="114"/>
        <v>1.45</v>
      </c>
      <c r="F505" s="1066">
        <f t="shared" si="114"/>
        <v>5</v>
      </c>
      <c r="G505" s="1067">
        <f t="shared" si="115"/>
        <v>0.28999999999999998</v>
      </c>
      <c r="H505" s="1068">
        <f t="shared" si="116"/>
        <v>3.55</v>
      </c>
      <c r="I505" s="1064"/>
      <c r="J505" s="1056"/>
    </row>
    <row r="506" spans="1:10" ht="16" x14ac:dyDescent="0.2">
      <c r="A506" s="1238"/>
      <c r="B506" s="1056">
        <f t="shared" si="113"/>
        <v>22</v>
      </c>
      <c r="C506" s="1056">
        <f t="shared" si="113"/>
        <v>10</v>
      </c>
      <c r="D506" s="1056" t="str">
        <f t="shared" si="112"/>
        <v>Café gâterie le spécial 10</v>
      </c>
      <c r="E506" s="1066">
        <f t="shared" si="114"/>
        <v>1.49</v>
      </c>
      <c r="F506" s="1066">
        <f t="shared" si="114"/>
        <v>5.2</v>
      </c>
      <c r="G506" s="1067">
        <f t="shared" si="115"/>
        <v>0.28653846153846152</v>
      </c>
      <c r="H506" s="1068">
        <f t="shared" si="116"/>
        <v>3.71</v>
      </c>
      <c r="I506" s="1064"/>
      <c r="J506" s="1056"/>
    </row>
    <row r="507" spans="1:10" ht="16" x14ac:dyDescent="0.2">
      <c r="A507" s="1238"/>
      <c r="B507" s="1056">
        <f t="shared" si="113"/>
        <v>23</v>
      </c>
      <c r="C507" s="1056">
        <f t="shared" si="113"/>
        <v>11</v>
      </c>
      <c r="D507" s="1056" t="str">
        <f t="shared" si="112"/>
        <v>Café gâterie le spécial 11</v>
      </c>
      <c r="E507" s="1066">
        <f t="shared" si="114"/>
        <v>1.59</v>
      </c>
      <c r="F507" s="1066">
        <f t="shared" si="114"/>
        <v>5.8</v>
      </c>
      <c r="G507" s="1067">
        <f t="shared" si="115"/>
        <v>0.27413793103448281</v>
      </c>
      <c r="H507" s="1068">
        <f t="shared" si="116"/>
        <v>4.21</v>
      </c>
      <c r="I507" s="1064"/>
      <c r="J507" s="1056"/>
    </row>
    <row r="508" spans="1:10" ht="16" x14ac:dyDescent="0.2">
      <c r="A508" s="1238"/>
      <c r="B508" s="1056">
        <f t="shared" si="113"/>
        <v>24</v>
      </c>
      <c r="C508" s="1056">
        <f t="shared" si="113"/>
        <v>12</v>
      </c>
      <c r="D508" s="1056" t="str">
        <f t="shared" si="112"/>
        <v>Café gâterie le spécial 12</v>
      </c>
      <c r="E508" s="1066">
        <f t="shared" si="114"/>
        <v>1.74</v>
      </c>
      <c r="F508" s="1066">
        <f t="shared" si="114"/>
        <v>6.6</v>
      </c>
      <c r="G508" s="1067">
        <f>E508/F508</f>
        <v>0.26363636363636367</v>
      </c>
      <c r="H508" s="1068">
        <f>F508-E508</f>
        <v>4.8599999999999994</v>
      </c>
      <c r="I508" s="1064"/>
      <c r="J508" s="1056"/>
    </row>
    <row r="509" spans="1:10" ht="19" x14ac:dyDescent="0.35">
      <c r="A509" s="1238"/>
      <c r="B509" s="1056"/>
      <c r="C509" s="1056"/>
      <c r="D509" s="1063" t="str">
        <f t="shared" si="112"/>
        <v>CmO—PmO—Beverage Cost—Marge brute</v>
      </c>
      <c r="E509" s="1072">
        <f>SUM(E497:E508)/C508</f>
        <v>1.4241666666666666</v>
      </c>
      <c r="F509" s="1072">
        <f>SUM(F497:F508)/C508</f>
        <v>4.7666666666666666</v>
      </c>
      <c r="G509" s="1077">
        <f>E509/F509</f>
        <v>0.29877622377622376</v>
      </c>
      <c r="H509" s="1074">
        <f>F509-E509</f>
        <v>3.3425000000000002</v>
      </c>
      <c r="I509" s="1075"/>
      <c r="J509" s="1056"/>
    </row>
    <row r="510" spans="1:10" ht="17" thickBot="1" x14ac:dyDescent="0.25">
      <c r="A510" s="1238"/>
      <c r="B510" s="1056"/>
      <c r="C510" s="1056"/>
      <c r="D510" s="1056"/>
      <c r="E510" s="1066"/>
      <c r="F510" s="1066"/>
      <c r="G510" s="1065"/>
      <c r="H510" s="1076"/>
      <c r="I510" s="1056"/>
      <c r="J510" s="1056"/>
    </row>
    <row r="511" spans="1:10" ht="21" thickTop="1" thickBot="1" x14ac:dyDescent="0.4">
      <c r="A511" s="1238"/>
      <c r="B511" s="1056"/>
      <c r="C511" s="1078"/>
      <c r="D511" s="1079"/>
      <c r="E511" s="1080"/>
      <c r="F511" s="1080"/>
      <c r="G511" s="1081"/>
      <c r="H511" s="1082"/>
      <c r="I511" s="1083"/>
      <c r="J511" s="1056"/>
    </row>
    <row r="512" spans="1:10" ht="18" thickTop="1" thickBot="1" x14ac:dyDescent="0.25">
      <c r="A512" s="1238"/>
      <c r="B512" s="1056"/>
      <c r="C512" s="1085"/>
      <c r="D512" s="1063"/>
      <c r="E512" s="1086" t="str">
        <f>E469</f>
        <v>CmO</v>
      </c>
      <c r="F512" s="1086" t="str">
        <f>F469</f>
        <v>PmO</v>
      </c>
      <c r="G512" s="1087" t="str">
        <f>G469</f>
        <v>F&amp;BCmO</v>
      </c>
      <c r="H512" s="1113" t="str">
        <f>H469</f>
        <v>BmO</v>
      </c>
      <c r="I512" s="1088"/>
      <c r="J512" s="1056"/>
    </row>
    <row r="513" spans="1:10" ht="17" thickTop="1" x14ac:dyDescent="0.2">
      <c r="A513" s="1238"/>
      <c r="B513" s="1056"/>
      <c r="C513" s="1085"/>
      <c r="D513" s="1089" t="str">
        <f>D470</f>
        <v>OFFRE TOTALE AVEC LES GÂTERIES ET LES CAFÉS GÂTERIES</v>
      </c>
      <c r="E513" s="1066"/>
      <c r="F513" s="1066"/>
      <c r="G513" s="1065"/>
      <c r="H513" s="1076"/>
      <c r="I513" s="1090"/>
      <c r="J513" s="1056"/>
    </row>
    <row r="514" spans="1:10" ht="19" x14ac:dyDescent="0.35">
      <c r="A514" s="1238"/>
      <c r="B514" s="1056"/>
      <c r="C514" s="1085"/>
      <c r="D514" s="1063" t="str">
        <f>D471</f>
        <v>CmO—PmO—F&amp;B cost moyen offert—Marge brute</v>
      </c>
      <c r="E514" s="1093">
        <f>+(E482+E483+E484+E485+E486+E487+E488+E489+E490+E491+E492+E493+E497+E498+E499+E500+E501+E502+E503+E504+E505+E506+E507+E508)/B508</f>
        <v>1.2437499999999997</v>
      </c>
      <c r="F514" s="1093">
        <f>+(F482+F483+F484+F485+F486+F487+F488+F489+F490+F491+F492+F493+F497+F498+F499+F500+F501+F502+F503+F504+F505+F506+F507+F508)/B508</f>
        <v>4.791666666666667</v>
      </c>
      <c r="G514" s="1094">
        <f>E514/F514</f>
        <v>0.25956521739130428</v>
      </c>
      <c r="H514" s="1095">
        <f>F514-E514</f>
        <v>3.5479166666666675</v>
      </c>
      <c r="I514" s="1096"/>
      <c r="J514" s="1056"/>
    </row>
    <row r="515" spans="1:10" ht="16" x14ac:dyDescent="0.2">
      <c r="A515" s="1238"/>
      <c r="B515" s="1056"/>
      <c r="C515" s="1085"/>
      <c r="D515" s="1056"/>
      <c r="E515" s="1069"/>
      <c r="F515" s="1069"/>
      <c r="G515" s="1070"/>
      <c r="H515" s="1097"/>
      <c r="I515" s="1098"/>
      <c r="J515" s="1056"/>
    </row>
    <row r="516" spans="1:10" ht="17" thickBot="1" x14ac:dyDescent="0.25">
      <c r="A516" s="1239"/>
      <c r="B516" s="1056"/>
      <c r="C516" s="1100"/>
      <c r="D516" s="1101"/>
      <c r="E516" s="1102"/>
      <c r="F516" s="1102"/>
      <c r="G516" s="1103"/>
      <c r="H516" s="1104"/>
      <c r="I516" s="1105"/>
      <c r="J516" s="1056"/>
    </row>
    <row r="517" spans="1:10" ht="14" thickTop="1" x14ac:dyDescent="0.15"/>
    <row r="518" spans="1:10" ht="22" x14ac:dyDescent="0.25">
      <c r="D518" s="1058" t="s">
        <v>597</v>
      </c>
      <c r="F518" s="1059"/>
    </row>
    <row r="519" spans="1:10" ht="23" thickBot="1" x14ac:dyDescent="0.3">
      <c r="D519" s="1060"/>
    </row>
    <row r="520" spans="1:10" ht="23" thickTop="1" x14ac:dyDescent="0.25">
      <c r="D520" s="1060"/>
      <c r="E520" s="1232" t="str">
        <f>E477</f>
        <v>Coûts des ressources alimentaires pour chaque produit offert (voir recettes standardisées)</v>
      </c>
      <c r="F520" s="1232" t="str">
        <f>F477</f>
        <v>Prix de vente par produit offert</v>
      </c>
      <c r="G520" s="1232" t="str">
        <f>G477</f>
        <v xml:space="preserve">« Food &amp; Beverage Cost » </v>
      </c>
      <c r="H520" s="1232" t="str">
        <f>H477</f>
        <v>Marge brute gagnée sur la vente de chaque produit offert</v>
      </c>
      <c r="I520" s="1061"/>
    </row>
    <row r="521" spans="1:10" ht="22" x14ac:dyDescent="0.25">
      <c r="D521" s="1060"/>
      <c r="E521" s="1233"/>
      <c r="F521" s="1235"/>
      <c r="G521" s="1235"/>
      <c r="H521" s="1235"/>
      <c r="I521" s="1062"/>
    </row>
    <row r="522" spans="1:10" ht="14" thickBot="1" x14ac:dyDescent="0.2">
      <c r="E522" s="1234"/>
      <c r="F522" s="1236"/>
      <c r="G522" s="1236"/>
      <c r="H522" s="1236"/>
      <c r="I522" s="1062"/>
    </row>
    <row r="523" spans="1:10" ht="14" thickTop="1" x14ac:dyDescent="0.15">
      <c r="B523" s="161" t="s">
        <v>2</v>
      </c>
      <c r="E523" s="1059"/>
      <c r="F523" s="1059"/>
      <c r="G523" s="315"/>
    </row>
    <row r="524" spans="1:10" ht="16" x14ac:dyDescent="0.2">
      <c r="B524" s="1056"/>
      <c r="C524" s="1056"/>
      <c r="D524" s="1063" t="str">
        <f t="shared" ref="D524:D537" si="117">D481</f>
        <v>Les gâteries</v>
      </c>
      <c r="E524" s="1064"/>
      <c r="F524" s="1064"/>
      <c r="G524" s="1065"/>
      <c r="H524" s="1056"/>
      <c r="I524" s="1056"/>
      <c r="J524" s="1056"/>
    </row>
    <row r="525" spans="1:10" ht="16" x14ac:dyDescent="0.2">
      <c r="B525" s="1056">
        <f t="shared" ref="B525:C536" si="118">B482</f>
        <v>1</v>
      </c>
      <c r="C525" s="1056">
        <f t="shared" si="118"/>
        <v>1</v>
      </c>
      <c r="D525" s="1056" t="str">
        <f t="shared" si="117"/>
        <v>Gâterie 1</v>
      </c>
      <c r="E525" s="1066">
        <f>(E9+E52+E95+E138+E181+E224+E267+E310+E353+E396+E439+E482)/12</f>
        <v>1.0224999999999997</v>
      </c>
      <c r="F525" s="1066">
        <f>(F9+F52+F95+F138+F181+F224+F267+F310+F353+F396+F439+F482)/12</f>
        <v>3.2999999999999994</v>
      </c>
      <c r="G525" s="1067">
        <f t="shared" ref="G525:G537" si="119">E525/F525</f>
        <v>0.30984848484848482</v>
      </c>
      <c r="H525" s="1068">
        <f t="shared" ref="H525:H537" si="120">F525-E525</f>
        <v>2.2774999999999999</v>
      </c>
      <c r="I525" s="1064"/>
      <c r="J525" s="1056"/>
    </row>
    <row r="526" spans="1:10" ht="16" x14ac:dyDescent="0.2">
      <c r="B526" s="1056">
        <f t="shared" si="118"/>
        <v>2</v>
      </c>
      <c r="C526" s="1056">
        <f t="shared" si="118"/>
        <v>2</v>
      </c>
      <c r="D526" s="1056" t="str">
        <f t="shared" si="117"/>
        <v>Gâterie 2</v>
      </c>
      <c r="E526" s="1066">
        <f t="shared" ref="E526:F536" si="121">(E10+E53+E96+E139+E182+E225+E268+E311+E354+E397+E440+E483)/12</f>
        <v>1.1224999999999998</v>
      </c>
      <c r="F526" s="1066">
        <f>(F10+F53+F96+F139+F182+F225+F268+F311+F354+F397+F440+F483)/12</f>
        <v>3.7999999999999994</v>
      </c>
      <c r="G526" s="1067">
        <f t="shared" si="119"/>
        <v>0.29539473684210527</v>
      </c>
      <c r="H526" s="1068">
        <f t="shared" si="120"/>
        <v>2.6774999999999993</v>
      </c>
      <c r="I526" s="1064"/>
      <c r="J526" s="1056"/>
    </row>
    <row r="527" spans="1:10" ht="16" x14ac:dyDescent="0.2">
      <c r="B527" s="1056">
        <f t="shared" si="118"/>
        <v>3</v>
      </c>
      <c r="C527" s="1056">
        <f t="shared" si="118"/>
        <v>3</v>
      </c>
      <c r="D527" s="1056" t="str">
        <f t="shared" si="117"/>
        <v>Gâterie 3</v>
      </c>
      <c r="E527" s="1066">
        <f t="shared" si="121"/>
        <v>1.1625000000000001</v>
      </c>
      <c r="F527" s="1066">
        <f t="shared" si="121"/>
        <v>4</v>
      </c>
      <c r="G527" s="1067">
        <f t="shared" si="119"/>
        <v>0.29062500000000002</v>
      </c>
      <c r="H527" s="1068">
        <f t="shared" si="120"/>
        <v>2.8374999999999999</v>
      </c>
      <c r="I527" s="1064"/>
      <c r="J527" s="1056"/>
    </row>
    <row r="528" spans="1:10" ht="16" x14ac:dyDescent="0.2">
      <c r="B528" s="1056">
        <f t="shared" si="118"/>
        <v>4</v>
      </c>
      <c r="C528" s="1056">
        <f t="shared" si="118"/>
        <v>4</v>
      </c>
      <c r="D528" s="1056" t="str">
        <f t="shared" si="117"/>
        <v>Gâterie 4</v>
      </c>
      <c r="E528" s="1066">
        <f t="shared" si="121"/>
        <v>1.2333333333333334</v>
      </c>
      <c r="F528" s="1066">
        <f t="shared" si="121"/>
        <v>4.5</v>
      </c>
      <c r="G528" s="1067">
        <f t="shared" si="119"/>
        <v>0.27407407407407408</v>
      </c>
      <c r="H528" s="1068">
        <f t="shared" si="120"/>
        <v>3.2666666666666666</v>
      </c>
      <c r="I528" s="1064"/>
      <c r="J528" s="1056"/>
    </row>
    <row r="529" spans="2:10" ht="16" x14ac:dyDescent="0.2">
      <c r="B529" s="1056">
        <f t="shared" si="118"/>
        <v>5</v>
      </c>
      <c r="C529" s="1056">
        <f t="shared" si="118"/>
        <v>5</v>
      </c>
      <c r="D529" s="1056" t="str">
        <f t="shared" si="117"/>
        <v>Gâterie 5</v>
      </c>
      <c r="E529" s="1066">
        <f t="shared" si="121"/>
        <v>1.1483333333333332</v>
      </c>
      <c r="F529" s="1066">
        <f t="shared" si="121"/>
        <v>4.6000000000000005</v>
      </c>
      <c r="G529" s="1067">
        <f t="shared" si="119"/>
        <v>0.24963768115942023</v>
      </c>
      <c r="H529" s="1068">
        <f t="shared" si="120"/>
        <v>3.4516666666666671</v>
      </c>
      <c r="I529" s="1064"/>
      <c r="J529" s="1056"/>
    </row>
    <row r="530" spans="2:10" ht="16" x14ac:dyDescent="0.2">
      <c r="B530" s="1056">
        <f t="shared" si="118"/>
        <v>6</v>
      </c>
      <c r="C530" s="1056">
        <f t="shared" si="118"/>
        <v>6</v>
      </c>
      <c r="D530" s="1056" t="str">
        <f t="shared" si="117"/>
        <v>Gâterie 6</v>
      </c>
      <c r="E530" s="1066">
        <f t="shared" si="121"/>
        <v>1.2441666666666664</v>
      </c>
      <c r="F530" s="1066">
        <f t="shared" si="121"/>
        <v>4.7000000000000011</v>
      </c>
      <c r="G530" s="1067">
        <f t="shared" si="119"/>
        <v>0.26471631205673746</v>
      </c>
      <c r="H530" s="1068">
        <f t="shared" si="120"/>
        <v>3.4558333333333344</v>
      </c>
      <c r="I530" s="1064"/>
      <c r="J530" s="1056"/>
    </row>
    <row r="531" spans="2:10" ht="16" x14ac:dyDescent="0.2">
      <c r="B531" s="1056">
        <f t="shared" si="118"/>
        <v>7</v>
      </c>
      <c r="C531" s="1056">
        <f t="shared" si="118"/>
        <v>7</v>
      </c>
      <c r="D531" s="1056" t="str">
        <f t="shared" si="117"/>
        <v>Gâterie 7</v>
      </c>
      <c r="E531" s="1066">
        <f t="shared" si="121"/>
        <v>1.3225000000000002</v>
      </c>
      <c r="F531" s="1066">
        <f t="shared" si="121"/>
        <v>4.7999999999999989</v>
      </c>
      <c r="G531" s="1067">
        <f t="shared" si="119"/>
        <v>0.27552083333333344</v>
      </c>
      <c r="H531" s="1068">
        <f t="shared" si="120"/>
        <v>3.4774999999999987</v>
      </c>
      <c r="I531" s="1064"/>
      <c r="J531" s="1056"/>
    </row>
    <row r="532" spans="2:10" ht="16" x14ac:dyDescent="0.2">
      <c r="B532" s="1056">
        <f t="shared" si="118"/>
        <v>8</v>
      </c>
      <c r="C532" s="1056">
        <f t="shared" si="118"/>
        <v>8</v>
      </c>
      <c r="D532" s="1056" t="str">
        <f t="shared" si="117"/>
        <v>Gâterie 8</v>
      </c>
      <c r="E532" s="1066">
        <f t="shared" si="121"/>
        <v>1.3425</v>
      </c>
      <c r="F532" s="1066">
        <f t="shared" si="121"/>
        <v>4.8999999999999995</v>
      </c>
      <c r="G532" s="1067">
        <f t="shared" si="119"/>
        <v>0.2739795918367347</v>
      </c>
      <c r="H532" s="1068">
        <f t="shared" si="120"/>
        <v>3.5574999999999992</v>
      </c>
      <c r="I532" s="1064"/>
      <c r="J532" s="1056"/>
    </row>
    <row r="533" spans="2:10" ht="16" x14ac:dyDescent="0.2">
      <c r="B533" s="1056">
        <f t="shared" si="118"/>
        <v>9</v>
      </c>
      <c r="C533" s="1056">
        <f t="shared" si="118"/>
        <v>9</v>
      </c>
      <c r="D533" s="1056" t="str">
        <f t="shared" si="117"/>
        <v>Gâterie 9</v>
      </c>
      <c r="E533" s="1066">
        <f t="shared" si="121"/>
        <v>1.3625</v>
      </c>
      <c r="F533" s="1066">
        <f t="shared" si="121"/>
        <v>5</v>
      </c>
      <c r="G533" s="1067">
        <f t="shared" si="119"/>
        <v>0.27250000000000002</v>
      </c>
      <c r="H533" s="1068">
        <f t="shared" si="120"/>
        <v>3.6375000000000002</v>
      </c>
      <c r="I533" s="1064"/>
      <c r="J533" s="1056"/>
    </row>
    <row r="534" spans="2:10" ht="16" x14ac:dyDescent="0.2">
      <c r="B534" s="1056">
        <f t="shared" si="118"/>
        <v>10</v>
      </c>
      <c r="C534" s="1056">
        <f t="shared" si="118"/>
        <v>10</v>
      </c>
      <c r="D534" s="1056" t="str">
        <f t="shared" si="117"/>
        <v>Gâterie 10</v>
      </c>
      <c r="E534" s="1066">
        <f t="shared" si="121"/>
        <v>1.4025000000000001</v>
      </c>
      <c r="F534" s="1066">
        <f t="shared" si="121"/>
        <v>5.2000000000000011</v>
      </c>
      <c r="G534" s="1067">
        <f t="shared" si="119"/>
        <v>0.26971153846153845</v>
      </c>
      <c r="H534" s="1068">
        <f t="shared" si="120"/>
        <v>3.7975000000000012</v>
      </c>
      <c r="I534" s="1064"/>
      <c r="J534" s="1056"/>
    </row>
    <row r="535" spans="2:10" ht="16" x14ac:dyDescent="0.2">
      <c r="B535" s="1056">
        <f t="shared" si="118"/>
        <v>11</v>
      </c>
      <c r="C535" s="1056">
        <f t="shared" si="118"/>
        <v>11</v>
      </c>
      <c r="D535" s="1056" t="str">
        <f t="shared" si="117"/>
        <v>Gâterie 11</v>
      </c>
      <c r="E535" s="1066">
        <f t="shared" si="121"/>
        <v>1.6424999999999998</v>
      </c>
      <c r="F535" s="1066">
        <f t="shared" si="121"/>
        <v>6.3999999999999995</v>
      </c>
      <c r="G535" s="1067">
        <f t="shared" si="119"/>
        <v>0.25664062500000001</v>
      </c>
      <c r="H535" s="1068">
        <f t="shared" si="120"/>
        <v>4.7574999999999994</v>
      </c>
      <c r="I535" s="1064"/>
      <c r="J535" s="1056"/>
    </row>
    <row r="536" spans="2:10" ht="16" x14ac:dyDescent="0.2">
      <c r="B536" s="1056">
        <f t="shared" si="118"/>
        <v>12</v>
      </c>
      <c r="C536" s="1056">
        <f t="shared" si="118"/>
        <v>12</v>
      </c>
      <c r="D536" s="1056" t="str">
        <f t="shared" si="117"/>
        <v>Gâterie 12</v>
      </c>
      <c r="E536" s="1066">
        <f t="shared" si="121"/>
        <v>1.6825000000000003</v>
      </c>
      <c r="F536" s="1066">
        <f t="shared" si="121"/>
        <v>6.5999999999999988</v>
      </c>
      <c r="G536" s="1067">
        <f t="shared" si="119"/>
        <v>0.2549242424242425</v>
      </c>
      <c r="H536" s="1068">
        <f t="shared" si="120"/>
        <v>4.9174999999999986</v>
      </c>
      <c r="I536" s="1064"/>
      <c r="J536" s="1056"/>
    </row>
    <row r="537" spans="2:10" ht="19" x14ac:dyDescent="0.35">
      <c r="B537" s="1056"/>
      <c r="C537" s="1056"/>
      <c r="D537" s="1063" t="str">
        <f t="shared" si="117"/>
        <v>CmO—PmO—Food Cost—BmO</v>
      </c>
      <c r="E537" s="1072">
        <f>SUM(E525:E536)/C536</f>
        <v>1.3073611111111112</v>
      </c>
      <c r="F537" s="1072">
        <f>SUM(F525:F536)/C536</f>
        <v>4.8166666666666664</v>
      </c>
      <c r="G537" s="1073">
        <f t="shared" si="119"/>
        <v>0.27142445213379474</v>
      </c>
      <c r="H537" s="1074">
        <f t="shared" si="120"/>
        <v>3.5093055555555552</v>
      </c>
      <c r="I537" s="1075"/>
      <c r="J537" s="1056"/>
    </row>
    <row r="538" spans="2:10" ht="16" x14ac:dyDescent="0.2">
      <c r="B538" s="1056" t="s">
        <v>2</v>
      </c>
      <c r="C538" s="1056"/>
      <c r="D538" s="1056"/>
      <c r="E538" s="1066"/>
      <c r="F538" s="1066"/>
      <c r="G538" s="1067"/>
      <c r="H538" s="1076"/>
      <c r="I538" s="1056"/>
      <c r="J538" s="1056"/>
    </row>
    <row r="539" spans="2:10" ht="16" x14ac:dyDescent="0.2">
      <c r="B539" s="1056"/>
      <c r="C539" s="1056"/>
      <c r="D539" s="1063" t="str">
        <f t="shared" ref="D539:D552" si="122">D496</f>
        <v>Les cafés gâteries</v>
      </c>
      <c r="E539" s="1066"/>
      <c r="F539" s="1066"/>
      <c r="G539" s="1067"/>
      <c r="H539" s="1076"/>
      <c r="I539" s="1056"/>
      <c r="J539" s="1056"/>
    </row>
    <row r="540" spans="2:10" ht="16" x14ac:dyDescent="0.2">
      <c r="B540" s="1056">
        <f t="shared" ref="B540:C551" si="123">B497</f>
        <v>13</v>
      </c>
      <c r="C540" s="1056">
        <f t="shared" si="123"/>
        <v>1</v>
      </c>
      <c r="D540" s="1056" t="str">
        <f t="shared" si="122"/>
        <v>Café gâterie le spécial 1</v>
      </c>
      <c r="E540" s="1066">
        <f>(E24+E67+E110+E153+E196+E239+E282+E325+E368+E411+E454+E497)/12</f>
        <v>1.1400000000000001</v>
      </c>
      <c r="F540" s="1066">
        <f t="shared" ref="F540:F551" si="124">(F24+F67+F110+F153+F196+F239+F282+F325+F368+F411+F454+F497)/12</f>
        <v>3.2999999999999994</v>
      </c>
      <c r="G540" s="1067">
        <f>E540/F540</f>
        <v>0.34545454545454557</v>
      </c>
      <c r="H540" s="1068">
        <f>F540-E540</f>
        <v>2.1599999999999993</v>
      </c>
      <c r="I540" s="1064"/>
      <c r="J540" s="1056"/>
    </row>
    <row r="541" spans="2:10" ht="16" x14ac:dyDescent="0.2">
      <c r="B541" s="1056">
        <f t="shared" si="123"/>
        <v>14</v>
      </c>
      <c r="C541" s="1056">
        <f t="shared" si="123"/>
        <v>2</v>
      </c>
      <c r="D541" s="1056" t="str">
        <f t="shared" si="122"/>
        <v>Café gâterie le spécial 2</v>
      </c>
      <c r="E541" s="1066">
        <f t="shared" ref="E541:E551" si="125">(E25+E68+E111+E154+E197+E240+E283+E326+E369+E412+E455+E498)/12</f>
        <v>1.33</v>
      </c>
      <c r="F541" s="1066">
        <f t="shared" si="124"/>
        <v>3.7999999999999994</v>
      </c>
      <c r="G541" s="1067">
        <f>E541/F541</f>
        <v>0.35000000000000009</v>
      </c>
      <c r="H541" s="1068">
        <f>F541-E541</f>
        <v>2.4699999999999993</v>
      </c>
      <c r="I541" s="1064"/>
      <c r="J541" s="1056"/>
    </row>
    <row r="542" spans="2:10" ht="16" x14ac:dyDescent="0.2">
      <c r="B542" s="1056">
        <f t="shared" si="123"/>
        <v>15</v>
      </c>
      <c r="C542" s="1056">
        <f t="shared" si="123"/>
        <v>3</v>
      </c>
      <c r="D542" s="1056" t="str">
        <f t="shared" si="122"/>
        <v>Café gâterie le spécial 3</v>
      </c>
      <c r="E542" s="1066">
        <f t="shared" si="125"/>
        <v>1.3700000000000003</v>
      </c>
      <c r="F542" s="1066">
        <f t="shared" si="124"/>
        <v>4</v>
      </c>
      <c r="G542" s="1067">
        <f>E542/F542</f>
        <v>0.34250000000000008</v>
      </c>
      <c r="H542" s="1068">
        <f>F542-E542</f>
        <v>2.63</v>
      </c>
      <c r="I542" s="1064"/>
      <c r="J542" s="1056"/>
    </row>
    <row r="543" spans="2:10" ht="16" x14ac:dyDescent="0.2">
      <c r="B543" s="1056">
        <f t="shared" si="123"/>
        <v>16</v>
      </c>
      <c r="C543" s="1056">
        <f t="shared" si="123"/>
        <v>4</v>
      </c>
      <c r="D543" s="1056" t="str">
        <f t="shared" si="122"/>
        <v>Café gâterie le spécial 4</v>
      </c>
      <c r="E543" s="1066">
        <f t="shared" si="125"/>
        <v>1.3599999999999997</v>
      </c>
      <c r="F543" s="1066">
        <f t="shared" si="124"/>
        <v>4.5</v>
      </c>
      <c r="G543" s="1067">
        <f t="shared" ref="G543:G550" si="126">E543/F543</f>
        <v>0.30222222222222217</v>
      </c>
      <c r="H543" s="1068">
        <f t="shared" ref="H543:H550" si="127">F543-E543</f>
        <v>3.1400000000000006</v>
      </c>
      <c r="I543" s="1064"/>
      <c r="J543" s="1056"/>
    </row>
    <row r="544" spans="2:10" ht="16" x14ac:dyDescent="0.2">
      <c r="B544" s="1056">
        <f t="shared" si="123"/>
        <v>17</v>
      </c>
      <c r="C544" s="1056">
        <f t="shared" si="123"/>
        <v>5</v>
      </c>
      <c r="D544" s="1056" t="str">
        <f t="shared" si="122"/>
        <v>Café gâterie le spécial 5</v>
      </c>
      <c r="E544" s="1066">
        <f t="shared" si="125"/>
        <v>1.3799999999999997</v>
      </c>
      <c r="F544" s="1066">
        <f t="shared" si="124"/>
        <v>4.6000000000000005</v>
      </c>
      <c r="G544" s="1067">
        <f t="shared" si="126"/>
        <v>0.29999999999999988</v>
      </c>
      <c r="H544" s="1068">
        <f t="shared" si="127"/>
        <v>3.2200000000000006</v>
      </c>
      <c r="I544" s="1064"/>
      <c r="J544" s="1056"/>
    </row>
    <row r="545" spans="2:10" ht="16" x14ac:dyDescent="0.2">
      <c r="B545" s="1056">
        <f t="shared" si="123"/>
        <v>18</v>
      </c>
      <c r="C545" s="1056">
        <f t="shared" si="123"/>
        <v>6</v>
      </c>
      <c r="D545" s="1056" t="str">
        <f t="shared" si="122"/>
        <v>Café gâterie le spécial 6</v>
      </c>
      <c r="E545" s="1066">
        <f t="shared" si="125"/>
        <v>1.4000000000000001</v>
      </c>
      <c r="F545" s="1066">
        <f t="shared" si="124"/>
        <v>4.7000000000000011</v>
      </c>
      <c r="G545" s="1067">
        <f t="shared" si="126"/>
        <v>0.2978723404255319</v>
      </c>
      <c r="H545" s="1068">
        <f t="shared" si="127"/>
        <v>3.3000000000000007</v>
      </c>
      <c r="I545" s="1064"/>
      <c r="J545" s="1056"/>
    </row>
    <row r="546" spans="2:10" ht="16" x14ac:dyDescent="0.2">
      <c r="B546" s="1056">
        <f t="shared" si="123"/>
        <v>19</v>
      </c>
      <c r="C546" s="1056">
        <f t="shared" si="123"/>
        <v>7</v>
      </c>
      <c r="D546" s="1056" t="str">
        <f t="shared" si="122"/>
        <v>Café gâterie le spécial 7</v>
      </c>
      <c r="E546" s="1066">
        <f t="shared" si="125"/>
        <v>1.41</v>
      </c>
      <c r="F546" s="1066">
        <f t="shared" si="124"/>
        <v>4.7999999999999989</v>
      </c>
      <c r="G546" s="1067">
        <f t="shared" si="126"/>
        <v>0.29375000000000007</v>
      </c>
      <c r="H546" s="1068">
        <f t="shared" si="127"/>
        <v>3.3899999999999988</v>
      </c>
      <c r="I546" s="1064"/>
      <c r="J546" s="1056"/>
    </row>
    <row r="547" spans="2:10" ht="16" x14ac:dyDescent="0.2">
      <c r="B547" s="1056">
        <f t="shared" si="123"/>
        <v>20</v>
      </c>
      <c r="C547" s="1056">
        <f t="shared" si="123"/>
        <v>8</v>
      </c>
      <c r="D547" s="1056" t="str">
        <f t="shared" si="122"/>
        <v>Café gâterie le spécial 8</v>
      </c>
      <c r="E547" s="1066">
        <f t="shared" si="125"/>
        <v>1.43</v>
      </c>
      <c r="F547" s="1066">
        <f t="shared" si="124"/>
        <v>4.8999999999999995</v>
      </c>
      <c r="G547" s="1067">
        <f t="shared" si="126"/>
        <v>0.29183673469387755</v>
      </c>
      <c r="H547" s="1068">
        <f t="shared" si="127"/>
        <v>3.4699999999999998</v>
      </c>
      <c r="I547" s="1064"/>
      <c r="J547" s="1056"/>
    </row>
    <row r="548" spans="2:10" ht="16" x14ac:dyDescent="0.2">
      <c r="B548" s="1056">
        <f t="shared" si="123"/>
        <v>21</v>
      </c>
      <c r="C548" s="1056">
        <f t="shared" si="123"/>
        <v>9</v>
      </c>
      <c r="D548" s="1056" t="str">
        <f t="shared" si="122"/>
        <v>Café gâterie le spécial 9</v>
      </c>
      <c r="E548" s="1066">
        <f t="shared" si="125"/>
        <v>1.4499999999999995</v>
      </c>
      <c r="F548" s="1066">
        <f t="shared" si="124"/>
        <v>5</v>
      </c>
      <c r="G548" s="1067">
        <f t="shared" si="126"/>
        <v>0.28999999999999992</v>
      </c>
      <c r="H548" s="1068">
        <f t="shared" si="127"/>
        <v>3.5500000000000007</v>
      </c>
      <c r="I548" s="1064"/>
      <c r="J548" s="1056"/>
    </row>
    <row r="549" spans="2:10" ht="16" x14ac:dyDescent="0.2">
      <c r="B549" s="1056">
        <f t="shared" si="123"/>
        <v>22</v>
      </c>
      <c r="C549" s="1056">
        <f t="shared" si="123"/>
        <v>10</v>
      </c>
      <c r="D549" s="1056" t="str">
        <f t="shared" si="122"/>
        <v>Café gâterie le spécial 10</v>
      </c>
      <c r="E549" s="1066">
        <f t="shared" si="125"/>
        <v>1.49</v>
      </c>
      <c r="F549" s="1066">
        <f t="shared" si="124"/>
        <v>5.2000000000000011</v>
      </c>
      <c r="G549" s="1067">
        <f t="shared" si="126"/>
        <v>0.28653846153846146</v>
      </c>
      <c r="H549" s="1068">
        <f t="shared" si="127"/>
        <v>3.7100000000000009</v>
      </c>
      <c r="I549" s="1064"/>
      <c r="J549" s="1056"/>
    </row>
    <row r="550" spans="2:10" ht="16" x14ac:dyDescent="0.2">
      <c r="B550" s="1056">
        <f t="shared" si="123"/>
        <v>23</v>
      </c>
      <c r="C550" s="1056">
        <f t="shared" si="123"/>
        <v>11</v>
      </c>
      <c r="D550" s="1056" t="str">
        <f t="shared" si="122"/>
        <v>Café gâterie le spécial 11</v>
      </c>
      <c r="E550" s="1066">
        <f t="shared" si="125"/>
        <v>1.59</v>
      </c>
      <c r="F550" s="1066">
        <f t="shared" si="124"/>
        <v>5.799999999999998</v>
      </c>
      <c r="G550" s="1067">
        <f t="shared" si="126"/>
        <v>0.27413793103448286</v>
      </c>
      <c r="H550" s="1068">
        <f t="shared" si="127"/>
        <v>4.2099999999999982</v>
      </c>
      <c r="I550" s="1064"/>
      <c r="J550" s="1056"/>
    </row>
    <row r="551" spans="2:10" ht="16" x14ac:dyDescent="0.2">
      <c r="B551" s="1056">
        <f t="shared" si="123"/>
        <v>24</v>
      </c>
      <c r="C551" s="1056">
        <f t="shared" si="123"/>
        <v>12</v>
      </c>
      <c r="D551" s="1056" t="str">
        <f t="shared" si="122"/>
        <v>Café gâterie le spécial 12</v>
      </c>
      <c r="E551" s="1066">
        <f t="shared" si="125"/>
        <v>1.7399999999999995</v>
      </c>
      <c r="F551" s="1066">
        <f t="shared" si="124"/>
        <v>6.5999999999999988</v>
      </c>
      <c r="G551" s="1067">
        <f>E551/F551</f>
        <v>0.26363636363636361</v>
      </c>
      <c r="H551" s="1068">
        <f>F551-E551</f>
        <v>4.8599999999999994</v>
      </c>
      <c r="I551" s="1064"/>
      <c r="J551" s="1056"/>
    </row>
    <row r="552" spans="2:10" ht="19" x14ac:dyDescent="0.35">
      <c r="B552" s="1056"/>
      <c r="C552" s="1056"/>
      <c r="D552" s="1063" t="str">
        <f t="shared" si="122"/>
        <v>CmO—PmO—Beverage Cost—Marge brute</v>
      </c>
      <c r="E552" s="1072">
        <f>SUM(E540:E551)/C551</f>
        <v>1.4241666666666666</v>
      </c>
      <c r="F552" s="1072">
        <f>SUM(F540:F551)/C551</f>
        <v>4.7666666666666666</v>
      </c>
      <c r="G552" s="1077">
        <f>E552/F552</f>
        <v>0.29877622377622376</v>
      </c>
      <c r="H552" s="1074">
        <f>F552-E552</f>
        <v>3.3425000000000002</v>
      </c>
      <c r="I552" s="1075"/>
      <c r="J552" s="1056"/>
    </row>
    <row r="553" spans="2:10" ht="17" thickBot="1" x14ac:dyDescent="0.25">
      <c r="B553" s="1056"/>
      <c r="C553" s="1056"/>
      <c r="D553" s="1056"/>
      <c r="E553" s="1066"/>
      <c r="F553" s="1066"/>
      <c r="G553" s="1065"/>
      <c r="H553" s="1076"/>
      <c r="I553" s="1056"/>
      <c r="J553" s="1056"/>
    </row>
    <row r="554" spans="2:10" ht="21" thickTop="1" thickBot="1" x14ac:dyDescent="0.4">
      <c r="B554" s="1056"/>
      <c r="C554" s="1078"/>
      <c r="D554" s="1079"/>
      <c r="E554" s="1080"/>
      <c r="F554" s="1080"/>
      <c r="G554" s="1081"/>
      <c r="H554" s="1082"/>
      <c r="I554" s="1083"/>
      <c r="J554" s="1056"/>
    </row>
    <row r="555" spans="2:10" ht="18" thickTop="1" thickBot="1" x14ac:dyDescent="0.25">
      <c r="B555" s="1056"/>
      <c r="C555" s="1085"/>
      <c r="D555" s="1063"/>
      <c r="E555" s="1086" t="str">
        <f>E512</f>
        <v>CmO</v>
      </c>
      <c r="F555" s="1086" t="str">
        <f>F512</f>
        <v>PmO</v>
      </c>
      <c r="G555" s="1087" t="str">
        <f>G512</f>
        <v>F&amp;BCmO</v>
      </c>
      <c r="H555" s="1113" t="str">
        <f>H512</f>
        <v>BmO</v>
      </c>
      <c r="I555" s="1088"/>
      <c r="J555" s="1056"/>
    </row>
    <row r="556" spans="2:10" ht="17" thickTop="1" x14ac:dyDescent="0.2">
      <c r="B556" s="1056"/>
      <c r="C556" s="1085"/>
      <c r="D556" s="1089" t="str">
        <f>D513</f>
        <v>OFFRE TOTALE AVEC LES GÂTERIES ET LES CAFÉS GÂTERIES</v>
      </c>
      <c r="E556" s="1066"/>
      <c r="F556" s="1066"/>
      <c r="G556" s="1065"/>
      <c r="H556" s="1076"/>
      <c r="I556" s="1090"/>
      <c r="J556" s="1056"/>
    </row>
    <row r="557" spans="2:10" ht="19" x14ac:dyDescent="0.35">
      <c r="B557" s="1056"/>
      <c r="C557" s="1085"/>
      <c r="D557" s="1063" t="str">
        <f>D514</f>
        <v>CmO—PmO—F&amp;B cost moyen offert—Marge brute</v>
      </c>
      <c r="E557" s="1093">
        <f>+(E525+E526+E527+E528+E529+E530+E531+E532+E533+E534+E535+E536+E540+E541+E542+E543+E544+E545+E546+E547+E548+E549+E550+E551)/B551</f>
        <v>1.3657638888888888</v>
      </c>
      <c r="F557" s="1093">
        <f>+(F525+F526+F527+F528+F529+F530+F531+F532+F533+F534+F535+F536+F540+F541+F542+F543+F544+F545+F546+F547+F548+F549+F550+F551)/B551</f>
        <v>4.7916666666666661</v>
      </c>
      <c r="G557" s="1094">
        <f>E557/F557</f>
        <v>0.28502898550724637</v>
      </c>
      <c r="H557" s="1095">
        <f>F557-E557</f>
        <v>3.4259027777777771</v>
      </c>
      <c r="I557" s="1096"/>
      <c r="J557" s="1056"/>
    </row>
    <row r="558" spans="2:10" ht="16" x14ac:dyDescent="0.2">
      <c r="B558" s="1056"/>
      <c r="C558" s="1085"/>
      <c r="D558" s="1056"/>
      <c r="E558" s="1069"/>
      <c r="F558" s="1069"/>
      <c r="G558" s="1070"/>
      <c r="H558" s="1097"/>
      <c r="I558" s="1098"/>
      <c r="J558" s="1056"/>
    </row>
    <row r="559" spans="2:10" ht="17" thickBot="1" x14ac:dyDescent="0.25">
      <c r="B559" s="1056"/>
      <c r="C559" s="1100"/>
      <c r="D559" s="1101"/>
      <c r="E559" s="1102"/>
      <c r="F559" s="1102"/>
      <c r="G559" s="1103"/>
      <c r="H559" s="1104"/>
      <c r="I559" s="1105"/>
      <c r="J559" s="1056"/>
    </row>
    <row r="560" spans="2:10" ht="14" thickTop="1" x14ac:dyDescent="0.15"/>
  </sheetData>
  <mergeCells count="54">
    <mergeCell ref="A1:A258"/>
    <mergeCell ref="E4:E6"/>
    <mergeCell ref="F4:F6"/>
    <mergeCell ref="G4:G6"/>
    <mergeCell ref="H4:H6"/>
    <mergeCell ref="E47:E49"/>
    <mergeCell ref="F47:F49"/>
    <mergeCell ref="G47:G49"/>
    <mergeCell ref="H47:H49"/>
    <mergeCell ref="E90:E92"/>
    <mergeCell ref="F90:F92"/>
    <mergeCell ref="G90:G92"/>
    <mergeCell ref="H90:H92"/>
    <mergeCell ref="E133:E135"/>
    <mergeCell ref="F133:F135"/>
    <mergeCell ref="G133:G135"/>
    <mergeCell ref="H133:H135"/>
    <mergeCell ref="E176:E178"/>
    <mergeCell ref="F176:F178"/>
    <mergeCell ref="G176:G178"/>
    <mergeCell ref="H176:H178"/>
    <mergeCell ref="E219:E221"/>
    <mergeCell ref="F219:F221"/>
    <mergeCell ref="G219:G221"/>
    <mergeCell ref="H219:H221"/>
    <mergeCell ref="A260:A516"/>
    <mergeCell ref="E262:E264"/>
    <mergeCell ref="F262:F264"/>
    <mergeCell ref="G262:G264"/>
    <mergeCell ref="H262:H264"/>
    <mergeCell ref="E305:E307"/>
    <mergeCell ref="F305:F307"/>
    <mergeCell ref="G305:G307"/>
    <mergeCell ref="H305:H307"/>
    <mergeCell ref="E348:E350"/>
    <mergeCell ref="F348:F350"/>
    <mergeCell ref="G348:G350"/>
    <mergeCell ref="H348:H350"/>
    <mergeCell ref="E391:E393"/>
    <mergeCell ref="F391:F393"/>
    <mergeCell ref="G391:G393"/>
    <mergeCell ref="H391:H393"/>
    <mergeCell ref="E520:E522"/>
    <mergeCell ref="F520:F522"/>
    <mergeCell ref="G520:G522"/>
    <mergeCell ref="H520:H522"/>
    <mergeCell ref="E434:E436"/>
    <mergeCell ref="F434:F436"/>
    <mergeCell ref="G434:G436"/>
    <mergeCell ref="H434:H436"/>
    <mergeCell ref="E477:E479"/>
    <mergeCell ref="F477:F479"/>
    <mergeCell ref="G477:G479"/>
    <mergeCell ref="H477:H479"/>
  </mergeCells>
  <pageMargins left="0.78740157499999996" right="0.78740157499999996" top="0.984251969" bottom="0.984251969" header="0.5" footer="0.5"/>
  <pageSetup orientation="portrait" horizontalDpi="4294967292" verticalDpi="4294967292"/>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C82"/>
  <sheetViews>
    <sheetView zoomScale="125" zoomScaleNormal="125" zoomScalePageLayoutView="125" workbookViewId="0">
      <pane xSplit="2" ySplit="9" topLeftCell="C10" activePane="bottomRight" state="frozen"/>
      <selection pane="topRight" activeCell="C1" sqref="C1"/>
      <selection pane="bottomLeft" activeCell="A10" sqref="A10"/>
      <selection pane="bottomRight"/>
    </sheetView>
  </sheetViews>
  <sheetFormatPr baseColWidth="10" defaultRowHeight="13" x14ac:dyDescent="0.15"/>
  <cols>
    <col min="1" max="1" width="1.5" style="161" customWidth="1"/>
    <col min="2" max="2" width="55.5" style="161" bestFit="1" customWidth="1"/>
    <col min="3" max="3" width="0.83203125" style="161" customWidth="1"/>
    <col min="4" max="4" width="15.6640625" style="161" bestFit="1" customWidth="1"/>
    <col min="5" max="5" width="12.1640625" style="161" bestFit="1" customWidth="1"/>
    <col min="6" max="6" width="0.83203125" style="161" customWidth="1"/>
    <col min="7" max="7" width="15.6640625" style="161" bestFit="1" customWidth="1"/>
    <col min="8" max="8" width="7.1640625" style="161" bestFit="1" customWidth="1"/>
    <col min="9" max="9" width="0.83203125" style="161" customWidth="1"/>
    <col min="10" max="10" width="15.6640625" style="161" bestFit="1" customWidth="1"/>
    <col min="11" max="11" width="7.1640625" style="161" bestFit="1" customWidth="1"/>
    <col min="12" max="12" width="0.83203125" style="161" customWidth="1"/>
    <col min="13" max="13" width="15.6640625" style="161" bestFit="1" customWidth="1"/>
    <col min="14" max="14" width="7.1640625" style="161" bestFit="1" customWidth="1"/>
    <col min="15" max="15" width="0.83203125" style="161" customWidth="1"/>
    <col min="16" max="16" width="15.6640625" style="161" bestFit="1" customWidth="1"/>
    <col min="17" max="17" width="7.1640625" style="161" bestFit="1" customWidth="1"/>
    <col min="18" max="18" width="0.83203125" style="161" customWidth="1"/>
    <col min="19" max="19" width="15.6640625" style="161" bestFit="1" customWidth="1"/>
    <col min="20" max="20" width="7.1640625" style="161" bestFit="1" customWidth="1"/>
    <col min="21" max="21" width="0.83203125" style="161" customWidth="1"/>
    <col min="22" max="22" width="15.6640625" style="161" bestFit="1" customWidth="1"/>
    <col min="23" max="23" width="7.6640625" style="161" bestFit="1" customWidth="1"/>
    <col min="24" max="24" width="0.83203125" style="161" customWidth="1"/>
    <col min="25" max="25" width="15.6640625" style="161" bestFit="1" customWidth="1"/>
    <col min="26" max="26" width="7.6640625" style="161" bestFit="1" customWidth="1"/>
    <col min="27" max="27" width="0.83203125" style="161" customWidth="1"/>
    <col min="28" max="28" width="15.6640625" style="161" bestFit="1" customWidth="1"/>
    <col min="29" max="29" width="7.1640625" style="161" bestFit="1" customWidth="1"/>
    <col min="30" max="30" width="0.83203125" style="161" customWidth="1"/>
    <col min="31" max="31" width="15.6640625" style="161" bestFit="1" customWidth="1"/>
    <col min="32" max="32" width="7.1640625" style="161" bestFit="1" customWidth="1"/>
    <col min="33" max="33" width="0.83203125" style="161" customWidth="1"/>
    <col min="34" max="34" width="15.6640625" style="161" bestFit="1" customWidth="1"/>
    <col min="35" max="35" width="7.1640625" style="161" bestFit="1" customWidth="1"/>
    <col min="36" max="36" width="0.83203125" style="161" customWidth="1"/>
    <col min="37" max="37" width="15.6640625" style="161" bestFit="1" customWidth="1"/>
    <col min="38" max="38" width="7.1640625" style="161" bestFit="1" customWidth="1"/>
    <col min="39" max="40" width="0.83203125" style="161" customWidth="1"/>
    <col min="41" max="41" width="15.6640625" style="161" bestFit="1" customWidth="1"/>
    <col min="42" max="42" width="8.83203125" style="161" bestFit="1" customWidth="1"/>
    <col min="43" max="43" width="0.83203125" style="161" customWidth="1"/>
    <col min="44" max="44" width="3.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624" t="str">
        <f>'État des Résultats'!C2</f>
        <v>Chez Les Petites Gâteries &amp; Cie.</v>
      </c>
      <c r="G2" s="312" t="s">
        <v>2</v>
      </c>
      <c r="AS2" s="1240" t="s">
        <v>42</v>
      </c>
      <c r="AT2" s="367"/>
      <c r="AU2" s="367"/>
      <c r="AV2" s="367"/>
      <c r="AW2" s="367"/>
      <c r="AX2" s="367"/>
      <c r="AY2" s="367"/>
      <c r="AZ2" s="367"/>
      <c r="BA2" s="367"/>
      <c r="BB2" s="367"/>
      <c r="BC2" s="1243" t="s">
        <v>43</v>
      </c>
    </row>
    <row r="3" spans="2:55" ht="20" customHeight="1" x14ac:dyDescent="0.2">
      <c r="B3" s="625" t="str">
        <f>'État des Résultats'!C3</f>
        <v xml:space="preserve">États des résultats </v>
      </c>
      <c r="AS3" s="1241"/>
      <c r="AT3" s="368"/>
      <c r="AU3" s="368"/>
      <c r="AV3" s="368"/>
      <c r="AW3" s="368"/>
      <c r="AX3" s="368"/>
      <c r="AY3" s="368"/>
      <c r="AZ3" s="368"/>
      <c r="BA3" s="368"/>
      <c r="BB3" s="368"/>
      <c r="BC3" s="1244"/>
    </row>
    <row r="4" spans="2:55" ht="20" customHeight="1" thickBot="1" x14ac:dyDescent="0.3">
      <c r="B4" s="626" t="str">
        <f>'État des Résultats'!C4</f>
        <v>Pour la période du 1er janvier 2021 au 31 décembre 2021</v>
      </c>
      <c r="D4" s="313" t="s">
        <v>2</v>
      </c>
      <c r="AS4" s="1241"/>
      <c r="AT4" s="369" t="str">
        <f>'Formule pour le calcul D'!BA103</f>
        <v>Coût annuel</v>
      </c>
      <c r="AU4" s="369" t="s">
        <v>44</v>
      </c>
      <c r="AV4" s="369" t="str">
        <f>'Formule pour le calcul D'!BC103</f>
        <v>Achalandage annuelle</v>
      </c>
      <c r="AW4" s="369" t="s">
        <v>45</v>
      </c>
      <c r="AX4" s="369" t="s">
        <v>46</v>
      </c>
      <c r="AY4" s="369" t="str">
        <f>'Formule pour le calcul D'!BF103</f>
        <v>Um/A</v>
      </c>
      <c r="AZ4" s="369" t="s">
        <v>45</v>
      </c>
      <c r="BA4" s="369" t="str">
        <f>'Formule pour le calcul D'!BH103</f>
        <v>CmO</v>
      </c>
      <c r="BB4" s="369" t="s">
        <v>49</v>
      </c>
      <c r="BC4" s="1244"/>
    </row>
    <row r="5" spans="2:55" ht="21" thickTop="1" thickBot="1" x14ac:dyDescent="0.3">
      <c r="B5" s="251"/>
      <c r="AS5" s="1241"/>
      <c r="AT5" s="370" t="s">
        <v>2</v>
      </c>
      <c r="AU5" s="371"/>
      <c r="AV5" s="370"/>
      <c r="AW5" s="371"/>
      <c r="AX5" s="371"/>
      <c r="AY5" s="371"/>
      <c r="AZ5" s="371"/>
      <c r="BA5" s="371"/>
      <c r="BB5" s="371"/>
      <c r="BC5" s="1244"/>
    </row>
    <row r="6" spans="2:55" ht="27" thickTop="1" x14ac:dyDescent="0.3">
      <c r="B6" s="167" t="str">
        <f>'État des Résultats'!C6</f>
        <v>Nb de places</v>
      </c>
      <c r="D6" s="555" t="s">
        <v>170</v>
      </c>
      <c r="E6" s="552">
        <f>D14/$B$7/'Calendrier 2021'!D8</f>
        <v>356.94881720430106</v>
      </c>
      <c r="F6" s="170"/>
      <c r="G6" s="555" t="str">
        <f>+D6</f>
        <v>Coût / place / jour</v>
      </c>
      <c r="H6" s="552">
        <f>G14/$B$7/'Calendrier 2021'!E8</f>
        <v>383.05110119047623</v>
      </c>
      <c r="I6" s="170"/>
      <c r="J6" s="555" t="str">
        <f>+G6</f>
        <v>Coût / place / jour</v>
      </c>
      <c r="K6" s="552">
        <f>J14/$B$7/'Calendrier 2021'!F8</f>
        <v>385.53846774193551</v>
      </c>
      <c r="L6" s="170"/>
      <c r="M6" s="555" t="str">
        <f>+J6</f>
        <v>Coût / place / jour</v>
      </c>
      <c r="N6" s="552">
        <f>M14/$B$7/'Calendrier 2021'!G8</f>
        <v>403.03908333333334</v>
      </c>
      <c r="O6" s="171"/>
      <c r="P6" s="564" t="str">
        <f>+M6</f>
        <v>Coût / place / jour</v>
      </c>
      <c r="Q6" s="552">
        <f>P14/$B$7/'Calendrier 2021'!H8</f>
        <v>419.93978494623656</v>
      </c>
      <c r="R6" s="170"/>
      <c r="S6" s="564" t="str">
        <f>+P6</f>
        <v>Coût / place / jour</v>
      </c>
      <c r="T6" s="552">
        <f>S14/$B$7/'Calendrier 2021'!I8</f>
        <v>445.94855555555552</v>
      </c>
      <c r="U6" s="170"/>
      <c r="V6" s="564" t="str">
        <f>+S6</f>
        <v>Coût / place / jour</v>
      </c>
      <c r="W6" s="552">
        <f>V14/$B$7/'Calendrier 2021'!J8</f>
        <v>447.40459677419352</v>
      </c>
      <c r="X6" s="170"/>
      <c r="Y6" s="555" t="str">
        <f>+V6</f>
        <v>Coût / place / jour</v>
      </c>
      <c r="Z6" s="552">
        <f>Y14/$B$7/'Calendrier 2021'!K8</f>
        <v>388.04999999999995</v>
      </c>
      <c r="AA6" s="170"/>
      <c r="AB6" s="555" t="str">
        <f>+Y6</f>
        <v>Coût / place / jour</v>
      </c>
      <c r="AC6" s="552">
        <f>AB14/$B$7/'Calendrier 2021'!L8</f>
        <v>366.65749999999997</v>
      </c>
      <c r="AD6" s="515"/>
      <c r="AE6" s="555" t="str">
        <f>+AB6</f>
        <v>Coût / place / jour</v>
      </c>
      <c r="AF6" s="552">
        <f>AE14/$B$7/'Calendrier 2021'!M8</f>
        <v>355.15080645161288</v>
      </c>
      <c r="AG6" s="170"/>
      <c r="AH6" s="555" t="str">
        <f>+AE6</f>
        <v>Coût / place / jour</v>
      </c>
      <c r="AI6" s="552">
        <f>AH14/$B$7/'Calendrier 2021'!N8</f>
        <v>341.11916666666667</v>
      </c>
      <c r="AJ6" s="170"/>
      <c r="AK6" s="555" t="str">
        <f>+AH6</f>
        <v>Coût / place / jour</v>
      </c>
      <c r="AL6" s="552">
        <f>AK14/$B$7/'Calendrier 2021'!O8</f>
        <v>366.86612903225802</v>
      </c>
      <c r="AM6" s="170"/>
      <c r="AN6" s="170"/>
      <c r="AO6" s="553" t="str">
        <f>+D6</f>
        <v>Coût / place / jour</v>
      </c>
      <c r="AP6" s="565">
        <f>+AO14/$B$7/'% Occupation'!P8</f>
        <v>388.34305936073059</v>
      </c>
      <c r="AQ6" s="170"/>
      <c r="AR6" s="170"/>
      <c r="AS6" s="1241"/>
      <c r="AT6" s="372" t="str">
        <f>'Formule pour le calcul D'!BA105</f>
        <v xml:space="preserve">C </v>
      </c>
      <c r="AU6" s="373"/>
      <c r="AV6" s="372" t="str">
        <f>'Formule pour le calcul D'!BC105</f>
        <v>A</v>
      </c>
      <c r="AW6" s="373"/>
      <c r="AX6" s="373"/>
      <c r="AY6" s="372" t="str">
        <f>AY4</f>
        <v>Um/A</v>
      </c>
      <c r="AZ6" s="373"/>
      <c r="BA6" s="372" t="str">
        <f>BA4</f>
        <v>CmO</v>
      </c>
      <c r="BB6" s="373"/>
      <c r="BC6" s="1244"/>
    </row>
    <row r="7" spans="2:55" ht="21" x14ac:dyDescent="0.25">
      <c r="B7" s="560">
        <f>'État des Résultats'!C7</f>
        <v>1</v>
      </c>
      <c r="D7" s="556">
        <f>+D14/$AO$14</f>
        <v>7.8065514967994798E-2</v>
      </c>
      <c r="E7" s="178"/>
      <c r="F7" s="170"/>
      <c r="G7" s="556">
        <f>+G14/$AO$14</f>
        <v>7.5666968420921438E-2</v>
      </c>
      <c r="H7" s="561"/>
      <c r="I7" s="170"/>
      <c r="J7" s="556">
        <f>+J14/$AO$14</f>
        <v>8.4318136308656158E-2</v>
      </c>
      <c r="K7" s="561"/>
      <c r="L7" s="170"/>
      <c r="M7" s="556">
        <f>+M14/$AO$14</f>
        <v>8.5302155404891375E-2</v>
      </c>
      <c r="N7" s="561"/>
      <c r="O7" s="171"/>
      <c r="P7" s="556">
        <f>+P14/$AO$14</f>
        <v>9.1841782315288001E-2</v>
      </c>
      <c r="Q7" s="561"/>
      <c r="R7" s="170"/>
      <c r="S7" s="556">
        <f>+S14/$AO$14</f>
        <v>9.4383831647228994E-2</v>
      </c>
      <c r="T7" s="561"/>
      <c r="U7" s="170"/>
      <c r="V7" s="556">
        <f>+V14/$AO$14</f>
        <v>9.7848398881890536E-2</v>
      </c>
      <c r="W7" s="561"/>
      <c r="X7" s="170"/>
      <c r="Y7" s="556">
        <f>+Y14/$AO$14</f>
        <v>8.4867414103215466E-2</v>
      </c>
      <c r="Z7" s="561"/>
      <c r="AA7" s="170"/>
      <c r="AB7" s="556">
        <f>+AB14/$AO$14</f>
        <v>7.7602089570806193E-2</v>
      </c>
      <c r="AC7" s="561"/>
      <c r="AD7" s="424"/>
      <c r="AE7" s="556">
        <f>+AE14/$AO$14</f>
        <v>7.7672285943100008E-2</v>
      </c>
      <c r="AF7" s="561"/>
      <c r="AG7" s="170"/>
      <c r="AH7" s="556">
        <f>+AH14/$AO$14</f>
        <v>7.2196968904182895E-2</v>
      </c>
      <c r="AI7" s="561"/>
      <c r="AJ7" s="170"/>
      <c r="AK7" s="556">
        <f>+AK14/$AO$14</f>
        <v>8.023445353182404E-2</v>
      </c>
      <c r="AL7" s="561"/>
      <c r="AM7" s="170"/>
      <c r="AN7" s="170"/>
      <c r="AO7" s="556">
        <f>+AO14/$AO$14</f>
        <v>1</v>
      </c>
      <c r="AP7" s="566" t="s">
        <v>136</v>
      </c>
      <c r="AQ7" s="170"/>
      <c r="AR7" s="170"/>
      <c r="AS7" s="1241"/>
      <c r="AT7" s="631">
        <f>AO22</f>
        <v>356588.11666666664</v>
      </c>
      <c r="AU7" s="369" t="s">
        <v>44</v>
      </c>
      <c r="AV7" s="632">
        <f>'Formule pour le calcul D'!G106</f>
        <v>52000</v>
      </c>
      <c r="AW7" s="369" t="s">
        <v>45</v>
      </c>
      <c r="AX7" s="369" t="s">
        <v>46</v>
      </c>
      <c r="AY7" s="633">
        <f>'Formule pour le calcul D'!J106</f>
        <v>2</v>
      </c>
      <c r="AZ7" s="369" t="s">
        <v>45</v>
      </c>
      <c r="BA7" s="634">
        <f>AT7/AV7/AY7</f>
        <v>3.4287318910256408</v>
      </c>
      <c r="BB7" s="369" t="s">
        <v>49</v>
      </c>
      <c r="BC7" s="1244"/>
    </row>
    <row r="8" spans="2:55" ht="17" thickBot="1" x14ac:dyDescent="0.25">
      <c r="B8" s="314" t="s">
        <v>192</v>
      </c>
      <c r="D8" s="557" t="str">
        <f>'État des Résultats'!E8</f>
        <v>Pér.01</v>
      </c>
      <c r="E8" s="1112"/>
      <c r="F8" s="182"/>
      <c r="G8" s="557" t="str">
        <f>'État des Résultats'!H8</f>
        <v>Pér.02</v>
      </c>
      <c r="H8" s="562"/>
      <c r="I8" s="182"/>
      <c r="J8" s="557" t="str">
        <f>'État des Résultats'!K8</f>
        <v>Pér.03</v>
      </c>
      <c r="K8" s="562"/>
      <c r="L8" s="182"/>
      <c r="M8" s="557" t="str">
        <f>'État des Résultats'!N8</f>
        <v>Pér.04</v>
      </c>
      <c r="N8" s="562"/>
      <c r="O8" s="184"/>
      <c r="P8" s="557" t="str">
        <f>'État des Résultats'!Q8</f>
        <v>Pér.05</v>
      </c>
      <c r="Q8" s="562"/>
      <c r="R8" s="182"/>
      <c r="S8" s="557" t="str">
        <f>'État des Résultats'!T8</f>
        <v>Pér.06</v>
      </c>
      <c r="T8" s="562"/>
      <c r="U8" s="182"/>
      <c r="V8" s="557" t="str">
        <f>'État des Résultats'!W8</f>
        <v>Pér.07</v>
      </c>
      <c r="W8" s="562"/>
      <c r="X8" s="182"/>
      <c r="Y8" s="557" t="str">
        <f>'État des Résultats'!Z8</f>
        <v>Pér.08</v>
      </c>
      <c r="Z8" s="562"/>
      <c r="AA8" s="182"/>
      <c r="AB8" s="557" t="str">
        <f>'État des Résultats'!AC8</f>
        <v>Pér.09</v>
      </c>
      <c r="AC8" s="562"/>
      <c r="AD8" s="516"/>
      <c r="AE8" s="557" t="str">
        <f>'État des Résultats'!AF8</f>
        <v>Pér.10</v>
      </c>
      <c r="AF8" s="562"/>
      <c r="AG8" s="182"/>
      <c r="AH8" s="557" t="str">
        <f>'État des Résultats'!AI8</f>
        <v>Pér.11</v>
      </c>
      <c r="AI8" s="562"/>
      <c r="AJ8" s="182"/>
      <c r="AK8" s="557" t="str">
        <f>'État des Résultats'!AL8</f>
        <v>Pér.12</v>
      </c>
      <c r="AL8" s="562"/>
      <c r="AM8" s="182"/>
      <c r="AN8" s="315"/>
      <c r="AO8" s="557" t="str">
        <f>'État des Résultats'!AP8</f>
        <v>Total</v>
      </c>
      <c r="AP8" s="567"/>
      <c r="AS8" s="1242"/>
      <c r="AT8" s="374"/>
      <c r="AU8" s="374"/>
      <c r="AV8" s="374"/>
      <c r="AW8" s="374"/>
      <c r="AX8" s="374"/>
      <c r="AY8" s="374"/>
      <c r="AZ8" s="374"/>
      <c r="BA8" s="374"/>
      <c r="BB8" s="374"/>
      <c r="BC8" s="1245"/>
    </row>
    <row r="9" spans="2:55" ht="15" thickTop="1" thickBot="1" x14ac:dyDescent="0.2">
      <c r="B9" s="554">
        <f>+AO14/B7</f>
        <v>141745.21666666667</v>
      </c>
      <c r="D9" s="558" t="str">
        <f>'État des Résultats'!E9</f>
        <v>Janvier 2021</v>
      </c>
      <c r="E9" s="559" t="str">
        <f>'État des Résultats'!F8</f>
        <v>(%)</v>
      </c>
      <c r="F9" s="292"/>
      <c r="G9" s="558" t="str">
        <f>'État des Résultats'!H9</f>
        <v>Février 2021</v>
      </c>
      <c r="H9" s="563" t="str">
        <f>'État des Résultats'!I8</f>
        <v>(%)</v>
      </c>
      <c r="I9" s="293"/>
      <c r="J9" s="558" t="str">
        <f>'État des Résultats'!K9</f>
        <v>Mars 2021</v>
      </c>
      <c r="K9" s="563" t="str">
        <f>'État des Résultats'!L8</f>
        <v>(%)</v>
      </c>
      <c r="L9" s="292"/>
      <c r="M9" s="558" t="str">
        <f>'État des Résultats'!N9</f>
        <v>Avril 2021</v>
      </c>
      <c r="N9" s="563" t="str">
        <f>'État des Résultats'!O8</f>
        <v>(%)</v>
      </c>
      <c r="O9" s="294"/>
      <c r="P9" s="558" t="str">
        <f>'État des Résultats'!Q9</f>
        <v>Mai 2021</v>
      </c>
      <c r="Q9" s="563" t="str">
        <f>'État des Résultats'!R8</f>
        <v>(%)</v>
      </c>
      <c r="R9" s="292"/>
      <c r="S9" s="558" t="str">
        <f>'État des Résultats'!T9</f>
        <v>Juin 2021</v>
      </c>
      <c r="T9" s="563" t="str">
        <f>'État des Résultats'!U8</f>
        <v>(%)</v>
      </c>
      <c r="U9" s="292"/>
      <c r="V9" s="558" t="str">
        <f>'État des Résultats'!W9</f>
        <v>Juillet 2021</v>
      </c>
      <c r="W9" s="563" t="str">
        <f>'État des Résultats'!X8</f>
        <v>(%)</v>
      </c>
      <c r="X9" s="292"/>
      <c r="Y9" s="558" t="str">
        <f>'État des Résultats'!Z9</f>
        <v>Août 2021</v>
      </c>
      <c r="Z9" s="563" t="str">
        <f>'État des Résultats'!AA8</f>
        <v>(%)</v>
      </c>
      <c r="AA9" s="292"/>
      <c r="AB9" s="558" t="str">
        <f>'État des Résultats'!AC9</f>
        <v>Septembre 2021</v>
      </c>
      <c r="AC9" s="563" t="str">
        <f>'État des Résultats'!AD8</f>
        <v>(%)</v>
      </c>
      <c r="AD9" s="517"/>
      <c r="AE9" s="558" t="str">
        <f>'État des Résultats'!AF9</f>
        <v>Octobre 2021</v>
      </c>
      <c r="AF9" s="563" t="str">
        <f>'État des Résultats'!AG8</f>
        <v>(%)</v>
      </c>
      <c r="AG9" s="292"/>
      <c r="AH9" s="558" t="str">
        <f>'État des Résultats'!AI9</f>
        <v>Novembre 2021</v>
      </c>
      <c r="AI9" s="563" t="str">
        <f>'État des Résultats'!AJ8</f>
        <v>(%)</v>
      </c>
      <c r="AJ9" s="292"/>
      <c r="AK9" s="558" t="str">
        <f>'État des Résultats'!AL9</f>
        <v>Décembre 2021</v>
      </c>
      <c r="AL9" s="563" t="str">
        <f>'État des Résultats'!AM8</f>
        <v>(%)</v>
      </c>
      <c r="AM9" s="292"/>
      <c r="AN9" s="292"/>
      <c r="AO9" s="558" t="str">
        <f>'État des Résultats'!AP9</f>
        <v>Année</v>
      </c>
      <c r="AP9" s="563" t="str">
        <f>'État des Résultats'!AQ8</f>
        <v>(%)</v>
      </c>
      <c r="AQ9" s="329"/>
      <c r="AR9" s="329"/>
      <c r="AS9" s="329"/>
      <c r="AT9" s="329"/>
      <c r="AU9" s="329"/>
      <c r="AV9" s="329"/>
    </row>
    <row r="10" spans="2:55" ht="20" customHeight="1" thickTop="1" x14ac:dyDescent="0.15">
      <c r="B10" s="189" t="str">
        <f>'État des Résultats'!C16</f>
        <v>Coût des produits vendus</v>
      </c>
      <c r="D10" s="190"/>
      <c r="E10" s="191"/>
      <c r="G10" s="190"/>
      <c r="H10" s="191"/>
      <c r="J10" s="190"/>
      <c r="K10" s="191"/>
      <c r="M10" s="190"/>
      <c r="N10" s="191"/>
      <c r="O10" s="192"/>
      <c r="P10" s="190"/>
      <c r="Q10" s="191"/>
      <c r="S10" s="190"/>
      <c r="T10" s="191"/>
      <c r="V10" s="190"/>
      <c r="W10" s="191"/>
      <c r="Y10" s="190"/>
      <c r="Z10" s="191"/>
      <c r="AB10" s="190"/>
      <c r="AC10" s="191"/>
      <c r="AE10" s="190"/>
      <c r="AF10" s="191"/>
      <c r="AH10" s="190"/>
      <c r="AI10" s="191"/>
      <c r="AK10" s="190"/>
      <c r="AL10" s="191"/>
      <c r="AO10" s="193"/>
      <c r="AP10" s="194"/>
    </row>
    <row r="11" spans="2:55" x14ac:dyDescent="0.15">
      <c r="B11" s="200" t="str">
        <f>'État des Résultats'!C11</f>
        <v xml:space="preserve"> Nourriture</v>
      </c>
      <c r="D11" s="316">
        <f>E11*'État des Résultats'!E11</f>
        <v>5642.1866666666665</v>
      </c>
      <c r="E11" s="1111">
        <f>'Calcul CmO et PmO'!G21</f>
        <v>0.30761245674740478</v>
      </c>
      <c r="F11" s="313"/>
      <c r="G11" s="316">
        <f>H11*'État des Résultats'!H11</f>
        <v>5468.831666666666</v>
      </c>
      <c r="H11" s="191">
        <f>'Calcul CmO et PmO'!G64</f>
        <v>0.30761245674740478</v>
      </c>
      <c r="J11" s="316">
        <f>K11*'État des Résultats'!K11</f>
        <v>6094.0949999999993</v>
      </c>
      <c r="K11" s="191">
        <f>'Calcul CmO et PmO'!G107</f>
        <v>0.30761245674740478</v>
      </c>
      <c r="M11" s="316">
        <f>N11*'État des Résultats'!N11</f>
        <v>6165.2149999999992</v>
      </c>
      <c r="N11" s="1111">
        <f>'Calcul CmO et PmO'!G150</f>
        <v>0.30761245674740478</v>
      </c>
      <c r="O11" s="192"/>
      <c r="P11" s="316">
        <f>Q11*'État des Résultats'!Q11</f>
        <v>6637.8666666666659</v>
      </c>
      <c r="Q11" s="191">
        <f>'Calcul CmO et PmO'!G193</f>
        <v>0.30761245674740478</v>
      </c>
      <c r="S11" s="316">
        <f>T11*'État des Résultats'!T11</f>
        <v>6821.5933333333323</v>
      </c>
      <c r="T11" s="191">
        <f>'Calcul CmO et PmO'!G236</f>
        <v>0.30761245674740478</v>
      </c>
      <c r="V11" s="316">
        <f>W11*'État des Résultats'!W11</f>
        <v>7071.994999999999</v>
      </c>
      <c r="W11" s="1111">
        <f>'Calcul CmO et PmO'!G279</f>
        <v>0.30761245674740478</v>
      </c>
      <c r="Y11" s="316">
        <f>Z11*'État des Résultats'!Z11</f>
        <v>5142.2799999999988</v>
      </c>
      <c r="Z11" s="191">
        <f>'Calcul CmO et PmO'!G322</f>
        <v>0.22076124567474043</v>
      </c>
      <c r="AB11" s="316">
        <f>AC11*'État des Résultats'!AC11</f>
        <v>4702.0599999999986</v>
      </c>
      <c r="AC11" s="191">
        <f>'Calcul CmO et PmO'!G365</f>
        <v>0.22076124567474043</v>
      </c>
      <c r="AE11" s="316">
        <f>AF11*'État des Résultats'!AF11</f>
        <v>4706.3133333333326</v>
      </c>
      <c r="AF11" s="1111">
        <f>'Calcul CmO et PmO'!G408</f>
        <v>0.22076124567474043</v>
      </c>
      <c r="AH11" s="316">
        <f>AI11*'État des Résultats'!AI11</f>
        <v>4374.5533333333324</v>
      </c>
      <c r="AI11" s="191">
        <f>'Calcul CmO et PmO'!G451</f>
        <v>0.22076124567474043</v>
      </c>
      <c r="AK11" s="316">
        <f>AL11*'État des Résultats'!AL11</f>
        <v>4861.5599999999986</v>
      </c>
      <c r="AL11" s="191">
        <f>'Calcul CmO et PmO'!G494</f>
        <v>0.22076124567474043</v>
      </c>
      <c r="AO11" s="317">
        <f t="shared" ref="AO11:AO13" si="0">+$AK11+$AH11+$AE11+$AB11+$Y11+$V11+$S11+$P11+$M11+$J11+$G11+$D11</f>
        <v>67688.549999999988</v>
      </c>
      <c r="AP11" s="194">
        <f>+AO11/'État des Résultats'!AP11</f>
        <v>0.27024973383018358</v>
      </c>
    </row>
    <row r="12" spans="2:55" x14ac:dyDescent="0.15">
      <c r="B12" s="200" t="str">
        <f>'État des Résultats'!C12</f>
        <v xml:space="preserve"> Boisson</v>
      </c>
      <c r="D12" s="316">
        <f>+E12*'État des Résultats'!E12</f>
        <v>5423.2266666666674</v>
      </c>
      <c r="E12" s="1111">
        <f>'Calcul CmO et PmO'!G36</f>
        <v>0.29877622377622376</v>
      </c>
      <c r="G12" s="316">
        <f>+H12*'État des Résultats'!H12</f>
        <v>5256.5991666666678</v>
      </c>
      <c r="H12" s="191">
        <f>'Calcul CmO et PmO'!G79</f>
        <v>0.29877622377622376</v>
      </c>
      <c r="J12" s="316">
        <f>+K12*'État des Résultats'!K12</f>
        <v>5857.5975000000008</v>
      </c>
      <c r="K12" s="191">
        <f>'Calcul CmO et PmO'!G122</f>
        <v>0.29877622377622376</v>
      </c>
      <c r="M12" s="316">
        <f>+N12*'État des Résultats'!N12</f>
        <v>5925.9575000000004</v>
      </c>
      <c r="N12" s="1111">
        <f>'Calcul CmO et PmO'!G165</f>
        <v>0.29877622377622376</v>
      </c>
      <c r="O12" s="192"/>
      <c r="P12" s="316">
        <f>+Q12*'État des Résultats'!Q12</f>
        <v>6380.2666666666673</v>
      </c>
      <c r="Q12" s="191">
        <f>'Calcul CmO et PmO'!G208</f>
        <v>0.29877622377622376</v>
      </c>
      <c r="S12" s="316">
        <f>+T12*'État des Résultats'!T12</f>
        <v>6556.8633333333337</v>
      </c>
      <c r="T12" s="191">
        <f>'Calcul CmO et PmO'!G251</f>
        <v>0.29877622377622376</v>
      </c>
      <c r="V12" s="316">
        <f>+W12*'État des Résultats'!W12</f>
        <v>6797.5475000000006</v>
      </c>
      <c r="W12" s="1111">
        <f>'Calcul CmO et PmO'!G294</f>
        <v>0.29877622377622376</v>
      </c>
      <c r="Y12" s="316">
        <f>+Z12*'État des Résultats'!Z12</f>
        <v>6887.27</v>
      </c>
      <c r="Z12" s="191">
        <f>'Calcul CmO et PmO'!G337</f>
        <v>0.29877622377622376</v>
      </c>
      <c r="AB12" s="316">
        <f>+AC12*'État des Résultats'!AC12</f>
        <v>6297.665</v>
      </c>
      <c r="AC12" s="191">
        <f>'Calcul CmO et PmO'!G380</f>
        <v>0.29877622377622376</v>
      </c>
      <c r="AE12" s="316">
        <f>+AF12*'État des Résultats'!AF12</f>
        <v>6303.3616666666676</v>
      </c>
      <c r="AF12" s="1111">
        <f>'Calcul CmO et PmO'!G423</f>
        <v>0.29877622377622376</v>
      </c>
      <c r="AH12" s="316">
        <f>+AI12*'État des Résultats'!AI12</f>
        <v>5859.0216666666674</v>
      </c>
      <c r="AI12" s="191">
        <f>'Calcul CmO et PmO'!G466</f>
        <v>0.29877622377622376</v>
      </c>
      <c r="AK12" s="316">
        <f>+AL12*'État des Résultats'!AL12</f>
        <v>6511.29</v>
      </c>
      <c r="AL12" s="191">
        <f>'Calcul CmO et PmO'!G509</f>
        <v>0.29877622377622376</v>
      </c>
      <c r="AO12" s="317">
        <f t="shared" si="0"/>
        <v>74056.666666666686</v>
      </c>
      <c r="AP12" s="194">
        <f>+AO12/'État des Résultats'!AP12</f>
        <v>0.29877622377622381</v>
      </c>
    </row>
    <row r="13" spans="2:55" ht="14" thickBot="1" x14ac:dyDescent="0.2">
      <c r="B13" s="200" t="str">
        <f>'État des Résultats'!C13</f>
        <v xml:space="preserve"> Autres revenus</v>
      </c>
      <c r="D13" s="316">
        <f>+E13*'État des Résultats'!E13</f>
        <v>0</v>
      </c>
      <c r="E13" s="981">
        <v>0</v>
      </c>
      <c r="G13" s="316">
        <f>+H13*'État des Résultats'!H13</f>
        <v>0</v>
      </c>
      <c r="H13" s="191">
        <f t="shared" ref="H13" si="1">E13</f>
        <v>0</v>
      </c>
      <c r="J13" s="316">
        <f>+K13*'État des Résultats'!K13</f>
        <v>0</v>
      </c>
      <c r="K13" s="191">
        <f t="shared" ref="K13" si="2">H13</f>
        <v>0</v>
      </c>
      <c r="M13" s="316">
        <f>+N13*'État des Résultats'!N13</f>
        <v>0</v>
      </c>
      <c r="N13" s="981">
        <v>0</v>
      </c>
      <c r="O13" s="192"/>
      <c r="P13" s="316">
        <f>+Q13*'État des Résultats'!Q13</f>
        <v>0</v>
      </c>
      <c r="Q13" s="191">
        <f t="shared" ref="Q13" si="3">N13</f>
        <v>0</v>
      </c>
      <c r="S13" s="316">
        <f>+T13*'État des Résultats'!T13</f>
        <v>0</v>
      </c>
      <c r="T13" s="191">
        <f t="shared" ref="T13" si="4">Q13</f>
        <v>0</v>
      </c>
      <c r="V13" s="316">
        <f>+W13*'État des Résultats'!W13</f>
        <v>0</v>
      </c>
      <c r="W13" s="981">
        <v>0</v>
      </c>
      <c r="Y13" s="316">
        <f>+Z13*'État des Résultats'!Z13</f>
        <v>0</v>
      </c>
      <c r="Z13" s="191">
        <f t="shared" ref="Z13" si="5">W13</f>
        <v>0</v>
      </c>
      <c r="AB13" s="316">
        <f>+AC13*'État des Résultats'!AC13</f>
        <v>0</v>
      </c>
      <c r="AC13" s="191">
        <f t="shared" ref="AC13" si="6">Z13</f>
        <v>0</v>
      </c>
      <c r="AE13" s="316">
        <f>+AF13*'État des Résultats'!AF13</f>
        <v>0</v>
      </c>
      <c r="AF13" s="981">
        <v>0</v>
      </c>
      <c r="AH13" s="316">
        <f>+AI13*'État des Résultats'!AI13</f>
        <v>0</v>
      </c>
      <c r="AI13" s="191">
        <f t="shared" ref="AI13" si="7">AF13</f>
        <v>0</v>
      </c>
      <c r="AK13" s="316">
        <f>+AL13*'État des Résultats'!AL13</f>
        <v>0</v>
      </c>
      <c r="AL13" s="191">
        <f t="shared" ref="AL13" si="8">AI13</f>
        <v>0</v>
      </c>
      <c r="AO13" s="317">
        <f t="shared" si="0"/>
        <v>0</v>
      </c>
      <c r="AP13" s="194" t="e">
        <f>+AO13/'État des Résultats'!AP13</f>
        <v>#DIV/0!</v>
      </c>
    </row>
    <row r="14" spans="2:55" ht="20" customHeight="1" thickTop="1" thickBot="1" x14ac:dyDescent="0.25">
      <c r="B14" s="518" t="str">
        <f>'État des Résultats'!C16</f>
        <v>Coût des produits vendus</v>
      </c>
      <c r="C14" s="318"/>
      <c r="D14" s="519">
        <f>+SUM(D11:D13)</f>
        <v>11065.413333333334</v>
      </c>
      <c r="E14" s="520">
        <f>+D14/'État des Résultats'!E14</f>
        <v>0.30321739130434783</v>
      </c>
      <c r="F14" s="321"/>
      <c r="G14" s="319">
        <f>+SUM(G11:G13)</f>
        <v>10725.430833333334</v>
      </c>
      <c r="H14" s="320">
        <f>+G14/'État des Résultats'!H14</f>
        <v>0.30321739130434783</v>
      </c>
      <c r="I14" s="322"/>
      <c r="J14" s="519">
        <f>+SUM(J11:J13)</f>
        <v>11951.692500000001</v>
      </c>
      <c r="K14" s="520">
        <f>+J14/'État des Résultats'!K14</f>
        <v>0.30321739130434783</v>
      </c>
      <c r="L14" s="322"/>
      <c r="M14" s="319">
        <f>+SUM(M11:M13)</f>
        <v>12091.172500000001</v>
      </c>
      <c r="N14" s="320">
        <f>+M14/'État des Résultats'!N14</f>
        <v>0.30321739130434783</v>
      </c>
      <c r="O14" s="321"/>
      <c r="P14" s="519">
        <f>+SUM(P11:P13)</f>
        <v>13018.133333333333</v>
      </c>
      <c r="Q14" s="520">
        <f>+P14/'État des Résultats'!Q14</f>
        <v>0.30321739130434783</v>
      </c>
      <c r="R14" s="322"/>
      <c r="S14" s="519">
        <f>+SUM(S11:S13)</f>
        <v>13378.456666666665</v>
      </c>
      <c r="T14" s="520">
        <f>+S14/'État des Résultats'!T14</f>
        <v>0.30321739130434777</v>
      </c>
      <c r="U14" s="322"/>
      <c r="V14" s="519">
        <f>+SUM(V11:V13)</f>
        <v>13869.5425</v>
      </c>
      <c r="W14" s="520">
        <f>+V14/'État des Résultats'!W14</f>
        <v>0.30321739130434783</v>
      </c>
      <c r="X14" s="322"/>
      <c r="Y14" s="519">
        <f>+SUM(Y11:Y13)</f>
        <v>12029.55</v>
      </c>
      <c r="Z14" s="520">
        <f>+Y14/'État des Résultats'!Z14</f>
        <v>0.25956521739130434</v>
      </c>
      <c r="AA14" s="322"/>
      <c r="AB14" s="519">
        <f>+SUM(AB11:AB13)</f>
        <v>10999.724999999999</v>
      </c>
      <c r="AC14" s="520">
        <f>+AB14/'État des Résultats'!AC14</f>
        <v>0.25956521739130434</v>
      </c>
      <c r="AD14" s="322"/>
      <c r="AE14" s="519">
        <f>+SUM(AE11:AE13)</f>
        <v>11009.674999999999</v>
      </c>
      <c r="AF14" s="520">
        <f>+AE14/'État des Résultats'!AF14</f>
        <v>0.25956521739130434</v>
      </c>
      <c r="AG14" s="322"/>
      <c r="AH14" s="519">
        <f>+SUM(AH11:AH13)</f>
        <v>10233.575000000001</v>
      </c>
      <c r="AI14" s="520">
        <f>+AH14/'État des Résultats'!AI14</f>
        <v>0.25956521739130434</v>
      </c>
      <c r="AJ14" s="322"/>
      <c r="AK14" s="519">
        <f>+SUM(AK11:AK13)</f>
        <v>11372.849999999999</v>
      </c>
      <c r="AL14" s="520">
        <f>+AK14/'État des Résultats'!AL14</f>
        <v>0.25956521739130434</v>
      </c>
      <c r="AM14" s="322"/>
      <c r="AN14" s="322"/>
      <c r="AO14" s="521">
        <f>SUM(AO11:AO13)</f>
        <v>141745.21666666667</v>
      </c>
      <c r="AP14" s="522">
        <f>+AO14/'État des Résultats'!AP14</f>
        <v>0.28443856187290972</v>
      </c>
      <c r="AQ14" s="318"/>
      <c r="AR14" s="210"/>
      <c r="AS14" s="210"/>
      <c r="AT14" s="210"/>
      <c r="AU14" s="210"/>
      <c r="AV14" s="210"/>
    </row>
    <row r="15" spans="2:55" x14ac:dyDescent="0.15">
      <c r="B15" s="217"/>
      <c r="D15" s="323"/>
      <c r="E15" s="191"/>
      <c r="G15" s="323"/>
      <c r="H15" s="191"/>
      <c r="J15" s="323"/>
      <c r="K15" s="191"/>
      <c r="M15" s="323"/>
      <c r="N15" s="191"/>
      <c r="O15" s="192"/>
      <c r="P15" s="323"/>
      <c r="Q15" s="191"/>
      <c r="S15" s="323"/>
      <c r="T15" s="191"/>
      <c r="V15" s="323"/>
      <c r="W15" s="191"/>
      <c r="Y15" s="323"/>
      <c r="Z15" s="191"/>
      <c r="AB15" s="323"/>
      <c r="AC15" s="191"/>
      <c r="AE15" s="323"/>
      <c r="AF15" s="191"/>
      <c r="AH15" s="323"/>
      <c r="AI15" s="191"/>
      <c r="AK15" s="323"/>
      <c r="AL15" s="191"/>
      <c r="AO15" s="317"/>
      <c r="AP15" s="194"/>
    </row>
    <row r="16" spans="2:55" ht="15" customHeight="1" x14ac:dyDescent="0.15">
      <c r="B16" s="240" t="str">
        <f>'État des Résultats'!C16</f>
        <v>Coût des produits vendus</v>
      </c>
      <c r="C16" s="261"/>
      <c r="D16" s="324">
        <f>D14</f>
        <v>11065.413333333334</v>
      </c>
      <c r="E16" s="325">
        <f>E14</f>
        <v>0.30321739130434783</v>
      </c>
      <c r="F16" s="261"/>
      <c r="G16" s="324">
        <f>G14</f>
        <v>10725.430833333334</v>
      </c>
      <c r="H16" s="325">
        <f>H14</f>
        <v>0.30321739130434783</v>
      </c>
      <c r="I16" s="261"/>
      <c r="J16" s="324">
        <f>J14</f>
        <v>11951.692500000001</v>
      </c>
      <c r="K16" s="325">
        <f>K14</f>
        <v>0.30321739130434783</v>
      </c>
      <c r="L16" s="261"/>
      <c r="M16" s="324">
        <f>M14</f>
        <v>12091.172500000001</v>
      </c>
      <c r="N16" s="325">
        <f>N14</f>
        <v>0.30321739130434783</v>
      </c>
      <c r="O16" s="266"/>
      <c r="P16" s="324">
        <f>P14</f>
        <v>13018.133333333333</v>
      </c>
      <c r="Q16" s="325">
        <f>Q14</f>
        <v>0.30321739130434783</v>
      </c>
      <c r="R16" s="261"/>
      <c r="S16" s="324">
        <f>S14</f>
        <v>13378.456666666665</v>
      </c>
      <c r="T16" s="325">
        <f>T14</f>
        <v>0.30321739130434777</v>
      </c>
      <c r="U16" s="261"/>
      <c r="V16" s="324">
        <f>V14</f>
        <v>13869.5425</v>
      </c>
      <c r="W16" s="325">
        <f>W14</f>
        <v>0.30321739130434783</v>
      </c>
      <c r="X16" s="261"/>
      <c r="Y16" s="324">
        <f>Y14</f>
        <v>12029.55</v>
      </c>
      <c r="Z16" s="325">
        <f>Z14</f>
        <v>0.25956521739130434</v>
      </c>
      <c r="AA16" s="261"/>
      <c r="AB16" s="324">
        <f>AB14</f>
        <v>10999.724999999999</v>
      </c>
      <c r="AC16" s="325">
        <f>AC14</f>
        <v>0.25956521739130434</v>
      </c>
      <c r="AD16" s="261"/>
      <c r="AE16" s="324">
        <f>AE14</f>
        <v>11009.674999999999</v>
      </c>
      <c r="AF16" s="325">
        <f>AF14</f>
        <v>0.25956521739130434</v>
      </c>
      <c r="AG16" s="261"/>
      <c r="AH16" s="324">
        <f>AH14</f>
        <v>10233.575000000001</v>
      </c>
      <c r="AI16" s="325">
        <f>AI14</f>
        <v>0.25956521739130434</v>
      </c>
      <c r="AJ16" s="261"/>
      <c r="AK16" s="324">
        <f>AK14</f>
        <v>11372.849999999999</v>
      </c>
      <c r="AL16" s="325">
        <f>AL14</f>
        <v>0.25956521739130434</v>
      </c>
      <c r="AM16" s="261"/>
      <c r="AN16" s="261"/>
      <c r="AO16" s="326">
        <f>+$AK16+$AH16+$AE16+$AB16+$Y16+$V16+$S16+$P16+$M16+$J16+$G16+$D16</f>
        <v>141745.21666666667</v>
      </c>
      <c r="AP16" s="228">
        <f>+AO16/'État des Résultats'!AP14</f>
        <v>0.28443856187290972</v>
      </c>
    </row>
    <row r="17" spans="2:45" x14ac:dyDescent="0.15">
      <c r="B17" s="200"/>
      <c r="D17" s="323"/>
      <c r="E17" s="191"/>
      <c r="G17" s="323"/>
      <c r="H17" s="191"/>
      <c r="J17" s="323"/>
      <c r="K17" s="191"/>
      <c r="M17" s="323"/>
      <c r="N17" s="191"/>
      <c r="O17" s="192"/>
      <c r="P17" s="323"/>
      <c r="Q17" s="191"/>
      <c r="S17" s="323"/>
      <c r="T17" s="191"/>
      <c r="V17" s="323"/>
      <c r="W17" s="191"/>
      <c r="Y17" s="323"/>
      <c r="Z17" s="191"/>
      <c r="AB17" s="323"/>
      <c r="AC17" s="191"/>
      <c r="AE17" s="323"/>
      <c r="AF17" s="191"/>
      <c r="AH17" s="323"/>
      <c r="AI17" s="191"/>
      <c r="AK17" s="323"/>
      <c r="AL17" s="191"/>
      <c r="AO17" s="326"/>
      <c r="AP17" s="194"/>
    </row>
    <row r="18" spans="2:45" ht="15" customHeight="1" x14ac:dyDescent="0.15">
      <c r="B18" s="231" t="s">
        <v>190</v>
      </c>
      <c r="D18" s="323">
        <f>+SUM(D11:D12)</f>
        <v>11065.413333333334</v>
      </c>
      <c r="E18" s="191">
        <f>+D18/('État des Résultats'!E11+'État des Résultats'!E12)</f>
        <v>0.30321739130434777</v>
      </c>
      <c r="G18" s="323">
        <f>SUM(G11:G12)</f>
        <v>10725.430833333334</v>
      </c>
      <c r="H18" s="191">
        <f>+G18/('État des Résultats'!H11+'État des Résultats'!H12)</f>
        <v>0.30321739130434777</v>
      </c>
      <c r="J18" s="323">
        <f>SUM(J11:J12)</f>
        <v>11951.692500000001</v>
      </c>
      <c r="K18" s="191">
        <f>+J18/('État des Résultats'!K11+'État des Résultats'!K12)</f>
        <v>0.30321739130434783</v>
      </c>
      <c r="M18" s="323">
        <f>SUM(M11:M12)</f>
        <v>12091.172500000001</v>
      </c>
      <c r="N18" s="191">
        <f>+M18/('État des Résultats'!N11+'État des Résultats'!N12)</f>
        <v>0.30321739130434783</v>
      </c>
      <c r="O18" s="192"/>
      <c r="P18" s="323">
        <f>SUM(P11:P12)</f>
        <v>13018.133333333333</v>
      </c>
      <c r="Q18" s="191">
        <f>+P18/('État des Résultats'!Q11+'État des Résultats'!Q12)</f>
        <v>0.30321739130434777</v>
      </c>
      <c r="S18" s="323">
        <f>SUM(S11:S12)</f>
        <v>13378.456666666665</v>
      </c>
      <c r="T18" s="191">
        <f>+S18/('État des Résultats'!T11+'État des Résultats'!T12)</f>
        <v>0.30321739130434777</v>
      </c>
      <c r="V18" s="323">
        <f>SUM(V11:V12)</f>
        <v>13869.5425</v>
      </c>
      <c r="W18" s="191">
        <f>+V18/('État des Résultats'!W11+'État des Résultats'!W12)</f>
        <v>0.30321739130434783</v>
      </c>
      <c r="Y18" s="323">
        <f>SUM(Y11:Y12)</f>
        <v>12029.55</v>
      </c>
      <c r="Z18" s="191">
        <f>+Y18/('État des Résultats'!Z11+'État des Résultats'!Z12)</f>
        <v>0.25956521739130434</v>
      </c>
      <c r="AB18" s="323">
        <f>SUM(AB11:AB12)</f>
        <v>10999.724999999999</v>
      </c>
      <c r="AC18" s="191">
        <f>+AB18/('État des Résultats'!AC11+'État des Résultats'!AC12)</f>
        <v>0.25956521739130434</v>
      </c>
      <c r="AE18" s="323">
        <f>SUM(AE11:AE12)</f>
        <v>11009.674999999999</v>
      </c>
      <c r="AF18" s="191">
        <f>+AE18/('État des Résultats'!AF11+'État des Résultats'!AF12)</f>
        <v>0.25956521739130428</v>
      </c>
      <c r="AH18" s="323">
        <f>SUM(AH11:AH12)</f>
        <v>10233.575000000001</v>
      </c>
      <c r="AI18" s="191">
        <f>+AH18/('État des Résultats'!AI11+'État des Résultats'!AI12)</f>
        <v>0.25956521739130434</v>
      </c>
      <c r="AK18" s="323">
        <f>SUM(AK11:AK12)</f>
        <v>11372.849999999999</v>
      </c>
      <c r="AL18" s="191">
        <f>+AK18/('État des Résultats'!AL11+'État des Résultats'!AL12)</f>
        <v>0.25956521739130434</v>
      </c>
      <c r="AO18" s="326">
        <f>+$AK18+$AH18+$AE18+$AB18+$Y18+$V18+$S18+$P18+$M18+$J18+$G18+$D18</f>
        <v>141745.21666666667</v>
      </c>
      <c r="AP18" s="194">
        <f>+AO18/('État des Résultats'!AP11+'État des Résultats'!AP12)</f>
        <v>0.28443856187290967</v>
      </c>
    </row>
    <row r="19" spans="2:45" ht="15" customHeight="1" x14ac:dyDescent="0.15">
      <c r="B19" s="200" t="s">
        <v>171</v>
      </c>
      <c r="D19" s="323">
        <f>+D11</f>
        <v>5642.1866666666665</v>
      </c>
      <c r="E19" s="191">
        <f>+D19/'État des Résultats'!E11</f>
        <v>0.30761245674740478</v>
      </c>
      <c r="G19" s="323">
        <f>+G11</f>
        <v>5468.831666666666</v>
      </c>
      <c r="H19" s="191">
        <f>+G19/'État des Résultats'!H11</f>
        <v>0.30761245674740478</v>
      </c>
      <c r="J19" s="323">
        <f>+J11</f>
        <v>6094.0949999999993</v>
      </c>
      <c r="K19" s="191">
        <f>+J19/'État des Résultats'!K11</f>
        <v>0.30761245674740478</v>
      </c>
      <c r="M19" s="323">
        <f>+M11</f>
        <v>6165.2149999999992</v>
      </c>
      <c r="N19" s="191">
        <f>+M19/'État des Résultats'!N11</f>
        <v>0.30761245674740478</v>
      </c>
      <c r="O19" s="192"/>
      <c r="P19" s="323">
        <f>+P11</f>
        <v>6637.8666666666659</v>
      </c>
      <c r="Q19" s="191">
        <f>+P19/'État des Résultats'!Q11</f>
        <v>0.30761245674740478</v>
      </c>
      <c r="S19" s="323">
        <f>+S11</f>
        <v>6821.5933333333323</v>
      </c>
      <c r="T19" s="191">
        <f>+S19/'État des Résultats'!T11</f>
        <v>0.30761245674740478</v>
      </c>
      <c r="V19" s="323">
        <f>+V11</f>
        <v>7071.994999999999</v>
      </c>
      <c r="W19" s="191">
        <f>+V19/'État des Résultats'!W11</f>
        <v>0.30761245674740478</v>
      </c>
      <c r="Y19" s="323">
        <f>+Y11</f>
        <v>5142.2799999999988</v>
      </c>
      <c r="Z19" s="191">
        <f>+Y19/'État des Résultats'!Z11</f>
        <v>0.22076124567474043</v>
      </c>
      <c r="AB19" s="323">
        <f>+AB11</f>
        <v>4702.0599999999986</v>
      </c>
      <c r="AC19" s="191">
        <f>+AB19/'État des Résultats'!AC11</f>
        <v>0.22076124567474043</v>
      </c>
      <c r="AE19" s="323">
        <f>+AE11</f>
        <v>4706.3133333333326</v>
      </c>
      <c r="AF19" s="191">
        <f>+AE19/'État des Résultats'!AF11</f>
        <v>0.22076124567474043</v>
      </c>
      <c r="AH19" s="323">
        <f>+AH11</f>
        <v>4374.5533333333324</v>
      </c>
      <c r="AI19" s="191">
        <f>+AH19/'État des Résultats'!AI11</f>
        <v>0.22076124567474043</v>
      </c>
      <c r="AK19" s="323">
        <f>+AK11</f>
        <v>4861.5599999999986</v>
      </c>
      <c r="AL19" s="191">
        <f>+AK19/'État des Résultats'!AL11</f>
        <v>0.22076124567474043</v>
      </c>
      <c r="AO19" s="317">
        <f>+AO11</f>
        <v>67688.549999999988</v>
      </c>
      <c r="AP19" s="194">
        <f>+AO19/'État des Résultats'!AP11</f>
        <v>0.27024973383018358</v>
      </c>
    </row>
    <row r="20" spans="2:45" ht="15" customHeight="1" x14ac:dyDescent="0.15">
      <c r="B20" s="200" t="s">
        <v>172</v>
      </c>
      <c r="C20" s="209"/>
      <c r="D20" s="323">
        <f>+D12</f>
        <v>5423.2266666666674</v>
      </c>
      <c r="E20" s="191">
        <f>D20/'État des Résultats'!E12</f>
        <v>0.29877622377622376</v>
      </c>
      <c r="G20" s="323">
        <f>+G12</f>
        <v>5256.5991666666678</v>
      </c>
      <c r="H20" s="191">
        <f>G20/'État des Résultats'!H12</f>
        <v>0.29877622377622376</v>
      </c>
      <c r="J20" s="323">
        <f>+J12</f>
        <v>5857.5975000000008</v>
      </c>
      <c r="K20" s="191">
        <f>J20/'État des Résultats'!K12</f>
        <v>0.29877622377622376</v>
      </c>
      <c r="M20" s="323">
        <f>+M12</f>
        <v>5925.9575000000004</v>
      </c>
      <c r="N20" s="191">
        <f>M20/'État des Résultats'!N12</f>
        <v>0.29877622377622376</v>
      </c>
      <c r="O20" s="192"/>
      <c r="P20" s="323">
        <f>+P12</f>
        <v>6380.2666666666673</v>
      </c>
      <c r="Q20" s="191">
        <f>P20/'État des Résultats'!Q12</f>
        <v>0.29877622377622376</v>
      </c>
      <c r="R20" s="209"/>
      <c r="S20" s="323">
        <f>+S12</f>
        <v>6556.8633333333337</v>
      </c>
      <c r="T20" s="191">
        <f>S20/'État des Résultats'!T12</f>
        <v>0.29877622377622376</v>
      </c>
      <c r="V20" s="323">
        <f>+V12</f>
        <v>6797.5475000000006</v>
      </c>
      <c r="W20" s="191">
        <f>V20/'État des Résultats'!W12</f>
        <v>0.29877622377622376</v>
      </c>
      <c r="Y20" s="323">
        <f>+Y12</f>
        <v>6887.27</v>
      </c>
      <c r="Z20" s="191">
        <f>Y20/'État des Résultats'!Z12</f>
        <v>0.29877622377622376</v>
      </c>
      <c r="AB20" s="323">
        <f>+AB12</f>
        <v>6297.665</v>
      </c>
      <c r="AC20" s="191">
        <f>AB20/'État des Résultats'!AC12</f>
        <v>0.29877622377622376</v>
      </c>
      <c r="AE20" s="323">
        <f>+AE12</f>
        <v>6303.3616666666676</v>
      </c>
      <c r="AF20" s="191">
        <f>AE20/'État des Résultats'!AF12</f>
        <v>0.29877622377622376</v>
      </c>
      <c r="AH20" s="323">
        <f>+AH12</f>
        <v>5859.0216666666674</v>
      </c>
      <c r="AI20" s="191">
        <f>AH20/'État des Résultats'!AI12</f>
        <v>0.29877622377622376</v>
      </c>
      <c r="AK20" s="323">
        <f>+AK12</f>
        <v>6511.29</v>
      </c>
      <c r="AL20" s="191">
        <f>AK20/'État des Résultats'!AL12</f>
        <v>0.29877622377622376</v>
      </c>
      <c r="AO20" s="317">
        <f>+AO12</f>
        <v>74056.666666666686</v>
      </c>
      <c r="AP20" s="194">
        <f>AO20/'État des Résultats'!AP12</f>
        <v>0.29877622377622381</v>
      </c>
    </row>
    <row r="21" spans="2:45" ht="14" thickBot="1" x14ac:dyDescent="0.2">
      <c r="B21" s="208"/>
      <c r="D21" s="327"/>
      <c r="E21" s="237"/>
      <c r="F21" s="209"/>
      <c r="G21" s="327"/>
      <c r="H21" s="237"/>
      <c r="I21" s="209"/>
      <c r="J21" s="327"/>
      <c r="K21" s="237"/>
      <c r="L21" s="209"/>
      <c r="M21" s="327"/>
      <c r="N21" s="237"/>
      <c r="O21" s="209"/>
      <c r="P21" s="327"/>
      <c r="Q21" s="237"/>
      <c r="R21" s="209"/>
      <c r="S21" s="327"/>
      <c r="T21" s="237"/>
      <c r="V21" s="327"/>
      <c r="W21" s="237"/>
      <c r="Y21" s="327"/>
      <c r="Z21" s="237"/>
      <c r="AB21" s="327"/>
      <c r="AC21" s="237"/>
      <c r="AE21" s="327"/>
      <c r="AF21" s="237"/>
      <c r="AH21" s="327"/>
      <c r="AI21" s="237"/>
      <c r="AK21" s="327"/>
      <c r="AL21" s="237"/>
      <c r="AO21" s="317"/>
      <c r="AP21" s="238"/>
    </row>
    <row r="22" spans="2:45" ht="20" customHeight="1" x14ac:dyDescent="0.15">
      <c r="B22" s="523" t="s">
        <v>191</v>
      </c>
      <c r="C22" s="328"/>
      <c r="D22" s="525">
        <f>('État des Résultats'!E14-'Coût marchandises vendues'!D14)</f>
        <v>25427.920000000002</v>
      </c>
      <c r="E22" s="526">
        <f>+D22/'État des Résultats'!E14</f>
        <v>0.69678260869565223</v>
      </c>
      <c r="F22" s="328"/>
      <c r="G22" s="525">
        <f>('État des Résultats'!H14-'Coût marchandises vendues'!G14)</f>
        <v>24646.652500000004</v>
      </c>
      <c r="H22" s="526">
        <f>+G22/'État des Résultats'!H14</f>
        <v>0.69678260869565223</v>
      </c>
      <c r="I22" s="328"/>
      <c r="J22" s="525">
        <f>('État des Résultats'!K14-'Coût marchandises vendues'!J14)</f>
        <v>27464.557499999999</v>
      </c>
      <c r="K22" s="526">
        <f>+J22/'État des Résultats'!K14</f>
        <v>0.69678260869565212</v>
      </c>
      <c r="L22" s="328"/>
      <c r="M22" s="525">
        <f>('État des Résultats'!N14-'Coût marchandises vendues'!M14)</f>
        <v>27785.077499999999</v>
      </c>
      <c r="N22" s="526">
        <f>+M22/'État des Résultats'!N14</f>
        <v>0.69678260869565212</v>
      </c>
      <c r="O22" s="328"/>
      <c r="P22" s="525">
        <f>('État des Résultats'!Q14-'Coût marchandises vendues'!P14)</f>
        <v>29915.200000000004</v>
      </c>
      <c r="Q22" s="526">
        <f>+P22/'État des Résultats'!Q14</f>
        <v>0.69678260869565223</v>
      </c>
      <c r="R22" s="328"/>
      <c r="S22" s="525">
        <f>('État des Résultats'!T14-'Coût marchandises vendues'!S14)</f>
        <v>30743.210000000006</v>
      </c>
      <c r="T22" s="526">
        <f>+S22/'État des Résultats'!T14</f>
        <v>0.69678260869565223</v>
      </c>
      <c r="U22" s="251"/>
      <c r="V22" s="525">
        <f>('État des Résultats'!W14-'Coût marchandises vendues'!V14)</f>
        <v>31871.7075</v>
      </c>
      <c r="W22" s="526">
        <f>+V22/'État des Résultats'!W14</f>
        <v>0.69678260869565223</v>
      </c>
      <c r="X22" s="328"/>
      <c r="Y22" s="525">
        <f>('État des Résultats'!Z14-'Coût marchandises vendues'!Y14)</f>
        <v>34315.449999999997</v>
      </c>
      <c r="Z22" s="526">
        <f>+Y22/'État des Résultats'!Z14</f>
        <v>0.74043478260869555</v>
      </c>
      <c r="AA22" s="328"/>
      <c r="AB22" s="525">
        <f>('État des Résultats'!AC14-'Coût marchandises vendues'!AB14)</f>
        <v>31377.775000000001</v>
      </c>
      <c r="AC22" s="526">
        <f>+AB22/'État des Résultats'!AC14</f>
        <v>0.74043478260869566</v>
      </c>
      <c r="AD22" s="251"/>
      <c r="AE22" s="525">
        <f>('État des Résultats'!AF14-'Coût marchandises vendues'!AE14)</f>
        <v>31406.158333333336</v>
      </c>
      <c r="AF22" s="526">
        <f>+AE22/'État des Résultats'!AF14</f>
        <v>0.74043478260869566</v>
      </c>
      <c r="AG22" s="251"/>
      <c r="AH22" s="525">
        <f>('État des Résultats'!AI14-'Coût marchandises vendues'!AH14)</f>
        <v>29192.258333333335</v>
      </c>
      <c r="AI22" s="526">
        <f>+AH22/'État des Résultats'!AI14</f>
        <v>0.74043478260869566</v>
      </c>
      <c r="AJ22" s="251"/>
      <c r="AK22" s="525">
        <f>('État des Résultats'!AL14-'Coût marchandises vendues'!AK14)</f>
        <v>32442.15</v>
      </c>
      <c r="AL22" s="526">
        <f>+AK22/'État des Résultats'!AL14</f>
        <v>0.74043478260869566</v>
      </c>
      <c r="AM22" s="251"/>
      <c r="AN22" s="251"/>
      <c r="AO22" s="525">
        <f>('État des Résultats'!AP14-'Coût marchandises vendues'!AO14)</f>
        <v>356588.11666666664</v>
      </c>
      <c r="AP22" s="526">
        <f>+AO22/'État des Résultats'!AP14</f>
        <v>0.71556143812709028</v>
      </c>
      <c r="AR22" s="313" t="s">
        <v>2</v>
      </c>
    </row>
    <row r="23" spans="2:45" ht="14" thickBot="1" x14ac:dyDescent="0.2">
      <c r="B23" s="524"/>
      <c r="C23" s="209"/>
      <c r="D23" s="527"/>
      <c r="E23" s="528"/>
      <c r="F23" s="209"/>
      <c r="G23" s="527"/>
      <c r="H23" s="528"/>
      <c r="I23" s="209"/>
      <c r="J23" s="529"/>
      <c r="K23" s="528"/>
      <c r="L23" s="209"/>
      <c r="M23" s="527"/>
      <c r="N23" s="528"/>
      <c r="O23" s="209"/>
      <c r="P23" s="527"/>
      <c r="Q23" s="528"/>
      <c r="R23" s="209"/>
      <c r="S23" s="527"/>
      <c r="T23" s="528"/>
      <c r="U23" s="209"/>
      <c r="V23" s="529"/>
      <c r="W23" s="528"/>
      <c r="X23" s="209"/>
      <c r="Y23" s="527"/>
      <c r="Z23" s="528"/>
      <c r="AA23" s="209"/>
      <c r="AB23" s="527"/>
      <c r="AC23" s="528"/>
      <c r="AD23" s="209"/>
      <c r="AE23" s="527"/>
      <c r="AF23" s="528"/>
      <c r="AG23" s="209"/>
      <c r="AH23" s="527"/>
      <c r="AI23" s="528"/>
      <c r="AJ23" s="209"/>
      <c r="AK23" s="527"/>
      <c r="AL23" s="528"/>
      <c r="AO23" s="527"/>
      <c r="AP23" s="528"/>
    </row>
    <row r="24" spans="2:45" ht="14" thickTop="1" x14ac:dyDescent="0.1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s="330"/>
    </row>
    <row r="25" spans="2:45" x14ac:dyDescent="0.1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s="330"/>
    </row>
    <row r="26" spans="2:45" x14ac:dyDescent="0.1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s="330"/>
    </row>
    <row r="27" spans="2:45" x14ac:dyDescent="0.1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s="330"/>
    </row>
    <row r="28" spans="2:45" x14ac:dyDescent="0.1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s="330"/>
    </row>
    <row r="29" spans="2:45" x14ac:dyDescent="0.1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s="330"/>
    </row>
    <row r="30" spans="2:45" x14ac:dyDescent="0.1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s="330"/>
    </row>
    <row r="31" spans="2:45" x14ac:dyDescent="0.1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s="330"/>
    </row>
    <row r="32" spans="2:45" x14ac:dyDescent="0.1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s="330"/>
    </row>
    <row r="33" spans="2:45" x14ac:dyDescent="0.15">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s="330"/>
    </row>
    <row r="34" spans="2:45" x14ac:dyDescent="0.1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s="330"/>
    </row>
    <row r="35" spans="2:45" x14ac:dyDescent="0.1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s="330"/>
    </row>
    <row r="36" spans="2:45" x14ac:dyDescent="0.1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s="330"/>
    </row>
    <row r="37" spans="2:45" x14ac:dyDescent="0.1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s="330"/>
    </row>
    <row r="38" spans="2:45" x14ac:dyDescent="0.1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s="330"/>
    </row>
    <row r="39" spans="2:45" x14ac:dyDescent="0.1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s="330"/>
    </row>
    <row r="40" spans="2:45" x14ac:dyDescent="0.1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s="330"/>
    </row>
    <row r="41" spans="2:45" x14ac:dyDescent="0.1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s="330"/>
    </row>
    <row r="42" spans="2:45" x14ac:dyDescent="0.1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s="330"/>
    </row>
    <row r="43" spans="2:45" x14ac:dyDescent="0.1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s="330"/>
    </row>
    <row r="44" spans="2:45" x14ac:dyDescent="0.1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s="330"/>
    </row>
    <row r="45" spans="2:45" x14ac:dyDescent="0.1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s="330"/>
    </row>
    <row r="46" spans="2:45" x14ac:dyDescent="0.1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s="330"/>
    </row>
    <row r="47" spans="2:45" x14ac:dyDescent="0.1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s="330"/>
    </row>
    <row r="48" spans="2:45" x14ac:dyDescent="0.1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s="330"/>
    </row>
    <row r="49" spans="2:45" x14ac:dyDescent="0.1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330"/>
    </row>
    <row r="50" spans="2:45"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s="330"/>
    </row>
    <row r="51" spans="2:45"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s="330"/>
    </row>
    <row r="52" spans="2:45"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s="330"/>
    </row>
    <row r="53" spans="2:45"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s="330"/>
    </row>
    <row r="54" spans="2:45"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s="330"/>
    </row>
    <row r="55" spans="2:45"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s="330"/>
    </row>
    <row r="56" spans="2:45" x14ac:dyDescent="0.1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s="330"/>
    </row>
    <row r="57" spans="2:45" x14ac:dyDescent="0.1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s="330"/>
    </row>
    <row r="58" spans="2:45" x14ac:dyDescent="0.1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s="330"/>
    </row>
    <row r="59" spans="2:45" x14ac:dyDescent="0.1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s="330"/>
    </row>
    <row r="60" spans="2:45" x14ac:dyDescent="0.1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s="330"/>
    </row>
    <row r="61" spans="2:45" x14ac:dyDescent="0.1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s="330"/>
    </row>
    <row r="62" spans="2:45" x14ac:dyDescent="0.1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s="330"/>
    </row>
    <row r="63" spans="2:45" x14ac:dyDescent="0.1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s="330"/>
    </row>
    <row r="64" spans="2:45" x14ac:dyDescent="0.1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s="330"/>
    </row>
    <row r="65" spans="2:45" x14ac:dyDescent="0.1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s="330"/>
    </row>
    <row r="66" spans="2:45" x14ac:dyDescent="0.1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s="330"/>
    </row>
    <row r="67" spans="2:45" x14ac:dyDescent="0.1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s="330"/>
    </row>
    <row r="68" spans="2:45" x14ac:dyDescent="0.1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row>
    <row r="69" spans="2:45" x14ac:dyDescent="0.15">
      <c r="C69" s="209"/>
      <c r="F69" s="209"/>
      <c r="I69" s="209"/>
      <c r="L69" s="209"/>
      <c r="O69" s="209"/>
      <c r="R69" s="209"/>
      <c r="U69" s="209"/>
      <c r="X69" s="209"/>
      <c r="AA69" s="209"/>
      <c r="AD69" s="209"/>
      <c r="AJ69" s="209"/>
    </row>
    <row r="70" spans="2:45" x14ac:dyDescent="0.15">
      <c r="C70" s="209"/>
      <c r="F70" s="209"/>
      <c r="I70" s="209"/>
      <c r="L70" s="209"/>
      <c r="O70" s="209"/>
      <c r="U70" s="209"/>
      <c r="X70" s="209"/>
      <c r="AD70" s="209"/>
      <c r="AJ70" s="209"/>
    </row>
    <row r="71" spans="2:45" x14ac:dyDescent="0.15">
      <c r="C71" s="209"/>
      <c r="F71" s="209"/>
      <c r="I71" s="209"/>
      <c r="L71" s="209"/>
      <c r="O71" s="209"/>
      <c r="U71" s="209"/>
      <c r="X71" s="209"/>
      <c r="AD71" s="209"/>
    </row>
    <row r="72" spans="2:45" x14ac:dyDescent="0.15">
      <c r="C72" s="209"/>
      <c r="F72" s="209"/>
      <c r="I72" s="209"/>
      <c r="L72" s="209"/>
      <c r="O72" s="209"/>
      <c r="U72" s="209"/>
      <c r="AD72" s="209"/>
    </row>
    <row r="73" spans="2:45" x14ac:dyDescent="0.15">
      <c r="C73" s="209"/>
      <c r="F73" s="209"/>
      <c r="I73" s="209"/>
      <c r="L73" s="209"/>
      <c r="O73" s="209"/>
      <c r="U73" s="209"/>
      <c r="AD73" s="209"/>
    </row>
    <row r="74" spans="2:45" x14ac:dyDescent="0.15">
      <c r="C74" s="209"/>
      <c r="F74" s="209"/>
      <c r="I74" s="209"/>
      <c r="L74" s="209"/>
      <c r="O74" s="209"/>
      <c r="U74" s="209"/>
      <c r="AD74" s="209"/>
    </row>
    <row r="75" spans="2:45" x14ac:dyDescent="0.15">
      <c r="C75" s="209"/>
      <c r="F75" s="209"/>
      <c r="I75" s="209"/>
      <c r="L75" s="209"/>
      <c r="O75" s="209"/>
      <c r="U75" s="209"/>
      <c r="AD75" s="209"/>
    </row>
    <row r="76" spans="2:45" x14ac:dyDescent="0.15">
      <c r="C76" s="209"/>
      <c r="F76" s="209"/>
      <c r="I76" s="209"/>
      <c r="O76" s="209"/>
      <c r="U76" s="209"/>
      <c r="AD76" s="209"/>
    </row>
    <row r="77" spans="2:45" x14ac:dyDescent="0.15">
      <c r="C77" s="209"/>
      <c r="F77" s="209"/>
      <c r="I77" s="209"/>
      <c r="O77" s="209"/>
      <c r="U77" s="209"/>
      <c r="AD77" s="209"/>
    </row>
    <row r="78" spans="2:45" x14ac:dyDescent="0.15">
      <c r="C78" s="209"/>
      <c r="F78" s="209"/>
      <c r="I78" s="209"/>
      <c r="O78" s="209"/>
      <c r="U78" s="209"/>
      <c r="AD78" s="209"/>
    </row>
    <row r="79" spans="2:45" x14ac:dyDescent="0.15">
      <c r="C79" s="209"/>
      <c r="F79" s="209"/>
      <c r="O79" s="209"/>
      <c r="U79" s="209"/>
      <c r="AD79" s="209"/>
    </row>
    <row r="80" spans="2:45" x14ac:dyDescent="0.15">
      <c r="C80" s="209"/>
      <c r="O80" s="209"/>
      <c r="AD80" s="209"/>
    </row>
    <row r="81" spans="3:15" x14ac:dyDescent="0.15">
      <c r="C81" s="209"/>
      <c r="O81" s="209"/>
    </row>
    <row r="82" spans="3:15" x14ac:dyDescent="0.15">
      <c r="C82" s="209"/>
      <c r="O82" s="209"/>
    </row>
  </sheetData>
  <sheetProtection algorithmName="SHA-512" hashValue="0JyaRnbrgyLy4gmPEGxbMXmtk5UMxmOR48Idjz5ys3RVWz52iJuIT1BxmZh1IwT4SPUqDKNnRzf11qjs1b9eiA==" saltValue="7V/t1rff6SoxTucEbvw6+A==" spinCount="100000" sheet="1" objects="1" scenarios="1"/>
  <mergeCells count="2">
    <mergeCell ref="AS2:AS8"/>
    <mergeCell ref="BC2:BC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252" t="str">
        <f>'État des Résultats'!C2</f>
        <v>Chez Les Petites Gâteries &amp; Cie.</v>
      </c>
      <c r="C2" s="1253"/>
      <c r="AS2" s="1240" t="s">
        <v>42</v>
      </c>
      <c r="AT2" s="367"/>
      <c r="AU2" s="367"/>
      <c r="AV2" s="367"/>
      <c r="AW2" s="367"/>
      <c r="AX2" s="367"/>
      <c r="AY2" s="367"/>
      <c r="AZ2" s="367"/>
      <c r="BA2" s="367"/>
      <c r="BB2" s="367"/>
      <c r="BC2" s="1243" t="s">
        <v>43</v>
      </c>
    </row>
    <row r="3" spans="2:55" ht="20" customHeight="1" x14ac:dyDescent="0.2">
      <c r="B3" s="1254" t="str">
        <f>'État des Résultats'!C3</f>
        <v xml:space="preserve">États des résultats </v>
      </c>
      <c r="C3" s="1255"/>
      <c r="AS3" s="1241"/>
      <c r="AT3" s="368"/>
      <c r="AU3" s="368"/>
      <c r="AV3" s="368"/>
      <c r="AW3" s="368"/>
      <c r="AX3" s="368"/>
      <c r="AY3" s="368"/>
      <c r="AZ3" s="368"/>
      <c r="BA3" s="368"/>
      <c r="BB3" s="368"/>
      <c r="BC3" s="1244"/>
    </row>
    <row r="4" spans="2:55" ht="20" customHeight="1" thickBot="1" x14ac:dyDescent="0.3">
      <c r="B4" s="1256" t="str">
        <f>'État des Résultats'!C4</f>
        <v>Pour la période du 1er janvier 2021 au 31 décembre 2021</v>
      </c>
      <c r="C4" s="1257"/>
      <c r="AS4" s="1241"/>
      <c r="AT4" s="369" t="str">
        <f>'Formule pour le calcul D'!BA103</f>
        <v>Coût annuel</v>
      </c>
      <c r="AU4" s="369" t="s">
        <v>44</v>
      </c>
      <c r="AV4" s="369" t="str">
        <f>'Formule pour le calcul D'!BC103</f>
        <v>Achalandage annuelle</v>
      </c>
      <c r="AW4" s="369" t="s">
        <v>45</v>
      </c>
      <c r="AX4" s="369" t="s">
        <v>46</v>
      </c>
      <c r="AY4" s="369" t="str">
        <f>'Formule pour le calcul D'!BF103</f>
        <v>Um/A</v>
      </c>
      <c r="AZ4" s="369" t="s">
        <v>45</v>
      </c>
      <c r="BA4" s="369" t="str">
        <f>'Formule pour le calcul D'!BH103</f>
        <v>CmO</v>
      </c>
      <c r="BB4" s="369" t="s">
        <v>49</v>
      </c>
      <c r="BC4" s="1244"/>
    </row>
    <row r="5" spans="2:55" ht="21" thickTop="1" thickBot="1" x14ac:dyDescent="0.3">
      <c r="AS5" s="1241"/>
      <c r="AT5" s="370" t="s">
        <v>2</v>
      </c>
      <c r="AU5" s="371"/>
      <c r="AV5" s="370"/>
      <c r="AW5" s="371"/>
      <c r="AX5" s="371"/>
      <c r="AY5" s="371"/>
      <c r="AZ5" s="371"/>
      <c r="BA5" s="371"/>
      <c r="BB5" s="371"/>
      <c r="BC5" s="1244"/>
    </row>
    <row r="6" spans="2:55" ht="27" thickTop="1" x14ac:dyDescent="0.3">
      <c r="B6" s="1258" t="str">
        <f>'État des Résultats'!C6</f>
        <v>Nb de places</v>
      </c>
      <c r="C6" s="1259"/>
      <c r="E6" s="579" t="str">
        <f>'Coût marchandises vendues'!D6</f>
        <v>Coût / place / jour</v>
      </c>
      <c r="F6" s="531">
        <f>E38/$B$7/'Calendrier 2021'!D8</f>
        <v>321.03612903225809</v>
      </c>
      <c r="G6" s="170"/>
      <c r="H6" s="579" t="str">
        <f>+E6</f>
        <v>Coût / place / jour</v>
      </c>
      <c r="I6" s="531">
        <f>H38/$B$7/'Calendrier 2021'!E8</f>
        <v>355.43285714285719</v>
      </c>
      <c r="J6" s="170"/>
      <c r="K6" s="579" t="str">
        <f>+H6</f>
        <v>Coût / place / jour</v>
      </c>
      <c r="L6" s="531">
        <f>K38/$B$7/'Calendrier 2021'!F8</f>
        <v>321.03612903225809</v>
      </c>
      <c r="M6" s="170"/>
      <c r="N6" s="579" t="str">
        <f>+K6</f>
        <v>Coût / place / jour</v>
      </c>
      <c r="O6" s="531">
        <f>N38/$B$7/'Calendrier 2021'!G8</f>
        <v>331.73733333333337</v>
      </c>
      <c r="P6" s="423"/>
      <c r="Q6" s="422" t="str">
        <f>+N6</f>
        <v>Coût / place / jour</v>
      </c>
      <c r="R6" s="531">
        <f>Q38/$B$7/'Calendrier 2021'!H8</f>
        <v>321.03612903225809</v>
      </c>
      <c r="S6" s="423"/>
      <c r="T6" s="579" t="str">
        <f>+Q6</f>
        <v>Coût / place / jour</v>
      </c>
      <c r="U6" s="531">
        <f>T38/$B$7/'Calendrier 2021'!I8</f>
        <v>331.73733333333337</v>
      </c>
      <c r="V6" s="170"/>
      <c r="W6" s="579" t="str">
        <f>+T6</f>
        <v>Coût / place / jour</v>
      </c>
      <c r="X6" s="531">
        <f>W38/$B$7/'Calendrier 2021'!J8</f>
        <v>321.03612903225809</v>
      </c>
      <c r="Y6" s="588"/>
      <c r="Z6" s="579" t="str">
        <f>+W6</f>
        <v>Coût / place / jour</v>
      </c>
      <c r="AA6" s="531">
        <f>Z38/$B$7/'Calendrier 2021'!K8</f>
        <v>321.03612903225809</v>
      </c>
      <c r="AB6" s="170"/>
      <c r="AC6" s="579" t="str">
        <f>+Z6</f>
        <v>Coût / place / jour</v>
      </c>
      <c r="AD6" s="531">
        <f>AC38/$B$7/'Calendrier 2021'!L8</f>
        <v>331.73733333333337</v>
      </c>
      <c r="AE6" s="170"/>
      <c r="AF6" s="579" t="str">
        <f>+AC6</f>
        <v>Coût / place / jour</v>
      </c>
      <c r="AG6" s="531">
        <f>AF38/$B$7/'Calendrier 2021'!M8</f>
        <v>321.03612903225809</v>
      </c>
      <c r="AH6" s="170"/>
      <c r="AI6" s="579" t="str">
        <f>+AF6</f>
        <v>Coût / place / jour</v>
      </c>
      <c r="AJ6" s="531">
        <f>AI38/$B$7/'Calendrier 2021'!N8</f>
        <v>331.73733333333337</v>
      </c>
      <c r="AK6" s="424"/>
      <c r="AL6" s="579" t="str">
        <f>+AI6</f>
        <v>Coût / place / jour</v>
      </c>
      <c r="AM6" s="531">
        <f>AL38/$B$7/'Calendrier 2021'!O8</f>
        <v>321.03612903225809</v>
      </c>
      <c r="AN6" s="170"/>
      <c r="AO6" s="170"/>
      <c r="AP6" s="530" t="str">
        <f>+AL6</f>
        <v>Coût / place / jour</v>
      </c>
      <c r="AQ6" s="531">
        <f>AP38/$B$7/'% Occupation'!P8</f>
        <v>327.19298630136984</v>
      </c>
      <c r="AS6" s="1241"/>
      <c r="AT6" s="372" t="str">
        <f>'Formule pour le calcul D'!BA105</f>
        <v xml:space="preserve">C </v>
      </c>
      <c r="AU6" s="373"/>
      <c r="AV6" s="372" t="str">
        <f>'Formule pour le calcul D'!BC105</f>
        <v>A</v>
      </c>
      <c r="AW6" s="373"/>
      <c r="AX6" s="373"/>
      <c r="AY6" s="372" t="str">
        <f>AY4</f>
        <v>Um/A</v>
      </c>
      <c r="AZ6" s="373"/>
      <c r="BA6" s="372" t="str">
        <f>BA4</f>
        <v>CmO</v>
      </c>
      <c r="BB6" s="373"/>
      <c r="BC6" s="1244"/>
    </row>
    <row r="7" spans="2:55" ht="21" x14ac:dyDescent="0.25">
      <c r="B7" s="1260">
        <f>'État des Résultats'!C7</f>
        <v>1</v>
      </c>
      <c r="C7" s="1261"/>
      <c r="E7" s="580">
        <f>+E38/$AP$38</f>
        <v>8.3333333333333343E-2</v>
      </c>
      <c r="F7" s="581"/>
      <c r="G7" s="383"/>
      <c r="H7" s="580">
        <f>+H38/$AP$38</f>
        <v>8.3333333333333343E-2</v>
      </c>
      <c r="I7" s="581"/>
      <c r="J7" s="383"/>
      <c r="K7" s="580">
        <f>+K38/$AP$38</f>
        <v>8.3333333333333343E-2</v>
      </c>
      <c r="L7" s="581"/>
      <c r="M7" s="383"/>
      <c r="N7" s="580">
        <f>+N38/$AP$38</f>
        <v>8.3333333333333343E-2</v>
      </c>
      <c r="O7" s="581"/>
      <c r="P7" s="427"/>
      <c r="Q7" s="425">
        <f>+Q38/$AP$38</f>
        <v>8.3333333333333343E-2</v>
      </c>
      <c r="R7" s="426"/>
      <c r="S7" s="427"/>
      <c r="T7" s="580">
        <f>+T38/$AP$38</f>
        <v>8.3333333333333343E-2</v>
      </c>
      <c r="U7" s="581"/>
      <c r="V7" s="383"/>
      <c r="W7" s="580">
        <f>+W38/$AP$38</f>
        <v>8.3333333333333343E-2</v>
      </c>
      <c r="X7" s="581"/>
      <c r="Y7" s="589"/>
      <c r="Z7" s="580">
        <f>+Z38/$AP$38</f>
        <v>8.3333333333333343E-2</v>
      </c>
      <c r="AA7" s="581"/>
      <c r="AB7" s="383"/>
      <c r="AC7" s="580">
        <f>+AC38/$AP$38</f>
        <v>8.3333333333333343E-2</v>
      </c>
      <c r="AD7" s="581"/>
      <c r="AE7" s="383"/>
      <c r="AF7" s="580">
        <f>+AF38/$AP$38</f>
        <v>8.3333333333333343E-2</v>
      </c>
      <c r="AG7" s="581"/>
      <c r="AH7" s="383"/>
      <c r="AI7" s="580">
        <f>+AI38/$AP$38</f>
        <v>8.3333333333333343E-2</v>
      </c>
      <c r="AJ7" s="581"/>
      <c r="AK7" s="412"/>
      <c r="AL7" s="580">
        <f>+AL38/$AP$38</f>
        <v>8.3333333333333343E-2</v>
      </c>
      <c r="AM7" s="581"/>
      <c r="AN7" s="428">
        <f>+AN38/$AP$38</f>
        <v>0</v>
      </c>
      <c r="AO7" s="383"/>
      <c r="AP7" s="572">
        <f t="shared" ref="AP7" si="0">SUM(+$AL7+$AI7+$AF7+$AC7+$Z7+$W7+$T7+$Q7+$N7+$K7+$H7+$E7)</f>
        <v>1.0000000000000002</v>
      </c>
      <c r="AQ7" s="591"/>
      <c r="AS7" s="1241"/>
      <c r="AT7" s="631">
        <f>AP38</f>
        <v>119425.44</v>
      </c>
      <c r="AU7" s="369" t="s">
        <v>44</v>
      </c>
      <c r="AV7" s="632">
        <f>'Formule pour le calcul D'!G106</f>
        <v>52000</v>
      </c>
      <c r="AW7" s="369" t="s">
        <v>45</v>
      </c>
      <c r="AX7" s="369" t="s">
        <v>46</v>
      </c>
      <c r="AY7" s="633">
        <f>'Formule pour le calcul D'!J106</f>
        <v>2</v>
      </c>
      <c r="AZ7" s="369" t="s">
        <v>45</v>
      </c>
      <c r="BA7" s="634">
        <f>AT7/AV7/AY7</f>
        <v>1.1483215384615384</v>
      </c>
      <c r="BB7" s="369" t="s">
        <v>49</v>
      </c>
      <c r="BC7" s="1244"/>
    </row>
    <row r="8" spans="2:55" ht="17" thickBot="1" x14ac:dyDescent="0.25">
      <c r="B8" s="1262" t="s">
        <v>195</v>
      </c>
      <c r="C8" s="1263"/>
      <c r="E8" s="582" t="str">
        <f>'État des Résultats'!E8</f>
        <v>Pér.01</v>
      </c>
      <c r="F8" s="583" t="str">
        <f>'État des Résultats'!F8</f>
        <v>(%)</v>
      </c>
      <c r="G8" s="187"/>
      <c r="H8" s="582" t="str">
        <f>'État des Résultats'!H8</f>
        <v>Pér.02</v>
      </c>
      <c r="I8" s="583" t="str">
        <f>F8</f>
        <v>(%)</v>
      </c>
      <c r="J8" s="187"/>
      <c r="K8" s="582" t="str">
        <f>'État des Résultats'!K8</f>
        <v>Pér.03</v>
      </c>
      <c r="L8" s="583" t="str">
        <f>I8</f>
        <v>(%)</v>
      </c>
      <c r="M8" s="187"/>
      <c r="N8" s="582" t="str">
        <f>'État des Résultats'!N8</f>
        <v>Pér.04</v>
      </c>
      <c r="O8" s="583" t="str">
        <f>L8</f>
        <v>(%)</v>
      </c>
      <c r="P8" s="430"/>
      <c r="Q8" s="429" t="str">
        <f>'État des Résultats'!Q8</f>
        <v>Pér.05</v>
      </c>
      <c r="R8" s="386" t="str">
        <f>O8</f>
        <v>(%)</v>
      </c>
      <c r="S8" s="430"/>
      <c r="T8" s="582" t="str">
        <f>'État des Résultats'!T8</f>
        <v>Pér.06</v>
      </c>
      <c r="U8" s="583" t="str">
        <f>R8</f>
        <v>(%)</v>
      </c>
      <c r="V8" s="187"/>
      <c r="W8" s="582" t="str">
        <f>'État des Résultats'!W8</f>
        <v>Pér.07</v>
      </c>
      <c r="X8" s="583" t="str">
        <f>U8</f>
        <v>(%)</v>
      </c>
      <c r="Y8" s="590"/>
      <c r="Z8" s="582" t="str">
        <f>'État des Résultats'!Z8</f>
        <v>Pér.08</v>
      </c>
      <c r="AA8" s="583" t="str">
        <f>X8</f>
        <v>(%)</v>
      </c>
      <c r="AB8" s="187"/>
      <c r="AC8" s="582" t="str">
        <f>'État des Résultats'!AC8</f>
        <v>Pér.09</v>
      </c>
      <c r="AD8" s="583" t="str">
        <f>AA8</f>
        <v>(%)</v>
      </c>
      <c r="AE8" s="187"/>
      <c r="AF8" s="582" t="str">
        <f>'État des Résultats'!AF8</f>
        <v>Pér.10</v>
      </c>
      <c r="AG8" s="583" t="str">
        <f>AD8</f>
        <v>(%)</v>
      </c>
      <c r="AH8" s="187"/>
      <c r="AI8" s="582" t="str">
        <f>'État des Résultats'!AI8</f>
        <v>Pér.11</v>
      </c>
      <c r="AJ8" s="583" t="str">
        <f>AG8</f>
        <v>(%)</v>
      </c>
      <c r="AK8" s="431"/>
      <c r="AL8" s="582" t="str">
        <f>'État des Résultats'!AL8</f>
        <v>Pér.12</v>
      </c>
      <c r="AM8" s="583" t="str">
        <f>AJ8</f>
        <v>(%)</v>
      </c>
      <c r="AN8" s="187"/>
      <c r="AO8" s="187"/>
      <c r="AP8" s="592" t="str">
        <f>'État des Résultats'!AP8</f>
        <v>Total</v>
      </c>
      <c r="AQ8" s="583" t="str">
        <f>AM8</f>
        <v>(%)</v>
      </c>
      <c r="AS8" s="1242"/>
      <c r="AT8" s="374"/>
      <c r="AU8" s="374"/>
      <c r="AV8" s="374"/>
      <c r="AW8" s="374"/>
      <c r="AX8" s="374"/>
      <c r="AY8" s="374"/>
      <c r="AZ8" s="374"/>
      <c r="BA8" s="374"/>
      <c r="BB8" s="374"/>
      <c r="BC8" s="1245"/>
    </row>
    <row r="9" spans="2:55" ht="15" thickTop="1" thickBot="1" x14ac:dyDescent="0.2">
      <c r="B9" s="1246">
        <f>AP38/B7</f>
        <v>119425.44</v>
      </c>
      <c r="C9" s="1247"/>
      <c r="D9" s="251"/>
      <c r="E9" s="584" t="str">
        <f>'État des Résultats'!E9</f>
        <v>Janvier 2021</v>
      </c>
      <c r="F9" s="585"/>
      <c r="G9" s="389"/>
      <c r="H9" s="584" t="str">
        <f>'État des Résultats'!H9</f>
        <v>Février 2021</v>
      </c>
      <c r="I9" s="586"/>
      <c r="J9" s="389"/>
      <c r="K9" s="584" t="str">
        <f>'État des Résultats'!K9</f>
        <v>Mars 2021</v>
      </c>
      <c r="L9" s="586"/>
      <c r="M9" s="389"/>
      <c r="N9" s="584" t="str">
        <f>'État des Résultats'!N9</f>
        <v>Avril 2021</v>
      </c>
      <c r="O9" s="587"/>
      <c r="P9" s="434"/>
      <c r="Q9" s="432" t="str">
        <f>'État des Résultats'!Q9</f>
        <v>Mai 2021</v>
      </c>
      <c r="R9" s="433"/>
      <c r="S9" s="434"/>
      <c r="T9" s="584" t="str">
        <f>'État des Résultats'!T9</f>
        <v>Juin 2021</v>
      </c>
      <c r="U9" s="586"/>
      <c r="V9" s="389"/>
      <c r="W9" s="584" t="str">
        <f>'État des Résultats'!W9</f>
        <v>Juillet 2021</v>
      </c>
      <c r="X9" s="586"/>
      <c r="Y9" s="590"/>
      <c r="Z9" s="584" t="str">
        <f>'État des Résultats'!Z9</f>
        <v>Août 2021</v>
      </c>
      <c r="AA9" s="586"/>
      <c r="AB9" s="389"/>
      <c r="AC9" s="584" t="str">
        <f>'État des Résultats'!AC9</f>
        <v>Septembre 2021</v>
      </c>
      <c r="AD9" s="586"/>
      <c r="AE9" s="389"/>
      <c r="AF9" s="584" t="str">
        <f>'État des Résultats'!AF9</f>
        <v>Octobre 2021</v>
      </c>
      <c r="AG9" s="586"/>
      <c r="AH9" s="389"/>
      <c r="AI9" s="584" t="str">
        <f>'État des Résultats'!AI9</f>
        <v>Novembre 2021</v>
      </c>
      <c r="AJ9" s="586"/>
      <c r="AK9" s="435"/>
      <c r="AL9" s="584" t="str">
        <f>'État des Résultats'!AL9</f>
        <v>Décembre 2021</v>
      </c>
      <c r="AM9" s="586"/>
      <c r="AN9" s="389"/>
      <c r="AO9" s="389"/>
      <c r="AP9" s="593" t="str">
        <f>'État des Résultats'!AP9</f>
        <v>Année</v>
      </c>
      <c r="AQ9" s="594"/>
    </row>
    <row r="10" spans="2:55" ht="15" thickTop="1" thickBot="1" x14ac:dyDescent="0.2">
      <c r="B10" s="436"/>
      <c r="C10" s="437"/>
      <c r="D10" s="328"/>
      <c r="E10" s="438"/>
      <c r="F10" s="439"/>
      <c r="G10" s="391"/>
      <c r="H10" s="438"/>
      <c r="I10" s="438"/>
      <c r="J10" s="391"/>
      <c r="K10" s="438"/>
      <c r="L10" s="438"/>
      <c r="M10" s="391"/>
      <c r="N10" s="438"/>
      <c r="O10" s="438"/>
      <c r="P10" s="438"/>
      <c r="Q10" s="438"/>
      <c r="R10" s="438"/>
      <c r="S10" s="438"/>
      <c r="T10" s="438"/>
      <c r="U10" s="438"/>
      <c r="V10" s="391"/>
      <c r="W10" s="438"/>
      <c r="X10" s="438"/>
      <c r="Y10" s="387"/>
      <c r="Z10" s="438"/>
      <c r="AA10" s="438"/>
      <c r="AB10" s="391"/>
      <c r="AC10" s="438"/>
      <c r="AD10" s="438"/>
      <c r="AE10" s="391"/>
      <c r="AF10" s="438"/>
      <c r="AG10" s="438"/>
      <c r="AH10" s="391"/>
      <c r="AI10" s="438"/>
      <c r="AJ10" s="438"/>
      <c r="AK10" s="391"/>
      <c r="AL10" s="438"/>
      <c r="AM10" s="438"/>
      <c r="AN10" s="391"/>
      <c r="AO10" s="391"/>
      <c r="AP10" s="440"/>
      <c r="AQ10" s="439"/>
    </row>
    <row r="11" spans="2:55" ht="14" thickTop="1" x14ac:dyDescent="0.15">
      <c r="B11" s="441">
        <v>6100</v>
      </c>
      <c r="C11" s="442" t="s">
        <v>196</v>
      </c>
      <c r="D11" s="213"/>
      <c r="E11" s="443"/>
      <c r="F11" s="444"/>
      <c r="G11" s="213"/>
      <c r="H11" s="443"/>
      <c r="I11" s="444"/>
      <c r="J11" s="213"/>
      <c r="K11" s="443"/>
      <c r="L11" s="444"/>
      <c r="M11" s="213"/>
      <c r="N11" s="443"/>
      <c r="O11" s="444"/>
      <c r="P11" s="213"/>
      <c r="Q11" s="443"/>
      <c r="R11" s="444"/>
      <c r="S11" s="213"/>
      <c r="T11" s="443"/>
      <c r="U11" s="444"/>
      <c r="V11" s="213"/>
      <c r="W11" s="443"/>
      <c r="X11" s="444"/>
      <c r="Y11" s="213"/>
      <c r="Z11" s="443"/>
      <c r="AA11" s="444"/>
      <c r="AB11" s="213"/>
      <c r="AC11" s="443"/>
      <c r="AD11" s="444"/>
      <c r="AE11" s="213"/>
      <c r="AF11" s="443"/>
      <c r="AG11" s="444"/>
      <c r="AH11" s="213"/>
      <c r="AI11" s="443"/>
      <c r="AJ11" s="444"/>
      <c r="AK11" s="213"/>
      <c r="AL11" s="443"/>
      <c r="AM11" s="444"/>
      <c r="AN11" s="213"/>
      <c r="AO11" s="213"/>
      <c r="AP11" s="445"/>
      <c r="AQ11" s="446"/>
    </row>
    <row r="12" spans="2:55" x14ac:dyDescent="0.15">
      <c r="B12" s="418"/>
      <c r="C12" s="417"/>
      <c r="D12" s="419"/>
      <c r="E12" s="447"/>
      <c r="F12" s="448"/>
      <c r="G12" s="419"/>
      <c r="H12" s="447"/>
      <c r="I12" s="448"/>
      <c r="J12" s="419"/>
      <c r="K12" s="447"/>
      <c r="L12" s="448"/>
      <c r="M12" s="419"/>
      <c r="N12" s="447"/>
      <c r="O12" s="448"/>
      <c r="P12" s="419"/>
      <c r="Q12" s="447"/>
      <c r="R12" s="448"/>
      <c r="S12" s="419"/>
      <c r="T12" s="447"/>
      <c r="U12" s="448"/>
      <c r="V12" s="419"/>
      <c r="W12" s="447"/>
      <c r="X12" s="448"/>
      <c r="Y12" s="419"/>
      <c r="Z12" s="447"/>
      <c r="AA12" s="448"/>
      <c r="AB12" s="419"/>
      <c r="AC12" s="447"/>
      <c r="AD12" s="448"/>
      <c r="AE12" s="419"/>
      <c r="AF12" s="447"/>
      <c r="AG12" s="448"/>
      <c r="AH12" s="419"/>
      <c r="AI12" s="447"/>
      <c r="AJ12" s="448"/>
      <c r="AK12" s="419"/>
      <c r="AL12" s="447"/>
      <c r="AM12" s="448"/>
      <c r="AN12" s="419"/>
      <c r="AO12" s="419"/>
      <c r="AP12" s="465"/>
      <c r="AQ12" s="466"/>
      <c r="AR12" s="209"/>
    </row>
    <row r="13" spans="2:55" x14ac:dyDescent="0.15">
      <c r="B13" s="190">
        <v>6110</v>
      </c>
      <c r="C13" s="392" t="s">
        <v>197</v>
      </c>
      <c r="E13" s="817">
        <f>'Salaire (planification)'!E12</f>
        <v>1</v>
      </c>
      <c r="F13" s="463">
        <f>E13/'État des Résultats'!$E$14</f>
        <v>2.7402265253927655E-5</v>
      </c>
      <c r="H13" s="817">
        <f>'Salaire (planification)'!H12</f>
        <v>1</v>
      </c>
      <c r="I13" s="463">
        <f>H13/'État des Résultats'!$E$14</f>
        <v>2.7402265253927655E-5</v>
      </c>
      <c r="K13" s="817">
        <f>'Salaire (planification)'!K12</f>
        <v>1</v>
      </c>
      <c r="L13" s="463">
        <f>K13/'État des Résultats'!$E$14</f>
        <v>2.7402265253927655E-5</v>
      </c>
      <c r="N13" s="817">
        <f>'Salaire (planification)'!N12</f>
        <v>1</v>
      </c>
      <c r="O13" s="463">
        <f>N13/'État des Résultats'!$E$14</f>
        <v>2.7402265253927655E-5</v>
      </c>
      <c r="Q13" s="817">
        <f>'Salaire (planification)'!Q12</f>
        <v>1</v>
      </c>
      <c r="R13" s="463">
        <f>Q13/'État des Résultats'!$E$14</f>
        <v>2.7402265253927655E-5</v>
      </c>
      <c r="T13" s="817">
        <f>'Salaire (planification)'!T12</f>
        <v>1</v>
      </c>
      <c r="U13" s="463">
        <f>T13/'État des Résultats'!$E$14</f>
        <v>2.7402265253927655E-5</v>
      </c>
      <c r="W13" s="817">
        <f>'Salaire (planification)'!W12</f>
        <v>1</v>
      </c>
      <c r="X13" s="463">
        <f>W13/'État des Résultats'!$E$14</f>
        <v>2.7402265253927655E-5</v>
      </c>
      <c r="Z13" s="817">
        <f>'Salaire (planification)'!Z12</f>
        <v>1</v>
      </c>
      <c r="AA13" s="463">
        <f>Z13/'État des Résultats'!$E$14</f>
        <v>2.7402265253927655E-5</v>
      </c>
      <c r="AC13" s="817">
        <f>'Salaire (planification)'!AC12</f>
        <v>1</v>
      </c>
      <c r="AD13" s="463">
        <f>AC13/'État des Résultats'!$E$14</f>
        <v>2.7402265253927655E-5</v>
      </c>
      <c r="AF13" s="817">
        <f>'Salaire (planification)'!AF12</f>
        <v>1</v>
      </c>
      <c r="AG13" s="463">
        <f>AF13/'État des Résultats'!$E$14</f>
        <v>2.7402265253927655E-5</v>
      </c>
      <c r="AI13" s="817">
        <f>'Salaire (planification)'!AI12</f>
        <v>1</v>
      </c>
      <c r="AJ13" s="463">
        <f>AI13/'État des Résultats'!$E$14</f>
        <v>2.7402265253927655E-5</v>
      </c>
      <c r="AL13" s="817">
        <f>'Salaire (planification)'!AL12</f>
        <v>1</v>
      </c>
      <c r="AM13" s="463">
        <f>AL13/'État des Résultats'!$E$14</f>
        <v>2.7402265253927655E-5</v>
      </c>
      <c r="AP13" s="830">
        <f t="shared" ref="AP13:AP23" si="1">SUM(+$AL13+$AI13+$AF13+$AC13+$Z13+$W13+$T13+$Q13+$N13+$K13+$H13+$E13)</f>
        <v>12</v>
      </c>
      <c r="AQ13" s="467">
        <f>AP13/'État des Résultats'!$AP$14</f>
        <v>2.408026755852843E-5</v>
      </c>
    </row>
    <row r="14" spans="2:55" x14ac:dyDescent="0.15">
      <c r="B14" s="190">
        <v>6120</v>
      </c>
      <c r="C14" s="392" t="s">
        <v>198</v>
      </c>
      <c r="E14" s="818">
        <f>'Salaire (planification)'!E18</f>
        <v>5252</v>
      </c>
      <c r="F14" s="463">
        <f>E14/'État des Résultats'!$E$14</f>
        <v>0.14391669711362806</v>
      </c>
      <c r="G14" s="449">
        <v>2.6770411418212836E-6</v>
      </c>
      <c r="H14" s="818">
        <f>'Salaire (planification)'!H18</f>
        <v>5252</v>
      </c>
      <c r="I14" s="463">
        <f>H14/'État des Résultats'!$E$14</f>
        <v>0.14391669711362806</v>
      </c>
      <c r="K14" s="818">
        <f>'Salaire (planification)'!K18</f>
        <v>5252</v>
      </c>
      <c r="L14" s="463">
        <f>K14/'État des Résultats'!$E$14</f>
        <v>0.14391669711362806</v>
      </c>
      <c r="N14" s="818">
        <f>'Salaire (planification)'!N18</f>
        <v>5252</v>
      </c>
      <c r="O14" s="463">
        <f>N14/'État des Résultats'!$E$14</f>
        <v>0.14391669711362806</v>
      </c>
      <c r="Q14" s="818">
        <f>'Salaire (planification)'!Q18</f>
        <v>5252</v>
      </c>
      <c r="R14" s="463">
        <f>Q14/'État des Résultats'!$E$14</f>
        <v>0.14391669711362806</v>
      </c>
      <c r="T14" s="818">
        <f>'Salaire (planification)'!T18</f>
        <v>5252</v>
      </c>
      <c r="U14" s="463">
        <f>T14/'État des Résultats'!$E$14</f>
        <v>0.14391669711362806</v>
      </c>
      <c r="W14" s="818">
        <f>'Salaire (planification)'!W18</f>
        <v>5252</v>
      </c>
      <c r="X14" s="463">
        <f>W14/'État des Résultats'!$E$14</f>
        <v>0.14391669711362806</v>
      </c>
      <c r="Z14" s="818">
        <f>'Salaire (planification)'!Z18</f>
        <v>5252</v>
      </c>
      <c r="AA14" s="463">
        <f>Z14/'État des Résultats'!$E$14</f>
        <v>0.14391669711362806</v>
      </c>
      <c r="AC14" s="818">
        <f>'Salaire (planification)'!AC18</f>
        <v>5252</v>
      </c>
      <c r="AD14" s="463">
        <f>AC14/'État des Résultats'!$E$14</f>
        <v>0.14391669711362806</v>
      </c>
      <c r="AF14" s="818">
        <f>'Salaire (planification)'!AF18</f>
        <v>5252</v>
      </c>
      <c r="AG14" s="463">
        <f>AF14/'État des Résultats'!$E$14</f>
        <v>0.14391669711362806</v>
      </c>
      <c r="AI14" s="818">
        <f>'Salaire (planification)'!AI18</f>
        <v>5252</v>
      </c>
      <c r="AJ14" s="463">
        <f>AI14/'État des Résultats'!$E$14</f>
        <v>0.14391669711362806</v>
      </c>
      <c r="AL14" s="818">
        <f>'Salaire (planification)'!AL18</f>
        <v>5252</v>
      </c>
      <c r="AM14" s="463">
        <f>AL14/'État des Résultats'!$E$14</f>
        <v>0.14391669711362806</v>
      </c>
      <c r="AP14" s="830">
        <f t="shared" si="1"/>
        <v>63024</v>
      </c>
      <c r="AQ14" s="467">
        <f>AP14/'État des Résultats'!$AP$14</f>
        <v>0.12646956521739131</v>
      </c>
    </row>
    <row r="15" spans="2:55" x14ac:dyDescent="0.15">
      <c r="B15" s="190">
        <v>6130</v>
      </c>
      <c r="C15" s="392" t="s">
        <v>199</v>
      </c>
      <c r="E15" s="818">
        <f>'Salaire (planification)'!E24</f>
        <v>4498</v>
      </c>
      <c r="F15" s="463">
        <f>E15/'État des Résultats'!$E$14</f>
        <v>0.1232553891121666</v>
      </c>
      <c r="H15" s="818">
        <f>'Salaire (planification)'!H24</f>
        <v>4498</v>
      </c>
      <c r="I15" s="463">
        <f>H15/'État des Résultats'!$E$14</f>
        <v>0.1232553891121666</v>
      </c>
      <c r="K15" s="818">
        <f>'Salaire (planification)'!K24</f>
        <v>4498</v>
      </c>
      <c r="L15" s="463">
        <f>K15/'État des Résultats'!$E$14</f>
        <v>0.1232553891121666</v>
      </c>
      <c r="N15" s="818">
        <f>'Salaire (planification)'!N24</f>
        <v>4498</v>
      </c>
      <c r="O15" s="463">
        <f>N15/'État des Résultats'!$E$14</f>
        <v>0.1232553891121666</v>
      </c>
      <c r="Q15" s="818">
        <f>'Salaire (planification)'!Q24</f>
        <v>4498</v>
      </c>
      <c r="R15" s="463">
        <f>Q15/'État des Résultats'!$E$14</f>
        <v>0.1232553891121666</v>
      </c>
      <c r="T15" s="818">
        <f>'Salaire (planification)'!T24</f>
        <v>4498</v>
      </c>
      <c r="U15" s="463">
        <f>T15/'État des Résultats'!$E$14</f>
        <v>0.1232553891121666</v>
      </c>
      <c r="W15" s="818">
        <f>'Salaire (planification)'!W24</f>
        <v>4498</v>
      </c>
      <c r="X15" s="463">
        <f>W15/'État des Résultats'!$E$14</f>
        <v>0.1232553891121666</v>
      </c>
      <c r="Z15" s="818">
        <f>'Salaire (planification)'!Z24</f>
        <v>4498</v>
      </c>
      <c r="AA15" s="463">
        <f>Z15/'État des Résultats'!$E$14</f>
        <v>0.1232553891121666</v>
      </c>
      <c r="AC15" s="818">
        <f>'Salaire (planification)'!AC24</f>
        <v>4498</v>
      </c>
      <c r="AD15" s="463">
        <f>AC15/'État des Résultats'!$E$14</f>
        <v>0.1232553891121666</v>
      </c>
      <c r="AF15" s="818">
        <f>'Salaire (planification)'!AF24</f>
        <v>4498</v>
      </c>
      <c r="AG15" s="463">
        <f>AF15/'État des Résultats'!$E$14</f>
        <v>0.1232553891121666</v>
      </c>
      <c r="AI15" s="818">
        <f>'Salaire (planification)'!AI24</f>
        <v>4498</v>
      </c>
      <c r="AJ15" s="463">
        <f>AI15/'État des Résultats'!$E$14</f>
        <v>0.1232553891121666</v>
      </c>
      <c r="AL15" s="818">
        <f>'Salaire (planification)'!AL24</f>
        <v>4498</v>
      </c>
      <c r="AM15" s="463">
        <f>AL15/'État des Résultats'!$E$14</f>
        <v>0.1232553891121666</v>
      </c>
      <c r="AP15" s="830">
        <f t="shared" si="1"/>
        <v>53976</v>
      </c>
      <c r="AQ15" s="467">
        <f>AP15/'État des Résultats'!$AP$14</f>
        <v>0.10831304347826087</v>
      </c>
    </row>
    <row r="16" spans="2:55" x14ac:dyDescent="0.15">
      <c r="B16" s="190">
        <v>6140</v>
      </c>
      <c r="C16" s="392" t="s">
        <v>200</v>
      </c>
      <c r="E16" s="818">
        <f>'Salaire (planification)'!E30</f>
        <v>1</v>
      </c>
      <c r="F16" s="463">
        <f>E16/'État des Résultats'!$E$14</f>
        <v>2.7402265253927655E-5</v>
      </c>
      <c r="H16" s="818">
        <f>'Salaire (planification)'!H30</f>
        <v>1</v>
      </c>
      <c r="I16" s="463">
        <f>H16/'État des Résultats'!$E$14</f>
        <v>2.7402265253927655E-5</v>
      </c>
      <c r="K16" s="818">
        <f>'Salaire (planification)'!K30</f>
        <v>1</v>
      </c>
      <c r="L16" s="463">
        <f>K16/'État des Résultats'!$E$14</f>
        <v>2.7402265253927655E-5</v>
      </c>
      <c r="N16" s="818">
        <f>'Salaire (planification)'!N30</f>
        <v>1</v>
      </c>
      <c r="O16" s="463">
        <f>N16/'État des Résultats'!$E$14</f>
        <v>2.7402265253927655E-5</v>
      </c>
      <c r="Q16" s="818">
        <f>'Salaire (planification)'!Q30</f>
        <v>1</v>
      </c>
      <c r="R16" s="463">
        <f>Q16/'État des Résultats'!$E$14</f>
        <v>2.7402265253927655E-5</v>
      </c>
      <c r="T16" s="818">
        <f>'Salaire (planification)'!T30</f>
        <v>1</v>
      </c>
      <c r="U16" s="463">
        <f>T16/'État des Résultats'!$E$14</f>
        <v>2.7402265253927655E-5</v>
      </c>
      <c r="W16" s="818">
        <f>'Salaire (planification)'!W30</f>
        <v>1</v>
      </c>
      <c r="X16" s="463">
        <f>W16/'État des Résultats'!$E$14</f>
        <v>2.7402265253927655E-5</v>
      </c>
      <c r="Z16" s="818">
        <f>'Salaire (planification)'!Z30</f>
        <v>1</v>
      </c>
      <c r="AA16" s="463">
        <f>Z16/'État des Résultats'!$E$14</f>
        <v>2.7402265253927655E-5</v>
      </c>
      <c r="AC16" s="818">
        <f>'Salaire (planification)'!AC30</f>
        <v>1</v>
      </c>
      <c r="AD16" s="463">
        <f>AC16/'État des Résultats'!$E$14</f>
        <v>2.7402265253927655E-5</v>
      </c>
      <c r="AF16" s="818">
        <f>'Salaire (planification)'!AF30</f>
        <v>1</v>
      </c>
      <c r="AG16" s="463">
        <f>AF16/'État des Résultats'!$E$14</f>
        <v>2.7402265253927655E-5</v>
      </c>
      <c r="AI16" s="818">
        <f>'Salaire (planification)'!AI30</f>
        <v>1</v>
      </c>
      <c r="AJ16" s="463">
        <f>AI16/'État des Résultats'!$E$14</f>
        <v>2.7402265253927655E-5</v>
      </c>
      <c r="AL16" s="818">
        <f>'Salaire (planification)'!AL30</f>
        <v>1</v>
      </c>
      <c r="AM16" s="463">
        <f>AL16/'État des Résultats'!$E$14</f>
        <v>2.7402265253927655E-5</v>
      </c>
      <c r="AP16" s="830">
        <f t="shared" si="1"/>
        <v>12</v>
      </c>
      <c r="AQ16" s="467">
        <f>AP16/'État des Résultats'!$AP$14</f>
        <v>2.408026755852843E-5</v>
      </c>
    </row>
    <row r="17" spans="2:69" x14ac:dyDescent="0.15">
      <c r="B17" s="190">
        <v>6150</v>
      </c>
      <c r="C17" s="392" t="s">
        <v>201</v>
      </c>
      <c r="E17" s="818">
        <f>'Salaire (planification)'!E36</f>
        <v>1</v>
      </c>
      <c r="F17" s="463">
        <f>E17/'État des Résultats'!$E$14</f>
        <v>2.7402265253927655E-5</v>
      </c>
      <c r="H17" s="818">
        <f>'Salaire (planification)'!H36</f>
        <v>1</v>
      </c>
      <c r="I17" s="463">
        <f>H17/'État des Résultats'!$E$14</f>
        <v>2.7402265253927655E-5</v>
      </c>
      <c r="K17" s="818">
        <f>'Salaire (planification)'!K36</f>
        <v>1</v>
      </c>
      <c r="L17" s="463">
        <f>K17/'État des Résultats'!$E$14</f>
        <v>2.7402265253927655E-5</v>
      </c>
      <c r="N17" s="818">
        <f>'Salaire (planification)'!N36</f>
        <v>1</v>
      </c>
      <c r="O17" s="463">
        <f>N17/'État des Résultats'!$E$14</f>
        <v>2.7402265253927655E-5</v>
      </c>
      <c r="Q17" s="818">
        <f>'Salaire (planification)'!Q36</f>
        <v>1</v>
      </c>
      <c r="R17" s="463">
        <f>Q17/'État des Résultats'!$E$14</f>
        <v>2.7402265253927655E-5</v>
      </c>
      <c r="T17" s="818">
        <f>'Salaire (planification)'!T36</f>
        <v>1</v>
      </c>
      <c r="U17" s="463">
        <f>T17/'État des Résultats'!$E$14</f>
        <v>2.7402265253927655E-5</v>
      </c>
      <c r="W17" s="818">
        <f>'Salaire (planification)'!W36</f>
        <v>1</v>
      </c>
      <c r="X17" s="463">
        <f>W17/'État des Résultats'!$E$14</f>
        <v>2.7402265253927655E-5</v>
      </c>
      <c r="Z17" s="818">
        <f>'Salaire (planification)'!Z36</f>
        <v>1</v>
      </c>
      <c r="AA17" s="463">
        <f>Z17/'État des Résultats'!$E$14</f>
        <v>2.7402265253927655E-5</v>
      </c>
      <c r="AC17" s="818">
        <f>'Salaire (planification)'!AC36</f>
        <v>1</v>
      </c>
      <c r="AD17" s="463">
        <f>AC17/'État des Résultats'!$E$14</f>
        <v>2.7402265253927655E-5</v>
      </c>
      <c r="AF17" s="818">
        <f>'Salaire (planification)'!AF36</f>
        <v>1</v>
      </c>
      <c r="AG17" s="463">
        <f>AF17/'État des Résultats'!$E$14</f>
        <v>2.7402265253927655E-5</v>
      </c>
      <c r="AI17" s="818">
        <f>'Salaire (planification)'!AI36</f>
        <v>1</v>
      </c>
      <c r="AJ17" s="463">
        <f>AI17/'État des Résultats'!$E$14</f>
        <v>2.7402265253927655E-5</v>
      </c>
      <c r="AL17" s="818">
        <f>'Salaire (planification)'!AL36</f>
        <v>1</v>
      </c>
      <c r="AM17" s="463">
        <f>AL17/'État des Résultats'!$E$14</f>
        <v>2.7402265253927655E-5</v>
      </c>
      <c r="AP17" s="830">
        <f t="shared" si="1"/>
        <v>12</v>
      </c>
      <c r="AQ17" s="467">
        <f>AP17/'État des Résultats'!$AP$14</f>
        <v>2.408026755852843E-5</v>
      </c>
    </row>
    <row r="18" spans="2:69" x14ac:dyDescent="0.15">
      <c r="B18" s="190">
        <v>6160</v>
      </c>
      <c r="C18" s="392" t="s">
        <v>202</v>
      </c>
      <c r="E18" s="818">
        <f>'Salaire (planification)'!E42</f>
        <v>1</v>
      </c>
      <c r="F18" s="463">
        <f>E18/'État des Résultats'!$E$14</f>
        <v>2.7402265253927655E-5</v>
      </c>
      <c r="H18" s="818">
        <f>'Salaire (planification)'!H42</f>
        <v>1</v>
      </c>
      <c r="I18" s="463">
        <f>H18/'État des Résultats'!$E$14</f>
        <v>2.7402265253927655E-5</v>
      </c>
      <c r="K18" s="818">
        <f>'Salaire (planification)'!K42</f>
        <v>1</v>
      </c>
      <c r="L18" s="463">
        <f>K18/'État des Résultats'!$E$14</f>
        <v>2.7402265253927655E-5</v>
      </c>
      <c r="N18" s="818">
        <f>'Salaire (planification)'!N42</f>
        <v>1</v>
      </c>
      <c r="O18" s="463">
        <f>N18/'État des Résultats'!$E$14</f>
        <v>2.7402265253927655E-5</v>
      </c>
      <c r="Q18" s="818">
        <f>'Salaire (planification)'!Q42</f>
        <v>1</v>
      </c>
      <c r="R18" s="463">
        <f>Q18/'État des Résultats'!$E$14</f>
        <v>2.7402265253927655E-5</v>
      </c>
      <c r="T18" s="818">
        <f>'Salaire (planification)'!T42</f>
        <v>1</v>
      </c>
      <c r="U18" s="463">
        <f>T18/'État des Résultats'!$E$14</f>
        <v>2.7402265253927655E-5</v>
      </c>
      <c r="W18" s="818">
        <f>'Salaire (planification)'!W42</f>
        <v>1</v>
      </c>
      <c r="X18" s="463">
        <f>W18/'État des Résultats'!$E$14</f>
        <v>2.7402265253927655E-5</v>
      </c>
      <c r="Z18" s="818">
        <f>'Salaire (planification)'!Z42</f>
        <v>1</v>
      </c>
      <c r="AA18" s="463">
        <f>Z18/'État des Résultats'!$E$14</f>
        <v>2.7402265253927655E-5</v>
      </c>
      <c r="AC18" s="818">
        <f>'Salaire (planification)'!AC42</f>
        <v>1</v>
      </c>
      <c r="AD18" s="463">
        <f>AC18/'État des Résultats'!$E$14</f>
        <v>2.7402265253927655E-5</v>
      </c>
      <c r="AF18" s="818">
        <f>'Salaire (planification)'!AF42</f>
        <v>1</v>
      </c>
      <c r="AG18" s="463">
        <f>AF18/'État des Résultats'!$E$14</f>
        <v>2.7402265253927655E-5</v>
      </c>
      <c r="AI18" s="818">
        <f>'Salaire (planification)'!AI42</f>
        <v>1</v>
      </c>
      <c r="AJ18" s="463">
        <f>AI18/'État des Résultats'!$E$14</f>
        <v>2.7402265253927655E-5</v>
      </c>
      <c r="AL18" s="818">
        <f>'Salaire (planification)'!AL42</f>
        <v>1</v>
      </c>
      <c r="AM18" s="463">
        <f>AL18/'État des Résultats'!$E$14</f>
        <v>2.7402265253927655E-5</v>
      </c>
      <c r="AP18" s="830">
        <f t="shared" si="1"/>
        <v>12</v>
      </c>
      <c r="AQ18" s="467">
        <f>AP18/'État des Résultats'!$AP$14</f>
        <v>2.408026755852843E-5</v>
      </c>
    </row>
    <row r="19" spans="2:69" x14ac:dyDescent="0.15">
      <c r="B19" s="190">
        <v>6170</v>
      </c>
      <c r="C19" s="392" t="s">
        <v>203</v>
      </c>
      <c r="E19" s="818">
        <f>'Salaire (planification)'!E48</f>
        <v>1</v>
      </c>
      <c r="F19" s="463">
        <f>E19/'État des Résultats'!$E$14</f>
        <v>2.7402265253927655E-5</v>
      </c>
      <c r="H19" s="818">
        <f>'Salaire (planification)'!H48</f>
        <v>1</v>
      </c>
      <c r="I19" s="463">
        <f>H19/'État des Résultats'!$E$14</f>
        <v>2.7402265253927655E-5</v>
      </c>
      <c r="K19" s="818">
        <f>'Salaire (planification)'!K48</f>
        <v>1</v>
      </c>
      <c r="L19" s="463">
        <f>K19/'État des Résultats'!$E$14</f>
        <v>2.7402265253927655E-5</v>
      </c>
      <c r="N19" s="818">
        <f>'Salaire (planification)'!N48</f>
        <v>1</v>
      </c>
      <c r="O19" s="463">
        <f>N19/'État des Résultats'!$E$14</f>
        <v>2.7402265253927655E-5</v>
      </c>
      <c r="Q19" s="818">
        <f>'Salaire (planification)'!Q48</f>
        <v>1</v>
      </c>
      <c r="R19" s="463">
        <f>Q19/'État des Résultats'!$E$14</f>
        <v>2.7402265253927655E-5</v>
      </c>
      <c r="T19" s="818">
        <f>'Salaire (planification)'!T48</f>
        <v>1</v>
      </c>
      <c r="U19" s="463">
        <f>T19/'État des Résultats'!$E$14</f>
        <v>2.7402265253927655E-5</v>
      </c>
      <c r="W19" s="818">
        <f>'Salaire (planification)'!W48</f>
        <v>1</v>
      </c>
      <c r="X19" s="463">
        <f>W19/'État des Résultats'!$E$14</f>
        <v>2.7402265253927655E-5</v>
      </c>
      <c r="Z19" s="818">
        <f>'Salaire (planification)'!Z48</f>
        <v>1</v>
      </c>
      <c r="AA19" s="463">
        <f>Z19/'État des Résultats'!$E$14</f>
        <v>2.7402265253927655E-5</v>
      </c>
      <c r="AC19" s="818">
        <f>'Salaire (planification)'!AC48</f>
        <v>1</v>
      </c>
      <c r="AD19" s="463">
        <f>AC19/'État des Résultats'!$E$14</f>
        <v>2.7402265253927655E-5</v>
      </c>
      <c r="AF19" s="818">
        <f>'Salaire (planification)'!AF48</f>
        <v>1</v>
      </c>
      <c r="AG19" s="463">
        <f>AF19/'État des Résultats'!$E$14</f>
        <v>2.7402265253927655E-5</v>
      </c>
      <c r="AI19" s="818">
        <f>'Salaire (planification)'!AI48</f>
        <v>1</v>
      </c>
      <c r="AJ19" s="463">
        <f>AI19/'État des Résultats'!$E$14</f>
        <v>2.7402265253927655E-5</v>
      </c>
      <c r="AL19" s="818">
        <f>'Salaire (planification)'!AL48</f>
        <v>1</v>
      </c>
      <c r="AM19" s="463">
        <f>AL19/'État des Résultats'!$E$14</f>
        <v>2.7402265253927655E-5</v>
      </c>
      <c r="AP19" s="830">
        <f t="shared" si="1"/>
        <v>12</v>
      </c>
      <c r="AQ19" s="467">
        <f>AP19/'État des Résultats'!$AP$14</f>
        <v>2.408026755852843E-5</v>
      </c>
    </row>
    <row r="20" spans="2:69" x14ac:dyDescent="0.15">
      <c r="B20" s="190">
        <v>6180</v>
      </c>
      <c r="C20" s="392" t="s">
        <v>204</v>
      </c>
      <c r="E20" s="818">
        <f>'Salaire (planification)'!E54</f>
        <v>1</v>
      </c>
      <c r="F20" s="463">
        <f>E20/'État des Résultats'!$E$14</f>
        <v>2.7402265253927655E-5</v>
      </c>
      <c r="H20" s="818">
        <f>'Salaire (planification)'!H54</f>
        <v>1</v>
      </c>
      <c r="I20" s="463">
        <f>H20/'État des Résultats'!$E$14</f>
        <v>2.7402265253927655E-5</v>
      </c>
      <c r="K20" s="818">
        <f>'Salaire (planification)'!K54</f>
        <v>1</v>
      </c>
      <c r="L20" s="463">
        <f>K20/'État des Résultats'!$E$14</f>
        <v>2.7402265253927655E-5</v>
      </c>
      <c r="N20" s="818">
        <f>'Salaire (planification)'!N54</f>
        <v>1</v>
      </c>
      <c r="O20" s="463">
        <f>N20/'État des Résultats'!$E$14</f>
        <v>2.7402265253927655E-5</v>
      </c>
      <c r="Q20" s="818">
        <f>'Salaire (planification)'!Q54</f>
        <v>1</v>
      </c>
      <c r="R20" s="463">
        <f>Q20/'État des Résultats'!$E$14</f>
        <v>2.7402265253927655E-5</v>
      </c>
      <c r="T20" s="818">
        <f>'Salaire (planification)'!T54</f>
        <v>1</v>
      </c>
      <c r="U20" s="463">
        <f>T20/'État des Résultats'!$E$14</f>
        <v>2.7402265253927655E-5</v>
      </c>
      <c r="W20" s="818">
        <f>'Salaire (planification)'!W54</f>
        <v>1</v>
      </c>
      <c r="X20" s="463">
        <f>W20/'État des Résultats'!$E$14</f>
        <v>2.7402265253927655E-5</v>
      </c>
      <c r="Z20" s="818">
        <f>'Salaire (planification)'!Z54</f>
        <v>1</v>
      </c>
      <c r="AA20" s="463">
        <f>Z20/'État des Résultats'!$E$14</f>
        <v>2.7402265253927655E-5</v>
      </c>
      <c r="AC20" s="818">
        <f>'Salaire (planification)'!AC54</f>
        <v>1</v>
      </c>
      <c r="AD20" s="463">
        <f>AC20/'État des Résultats'!$E$14</f>
        <v>2.7402265253927655E-5</v>
      </c>
      <c r="AF20" s="818">
        <f>'Salaire (planification)'!AF54</f>
        <v>1</v>
      </c>
      <c r="AG20" s="463">
        <f>AF20/'État des Résultats'!$E$14</f>
        <v>2.7402265253927655E-5</v>
      </c>
      <c r="AI20" s="818">
        <f>'Salaire (planification)'!AI54</f>
        <v>1</v>
      </c>
      <c r="AJ20" s="463">
        <f>AI20/'État des Résultats'!$E$14</f>
        <v>2.7402265253927655E-5</v>
      </c>
      <c r="AL20" s="818">
        <f>'Salaire (planification)'!AL54</f>
        <v>1</v>
      </c>
      <c r="AM20" s="463">
        <f>AL20/'État des Résultats'!$E$14</f>
        <v>2.7402265253927655E-5</v>
      </c>
      <c r="AP20" s="830">
        <f t="shared" si="1"/>
        <v>12</v>
      </c>
      <c r="AQ20" s="467">
        <f>AP20/'État des Résultats'!$AP$14</f>
        <v>2.408026755852843E-5</v>
      </c>
    </row>
    <row r="21" spans="2:69" x14ac:dyDescent="0.15">
      <c r="B21" s="190">
        <v>6190</v>
      </c>
      <c r="C21" s="392" t="s">
        <v>205</v>
      </c>
      <c r="E21" s="818">
        <f>'Salaire (planification)'!E60</f>
        <v>0</v>
      </c>
      <c r="F21" s="463">
        <f>E21/'État des Résultats'!$E$14</f>
        <v>0</v>
      </c>
      <c r="H21" s="818">
        <f>'Salaire (planification)'!H60</f>
        <v>0</v>
      </c>
      <c r="I21" s="463">
        <f>H21/'État des Résultats'!$E$14</f>
        <v>0</v>
      </c>
      <c r="K21" s="818">
        <f>'Salaire (planification)'!K60</f>
        <v>0</v>
      </c>
      <c r="L21" s="463">
        <f>K21/'État des Résultats'!$E$14</f>
        <v>0</v>
      </c>
      <c r="N21" s="818">
        <f>'Salaire (planification)'!N60</f>
        <v>0</v>
      </c>
      <c r="O21" s="463">
        <f>N21/'État des Résultats'!$E$14</f>
        <v>0</v>
      </c>
      <c r="Q21" s="818">
        <f>'Salaire (planification)'!Q60</f>
        <v>0</v>
      </c>
      <c r="R21" s="463">
        <f>Q21/'État des Résultats'!$E$14</f>
        <v>0</v>
      </c>
      <c r="T21" s="818">
        <f>'Salaire (planification)'!T60</f>
        <v>0</v>
      </c>
      <c r="U21" s="463">
        <f>T21/'État des Résultats'!$E$14</f>
        <v>0</v>
      </c>
      <c r="W21" s="818">
        <f>'Salaire (planification)'!W60</f>
        <v>0</v>
      </c>
      <c r="X21" s="463">
        <f>W21/'État des Résultats'!$E$14</f>
        <v>0</v>
      </c>
      <c r="Z21" s="818">
        <f>'Salaire (planification)'!Z60</f>
        <v>0</v>
      </c>
      <c r="AA21" s="463">
        <f>Z21/'État des Résultats'!$E$14</f>
        <v>0</v>
      </c>
      <c r="AC21" s="818">
        <f>'Salaire (planification)'!AC60</f>
        <v>0</v>
      </c>
      <c r="AD21" s="463">
        <f>AC21/'État des Résultats'!$E$14</f>
        <v>0</v>
      </c>
      <c r="AF21" s="818">
        <f>'Salaire (planification)'!AF60</f>
        <v>0</v>
      </c>
      <c r="AG21" s="463">
        <f>AF21/'État des Résultats'!$E$14</f>
        <v>0</v>
      </c>
      <c r="AI21" s="818">
        <f>'Salaire (planification)'!AI60</f>
        <v>0</v>
      </c>
      <c r="AJ21" s="463">
        <f>AI21/'État des Résultats'!$E$14</f>
        <v>0</v>
      </c>
      <c r="AL21" s="818">
        <f>'Salaire (planification)'!AL60</f>
        <v>0</v>
      </c>
      <c r="AM21" s="463">
        <f>AL21/'État des Résultats'!$E$14</f>
        <v>0</v>
      </c>
      <c r="AP21" s="830">
        <f t="shared" si="1"/>
        <v>0</v>
      </c>
      <c r="AQ21" s="467">
        <f>AP21/'État des Résultats'!$AP$14</f>
        <v>0</v>
      </c>
    </row>
    <row r="22" spans="2:69" x14ac:dyDescent="0.15">
      <c r="B22" s="190"/>
      <c r="C22" s="392"/>
      <c r="E22" s="818"/>
      <c r="F22" s="463"/>
      <c r="H22" s="818"/>
      <c r="I22" s="463"/>
      <c r="K22" s="818"/>
      <c r="L22" s="463"/>
      <c r="N22" s="818"/>
      <c r="O22" s="463"/>
      <c r="Q22" s="818"/>
      <c r="R22" s="463"/>
      <c r="T22" s="818"/>
      <c r="U22" s="463"/>
      <c r="W22" s="818"/>
      <c r="X22" s="463"/>
      <c r="Z22" s="818"/>
      <c r="AA22" s="463"/>
      <c r="AC22" s="818"/>
      <c r="AD22" s="463"/>
      <c r="AF22" s="818"/>
      <c r="AG22" s="463"/>
      <c r="AI22" s="818"/>
      <c r="AJ22" s="463"/>
      <c r="AL22" s="818"/>
      <c r="AM22" s="463"/>
      <c r="AP22" s="830"/>
      <c r="AQ22" s="467"/>
    </row>
    <row r="23" spans="2:69" ht="14" thickBot="1" x14ac:dyDescent="0.2">
      <c r="B23" s="450"/>
      <c r="C23" s="451" t="s">
        <v>206</v>
      </c>
      <c r="D23" s="213"/>
      <c r="E23" s="819">
        <f>SUM(E13:E21)</f>
        <v>9756</v>
      </c>
      <c r="F23" s="464">
        <f>+SUM(F13:F21)</f>
        <v>0.26733649981731827</v>
      </c>
      <c r="G23" s="213"/>
      <c r="H23" s="819">
        <f>SUM(H13:H21)</f>
        <v>9756</v>
      </c>
      <c r="I23" s="464">
        <f>+SUM(I13:I21)</f>
        <v>0.26733649981731827</v>
      </c>
      <c r="J23" s="213"/>
      <c r="K23" s="819">
        <f>SUM(K13:K21)</f>
        <v>9756</v>
      </c>
      <c r="L23" s="464">
        <f>+SUM(L13:L21)</f>
        <v>0.26733649981731827</v>
      </c>
      <c r="M23" s="213"/>
      <c r="N23" s="819">
        <f>SUM(N13:N21)</f>
        <v>9756</v>
      </c>
      <c r="O23" s="464">
        <f>+SUM(O13:O21)</f>
        <v>0.26733649981731827</v>
      </c>
      <c r="P23" s="213"/>
      <c r="Q23" s="819">
        <f>SUM(Q13:Q21)</f>
        <v>9756</v>
      </c>
      <c r="R23" s="464">
        <f>+SUM(R13:R21)</f>
        <v>0.26733649981731827</v>
      </c>
      <c r="S23" s="213"/>
      <c r="T23" s="819">
        <f>SUM(T13:T21)</f>
        <v>9756</v>
      </c>
      <c r="U23" s="464">
        <f>+SUM(U13:U21)</f>
        <v>0.26733649981731827</v>
      </c>
      <c r="V23" s="213"/>
      <c r="W23" s="819">
        <f>SUM(W13:W21)</f>
        <v>9756</v>
      </c>
      <c r="X23" s="464">
        <f>+SUM(X13:X21)</f>
        <v>0.26733649981731827</v>
      </c>
      <c r="Y23" s="213"/>
      <c r="Z23" s="819">
        <f>SUM(Z13:Z21)</f>
        <v>9756</v>
      </c>
      <c r="AA23" s="464">
        <f>+SUM(AA13:AA21)</f>
        <v>0.26733649981731827</v>
      </c>
      <c r="AB23" s="213"/>
      <c r="AC23" s="819">
        <f>SUM(AC13:AC21)</f>
        <v>9756</v>
      </c>
      <c r="AD23" s="464">
        <f>+SUM(AD13:AD21)</f>
        <v>0.26733649981731827</v>
      </c>
      <c r="AE23" s="213"/>
      <c r="AF23" s="819">
        <f>SUM(AF13:AF21)</f>
        <v>9756</v>
      </c>
      <c r="AG23" s="464">
        <f>+SUM(AG13:AG21)</f>
        <v>0.26733649981731827</v>
      </c>
      <c r="AH23" s="213"/>
      <c r="AI23" s="819">
        <f>SUM(AI13:AI21)</f>
        <v>9756</v>
      </c>
      <c r="AJ23" s="464">
        <f>+SUM(AJ13:AJ21)</f>
        <v>0.26733649981731827</v>
      </c>
      <c r="AK23" s="213"/>
      <c r="AL23" s="819">
        <f>SUM(AL13:AL21)</f>
        <v>9756</v>
      </c>
      <c r="AM23" s="464">
        <f>+SUM(AM13:AM21)</f>
        <v>0.26733649981731827</v>
      </c>
      <c r="AN23" s="213"/>
      <c r="AO23" s="213"/>
      <c r="AP23" s="831">
        <f t="shared" si="1"/>
        <v>117072</v>
      </c>
      <c r="AQ23" s="464">
        <f>+SUM(AQ13:AQ21)</f>
        <v>0.23492709030100342</v>
      </c>
      <c r="AR23" s="251"/>
    </row>
    <row r="24" spans="2:69" ht="15" thickTop="1" thickBot="1" x14ac:dyDescent="0.2">
      <c r="B24" s="475"/>
      <c r="C24" s="475"/>
      <c r="D24" s="475"/>
      <c r="E24" s="820"/>
      <c r="F24" s="513"/>
      <c r="G24" s="475"/>
      <c r="H24" s="820"/>
      <c r="I24" s="513"/>
      <c r="J24" s="475"/>
      <c r="K24" s="820"/>
      <c r="L24" s="513"/>
      <c r="M24" s="475"/>
      <c r="N24" s="820"/>
      <c r="O24" s="513"/>
      <c r="P24" s="475"/>
      <c r="Q24" s="820"/>
      <c r="R24" s="513"/>
      <c r="S24" s="475"/>
      <c r="T24" s="820"/>
      <c r="U24" s="513"/>
      <c r="V24" s="475"/>
      <c r="W24" s="820"/>
      <c r="X24" s="513"/>
      <c r="Y24" s="475"/>
      <c r="Z24" s="820"/>
      <c r="AA24" s="513"/>
      <c r="AB24" s="475"/>
      <c r="AC24" s="820"/>
      <c r="AD24" s="513"/>
      <c r="AE24" s="475"/>
      <c r="AF24" s="820"/>
      <c r="AG24" s="513"/>
      <c r="AH24" s="475"/>
      <c r="AI24" s="820"/>
      <c r="AJ24" s="513"/>
      <c r="AK24" s="475"/>
      <c r="AL24" s="820"/>
      <c r="AM24" s="513"/>
      <c r="AN24" s="475"/>
      <c r="AO24" s="475"/>
      <c r="AP24" s="832"/>
      <c r="AQ24" s="514"/>
    </row>
    <row r="25" spans="2:69" x14ac:dyDescent="0.15">
      <c r="B25" s="441">
        <v>6200</v>
      </c>
      <c r="C25" s="442" t="s">
        <v>207</v>
      </c>
      <c r="D25" s="213"/>
      <c r="E25" s="821"/>
      <c r="F25" s="452"/>
      <c r="G25" s="213"/>
      <c r="H25" s="821"/>
      <c r="I25" s="452"/>
      <c r="J25" s="213"/>
      <c r="K25" s="821"/>
      <c r="L25" s="452"/>
      <c r="M25" s="213"/>
      <c r="N25" s="821"/>
      <c r="O25" s="452"/>
      <c r="P25" s="213"/>
      <c r="Q25" s="821"/>
      <c r="R25" s="452"/>
      <c r="S25" s="213"/>
      <c r="T25" s="821"/>
      <c r="U25" s="452"/>
      <c r="V25" s="213"/>
      <c r="W25" s="821"/>
      <c r="X25" s="452"/>
      <c r="Y25" s="213"/>
      <c r="Z25" s="821"/>
      <c r="AA25" s="452"/>
      <c r="AB25" s="213"/>
      <c r="AC25" s="821"/>
      <c r="AD25" s="452"/>
      <c r="AE25" s="213"/>
      <c r="AF25" s="821"/>
      <c r="AG25" s="452"/>
      <c r="AH25" s="213"/>
      <c r="AI25" s="821"/>
      <c r="AJ25" s="452"/>
      <c r="AK25" s="213"/>
      <c r="AL25" s="821"/>
      <c r="AM25" s="452"/>
      <c r="AN25" s="213"/>
      <c r="AO25" s="213"/>
      <c r="AP25" s="833"/>
      <c r="AQ25" s="468"/>
      <c r="AR25" s="213"/>
      <c r="AS25" s="213"/>
      <c r="AT25" s="210"/>
      <c r="AU25" s="210"/>
      <c r="AV25" s="210"/>
      <c r="AW25" s="210"/>
      <c r="AX25" s="210"/>
      <c r="AY25" s="210"/>
      <c r="AZ25" s="210"/>
      <c r="BA25" s="210"/>
      <c r="BB25" s="210"/>
      <c r="BC25" s="210"/>
      <c r="BD25" s="210"/>
      <c r="BE25" s="210"/>
      <c r="BF25" s="210"/>
      <c r="BG25" s="210"/>
      <c r="BH25" s="210"/>
    </row>
    <row r="26" spans="2:69" x14ac:dyDescent="0.15">
      <c r="B26" s="418"/>
      <c r="C26" s="417"/>
      <c r="D26" s="419"/>
      <c r="E26" s="822"/>
      <c r="F26" s="453"/>
      <c r="G26" s="419"/>
      <c r="H26" s="822"/>
      <c r="I26" s="453"/>
      <c r="J26" s="419"/>
      <c r="K26" s="822"/>
      <c r="L26" s="453"/>
      <c r="M26" s="419"/>
      <c r="N26" s="822"/>
      <c r="O26" s="453"/>
      <c r="P26" s="419"/>
      <c r="Q26" s="822"/>
      <c r="R26" s="453"/>
      <c r="S26" s="419"/>
      <c r="T26" s="822"/>
      <c r="U26" s="453"/>
      <c r="V26" s="419"/>
      <c r="W26" s="822"/>
      <c r="X26" s="453"/>
      <c r="Y26" s="419"/>
      <c r="Z26" s="822"/>
      <c r="AA26" s="453"/>
      <c r="AB26" s="419"/>
      <c r="AC26" s="822"/>
      <c r="AD26" s="453"/>
      <c r="AE26" s="419"/>
      <c r="AF26" s="822"/>
      <c r="AG26" s="453"/>
      <c r="AH26" s="419"/>
      <c r="AI26" s="822"/>
      <c r="AJ26" s="453"/>
      <c r="AK26" s="419"/>
      <c r="AL26" s="822"/>
      <c r="AM26" s="453"/>
      <c r="AN26" s="419"/>
      <c r="AO26" s="419"/>
      <c r="AP26" s="834"/>
      <c r="AQ26" s="469"/>
      <c r="AR26" s="213"/>
      <c r="AS26" s="213"/>
      <c r="AT26" s="210"/>
      <c r="AU26" s="210"/>
      <c r="AV26" s="210"/>
      <c r="AW26" s="210"/>
      <c r="AX26" s="210"/>
      <c r="AY26" s="210"/>
      <c r="AZ26" s="210"/>
      <c r="BA26" s="210"/>
      <c r="BB26" s="210"/>
      <c r="BC26" s="210"/>
      <c r="BD26" s="210"/>
      <c r="BE26" s="210"/>
      <c r="BF26" s="210"/>
      <c r="BG26" s="210"/>
      <c r="BH26" s="210"/>
    </row>
    <row r="27" spans="2:69" x14ac:dyDescent="0.15">
      <c r="B27" s="190">
        <v>6205</v>
      </c>
      <c r="C27" s="392" t="s">
        <v>208</v>
      </c>
      <c r="E27" s="818">
        <f>'Salaire (planification)'!E67</f>
        <v>97.560000000000031</v>
      </c>
      <c r="F27" s="463">
        <f>E27/'État des Résultats'!$E$14</f>
        <v>2.6733649981731831E-3</v>
      </c>
      <c r="H27" s="818">
        <f>'Salaire (planification)'!H67</f>
        <v>97.560000000000031</v>
      </c>
      <c r="I27" s="463">
        <f>H27/'État des Résultats'!$E$14</f>
        <v>2.6733649981731831E-3</v>
      </c>
      <c r="K27" s="818">
        <f>'Salaire (planification)'!K67</f>
        <v>97.560000000000031</v>
      </c>
      <c r="L27" s="463">
        <f>K27/'État des Résultats'!$E$14</f>
        <v>2.6733649981731831E-3</v>
      </c>
      <c r="N27" s="818">
        <f>'Salaire (planification)'!N67</f>
        <v>97.560000000000031</v>
      </c>
      <c r="O27" s="463">
        <f>N27/'État des Résultats'!$E$14</f>
        <v>2.6733649981731831E-3</v>
      </c>
      <c r="Q27" s="818">
        <f>'Salaire (planification)'!Q67</f>
        <v>97.560000000000031</v>
      </c>
      <c r="R27" s="463">
        <f>Q27/'État des Résultats'!$E$14</f>
        <v>2.6733649981731831E-3</v>
      </c>
      <c r="T27" s="818">
        <f>'Salaire (planification)'!T67</f>
        <v>97.560000000000031</v>
      </c>
      <c r="U27" s="463">
        <f>T27/'État des Résultats'!$E$14</f>
        <v>2.6733649981731831E-3</v>
      </c>
      <c r="W27" s="818">
        <f>'Salaire (planification)'!W67</f>
        <v>97.560000000000031</v>
      </c>
      <c r="X27" s="463">
        <f>W27/'État des Résultats'!$E$14</f>
        <v>2.6733649981731831E-3</v>
      </c>
      <c r="Z27" s="818">
        <f>'Salaire (planification)'!Z67</f>
        <v>97.560000000000031</v>
      </c>
      <c r="AA27" s="463">
        <f>Z27/'État des Résultats'!$E$14</f>
        <v>2.6733649981731831E-3</v>
      </c>
      <c r="AC27" s="818">
        <f>'Salaire (planification)'!AC67</f>
        <v>97.560000000000031</v>
      </c>
      <c r="AD27" s="463">
        <f>AC27/'État des Résultats'!$E$14</f>
        <v>2.6733649981731831E-3</v>
      </c>
      <c r="AF27" s="818">
        <f>'Salaire (planification)'!AF67</f>
        <v>97.560000000000031</v>
      </c>
      <c r="AG27" s="463">
        <f>AF27/'État des Résultats'!$E$14</f>
        <v>2.6733649981731831E-3</v>
      </c>
      <c r="AI27" s="818">
        <f>'Salaire (planification)'!AI67</f>
        <v>97.560000000000031</v>
      </c>
      <c r="AJ27" s="463">
        <f>AI27/'État des Résultats'!$E$14</f>
        <v>2.6733649981731831E-3</v>
      </c>
      <c r="AL27" s="818">
        <f>'Salaire (planification)'!AL67</f>
        <v>97.560000000000031</v>
      </c>
      <c r="AM27" s="463">
        <f>AL27/'État des Résultats'!$E$14</f>
        <v>2.6733649981731831E-3</v>
      </c>
      <c r="AP27" s="830">
        <f t="shared" ref="AP27:AP35" si="2">SUM(+$AL27+$AI27+$AF27+$AC27+$Z27+$W27+$T27+$Q27+$N27+$K27+$H27+$E27)</f>
        <v>1170.7200000000005</v>
      </c>
      <c r="AQ27" s="467">
        <f>+AP27/'État des Résultats'!$AP$14</f>
        <v>2.3492709030100345E-3</v>
      </c>
    </row>
    <row r="28" spans="2:69" x14ac:dyDescent="0.15">
      <c r="B28" s="190">
        <v>6220</v>
      </c>
      <c r="C28" s="392" t="s">
        <v>226</v>
      </c>
      <c r="E28" s="823">
        <v>0</v>
      </c>
      <c r="F28" s="463">
        <f>E28/'État des Résultats'!$E$14</f>
        <v>0</v>
      </c>
      <c r="H28" s="823">
        <v>0</v>
      </c>
      <c r="I28" s="463">
        <f>H28/'État des Résultats'!$E$14</f>
        <v>0</v>
      </c>
      <c r="K28" s="823">
        <v>0</v>
      </c>
      <c r="L28" s="463">
        <f>K28/'État des Résultats'!$E$14</f>
        <v>0</v>
      </c>
      <c r="N28" s="823">
        <v>0</v>
      </c>
      <c r="O28" s="463">
        <f>N28/'État des Résultats'!$E$14</f>
        <v>0</v>
      </c>
      <c r="Q28" s="823">
        <v>0</v>
      </c>
      <c r="R28" s="463">
        <f>Q28/'État des Résultats'!$E$14</f>
        <v>0</v>
      </c>
      <c r="T28" s="823">
        <v>0</v>
      </c>
      <c r="U28" s="463">
        <f>T28/'État des Résultats'!$E$14</f>
        <v>0</v>
      </c>
      <c r="W28" s="823">
        <v>0</v>
      </c>
      <c r="X28" s="463">
        <f>W28/'État des Résultats'!$E$14</f>
        <v>0</v>
      </c>
      <c r="Z28" s="823">
        <v>0</v>
      </c>
      <c r="AA28" s="463">
        <f>Z28/'État des Résultats'!$E$14</f>
        <v>0</v>
      </c>
      <c r="AC28" s="823">
        <v>0</v>
      </c>
      <c r="AD28" s="463">
        <f>AC28/'État des Résultats'!$E$14</f>
        <v>0</v>
      </c>
      <c r="AF28" s="823">
        <v>0</v>
      </c>
      <c r="AG28" s="463">
        <f>AF28/'État des Résultats'!$E$14</f>
        <v>0</v>
      </c>
      <c r="AI28" s="823">
        <v>0</v>
      </c>
      <c r="AJ28" s="463">
        <f>AI28/'État des Résultats'!$E$14</f>
        <v>0</v>
      </c>
      <c r="AL28" s="823">
        <v>0</v>
      </c>
      <c r="AM28" s="463">
        <f>AL28/'État des Résultats'!$E$14</f>
        <v>0</v>
      </c>
      <c r="AP28" s="830">
        <f t="shared" si="2"/>
        <v>0</v>
      </c>
      <c r="AQ28" s="467">
        <f>+AP28/'État des Résultats'!$AP$14</f>
        <v>0</v>
      </c>
    </row>
    <row r="29" spans="2:69" x14ac:dyDescent="0.15">
      <c r="B29" s="190">
        <v>6230</v>
      </c>
      <c r="C29" s="392" t="s">
        <v>209</v>
      </c>
      <c r="E29" s="824">
        <v>0</v>
      </c>
      <c r="F29" s="463">
        <f>E29/'État des Résultats'!$E$14</f>
        <v>0</v>
      </c>
      <c r="H29" s="824">
        <v>0</v>
      </c>
      <c r="I29" s="463">
        <f>H29/'État des Résultats'!$E$14</f>
        <v>0</v>
      </c>
      <c r="K29" s="824">
        <v>0</v>
      </c>
      <c r="L29" s="463">
        <f>K29/'État des Résultats'!$E$14</f>
        <v>0</v>
      </c>
      <c r="N29" s="824">
        <v>0</v>
      </c>
      <c r="O29" s="463">
        <f>N29/'État des Résultats'!$E$14</f>
        <v>0</v>
      </c>
      <c r="Q29" s="824">
        <v>0</v>
      </c>
      <c r="R29" s="463">
        <f>Q29/'État des Résultats'!$E$14</f>
        <v>0</v>
      </c>
      <c r="T29" s="824">
        <v>0</v>
      </c>
      <c r="U29" s="463">
        <f>T29/'État des Résultats'!$E$14</f>
        <v>0</v>
      </c>
      <c r="W29" s="824">
        <v>0</v>
      </c>
      <c r="X29" s="463">
        <f>W29/'État des Résultats'!$E$14</f>
        <v>0</v>
      </c>
      <c r="Z29" s="824">
        <v>0</v>
      </c>
      <c r="AA29" s="463">
        <f>Z29/'État des Résultats'!$E$14</f>
        <v>0</v>
      </c>
      <c r="AC29" s="824">
        <v>0</v>
      </c>
      <c r="AD29" s="463">
        <f>AC29/'État des Résultats'!$E$14</f>
        <v>0</v>
      </c>
      <c r="AF29" s="824">
        <v>0</v>
      </c>
      <c r="AG29" s="463">
        <f>AF29/'État des Résultats'!$E$14</f>
        <v>0</v>
      </c>
      <c r="AI29" s="824">
        <v>0</v>
      </c>
      <c r="AJ29" s="463">
        <f>AI29/'État des Résultats'!$E$14</f>
        <v>0</v>
      </c>
      <c r="AL29" s="824">
        <v>0</v>
      </c>
      <c r="AM29" s="463">
        <f>AL29/'État des Résultats'!$E$14</f>
        <v>0</v>
      </c>
      <c r="AP29" s="830">
        <f t="shared" si="2"/>
        <v>0</v>
      </c>
      <c r="AQ29" s="467">
        <f>+AP29/'État des Résultats'!$AP$14</f>
        <v>0</v>
      </c>
    </row>
    <row r="30" spans="2:69" x14ac:dyDescent="0.15">
      <c r="B30" s="190">
        <v>6240</v>
      </c>
      <c r="C30" s="392" t="s">
        <v>210</v>
      </c>
      <c r="E30" s="824">
        <v>0</v>
      </c>
      <c r="F30" s="463">
        <f>E30/'État des Résultats'!$E$14</f>
        <v>0</v>
      </c>
      <c r="H30" s="824">
        <v>0</v>
      </c>
      <c r="I30" s="463">
        <f>H30/'État des Résultats'!$E$14</f>
        <v>0</v>
      </c>
      <c r="K30" s="824">
        <v>0</v>
      </c>
      <c r="L30" s="463">
        <f>K30/'État des Résultats'!$E$14</f>
        <v>0</v>
      </c>
      <c r="N30" s="824">
        <v>0</v>
      </c>
      <c r="O30" s="463">
        <f>N30/'État des Résultats'!$E$14</f>
        <v>0</v>
      </c>
      <c r="Q30" s="824">
        <v>0</v>
      </c>
      <c r="R30" s="463">
        <f>Q30/'État des Résultats'!$E$14</f>
        <v>0</v>
      </c>
      <c r="T30" s="824">
        <v>0</v>
      </c>
      <c r="U30" s="463">
        <f>T30/'État des Résultats'!$E$14</f>
        <v>0</v>
      </c>
      <c r="W30" s="824">
        <v>0</v>
      </c>
      <c r="X30" s="463">
        <f>W30/'État des Résultats'!$E$14</f>
        <v>0</v>
      </c>
      <c r="Z30" s="824">
        <v>0</v>
      </c>
      <c r="AA30" s="463">
        <f>Z30/'État des Résultats'!$E$14</f>
        <v>0</v>
      </c>
      <c r="AC30" s="824">
        <v>0</v>
      </c>
      <c r="AD30" s="463">
        <f>AC30/'État des Résultats'!$E$14</f>
        <v>0</v>
      </c>
      <c r="AF30" s="824">
        <v>0</v>
      </c>
      <c r="AG30" s="463">
        <f>AF30/'État des Résultats'!$E$14</f>
        <v>0</v>
      </c>
      <c r="AI30" s="824">
        <v>0</v>
      </c>
      <c r="AJ30" s="463">
        <f>AI30/'État des Résultats'!$E$14</f>
        <v>0</v>
      </c>
      <c r="AL30" s="824">
        <v>0</v>
      </c>
      <c r="AM30" s="463">
        <f>AL30/'État des Résultats'!$E$14</f>
        <v>0</v>
      </c>
      <c r="AP30" s="830">
        <f t="shared" si="2"/>
        <v>0</v>
      </c>
      <c r="AQ30" s="467">
        <f>+AP30/'État des Résultats'!$AP$14</f>
        <v>0</v>
      </c>
    </row>
    <row r="31" spans="2:69" x14ac:dyDescent="0.15">
      <c r="B31" s="190">
        <v>6245</v>
      </c>
      <c r="C31" s="392" t="s">
        <v>211</v>
      </c>
      <c r="E31" s="817">
        <f>'Salaire (planification)'!E68</f>
        <v>97.560000000000031</v>
      </c>
      <c r="F31" s="463">
        <f>E31/'État des Résultats'!$E$14</f>
        <v>2.6733649981731831E-3</v>
      </c>
      <c r="H31" s="817">
        <f>'Salaire (planification)'!H68</f>
        <v>97.560000000000031</v>
      </c>
      <c r="I31" s="463">
        <f>H31/'État des Résultats'!$E$14</f>
        <v>2.6733649981731831E-3</v>
      </c>
      <c r="K31" s="817">
        <f>'Salaire (planification)'!K68</f>
        <v>97.560000000000031</v>
      </c>
      <c r="L31" s="463">
        <f>K31/'État des Résultats'!$E$14</f>
        <v>2.6733649981731831E-3</v>
      </c>
      <c r="N31" s="817">
        <f>'Salaire (planification)'!N68</f>
        <v>97.560000000000031</v>
      </c>
      <c r="O31" s="463">
        <f>N31/'État des Résultats'!$E$14</f>
        <v>2.6733649981731831E-3</v>
      </c>
      <c r="Q31" s="817">
        <f>'Salaire (planification)'!Q68</f>
        <v>97.560000000000031</v>
      </c>
      <c r="R31" s="463">
        <f>Q31/'État des Résultats'!$E$14</f>
        <v>2.6733649981731831E-3</v>
      </c>
      <c r="T31" s="817">
        <f>'Salaire (planification)'!T68</f>
        <v>97.560000000000031</v>
      </c>
      <c r="U31" s="463">
        <f>T31/'État des Résultats'!$E$14</f>
        <v>2.6733649981731831E-3</v>
      </c>
      <c r="W31" s="817">
        <f>'Salaire (planification)'!W68</f>
        <v>97.560000000000031</v>
      </c>
      <c r="X31" s="463">
        <f>W31/'État des Résultats'!$E$14</f>
        <v>2.6733649981731831E-3</v>
      </c>
      <c r="Z31" s="817">
        <f>'Salaire (planification)'!Z68</f>
        <v>97.560000000000031</v>
      </c>
      <c r="AA31" s="463">
        <f>Z31/'État des Résultats'!$E$14</f>
        <v>2.6733649981731831E-3</v>
      </c>
      <c r="AC31" s="817">
        <f>'Salaire (planification)'!AC68</f>
        <v>97.560000000000031</v>
      </c>
      <c r="AD31" s="463">
        <f>AC31/'État des Résultats'!$E$14</f>
        <v>2.6733649981731831E-3</v>
      </c>
      <c r="AF31" s="817">
        <f>'Salaire (planification)'!AF68</f>
        <v>97.560000000000031</v>
      </c>
      <c r="AG31" s="463">
        <f>AF31/'État des Résultats'!$E$14</f>
        <v>2.6733649981731831E-3</v>
      </c>
      <c r="AI31" s="817">
        <f>'Salaire (planification)'!AI68</f>
        <v>97.560000000000031</v>
      </c>
      <c r="AJ31" s="463">
        <f>AI31/'État des Résultats'!$E$14</f>
        <v>2.6733649981731831E-3</v>
      </c>
      <c r="AL31" s="817">
        <f>'Salaire (planification)'!AL68</f>
        <v>97.560000000000031</v>
      </c>
      <c r="AM31" s="463">
        <f>AL31/'État des Résultats'!$E$14</f>
        <v>2.6733649981731831E-3</v>
      </c>
      <c r="AP31" s="830">
        <f t="shared" si="2"/>
        <v>1170.7200000000005</v>
      </c>
      <c r="AQ31" s="467">
        <f>+AP31/'État des Résultats'!$AP$14</f>
        <v>2.3492709030100345E-3</v>
      </c>
    </row>
    <row r="32" spans="2:69" x14ac:dyDescent="0.15">
      <c r="B32" s="190">
        <v>6255</v>
      </c>
      <c r="C32" s="392" t="s">
        <v>227</v>
      </c>
      <c r="E32" s="824">
        <v>0</v>
      </c>
      <c r="F32" s="463">
        <f>E32/'État des Résultats'!$E$14</f>
        <v>0</v>
      </c>
      <c r="G32" s="170"/>
      <c r="H32" s="824">
        <v>0</v>
      </c>
      <c r="I32" s="463">
        <f>H32/'État des Résultats'!$E$14</f>
        <v>0</v>
      </c>
      <c r="J32" s="170"/>
      <c r="K32" s="824">
        <v>0</v>
      </c>
      <c r="L32" s="463">
        <f>K32/'État des Résultats'!$E$14</f>
        <v>0</v>
      </c>
      <c r="M32" s="170"/>
      <c r="N32" s="824">
        <v>0</v>
      </c>
      <c r="O32" s="463">
        <f>N32/'État des Résultats'!$E$14</f>
        <v>0</v>
      </c>
      <c r="P32" s="170"/>
      <c r="Q32" s="824">
        <v>0</v>
      </c>
      <c r="R32" s="463">
        <f>Q32/'État des Résultats'!$E$14</f>
        <v>0</v>
      </c>
      <c r="S32" s="170"/>
      <c r="T32" s="824">
        <v>0</v>
      </c>
      <c r="U32" s="463">
        <f>T32/'État des Résultats'!$E$14</f>
        <v>0</v>
      </c>
      <c r="V32" s="170"/>
      <c r="W32" s="824">
        <v>0</v>
      </c>
      <c r="X32" s="463">
        <f>W32/'État des Résultats'!$E$14</f>
        <v>0</v>
      </c>
      <c r="Z32" s="824">
        <v>0</v>
      </c>
      <c r="AA32" s="463">
        <f>Z32/'État des Résultats'!$E$14</f>
        <v>0</v>
      </c>
      <c r="AB32" s="170"/>
      <c r="AC32" s="824">
        <v>0</v>
      </c>
      <c r="AD32" s="463">
        <f>AC32/'État des Résultats'!$E$14</f>
        <v>0</v>
      </c>
      <c r="AE32" s="170"/>
      <c r="AF32" s="824">
        <v>0</v>
      </c>
      <c r="AG32" s="463">
        <f>AF32/'État des Résultats'!$E$14</f>
        <v>0</v>
      </c>
      <c r="AH32" s="170"/>
      <c r="AI32" s="824">
        <v>0</v>
      </c>
      <c r="AJ32" s="463">
        <f>AI32/'État des Résultats'!$E$14</f>
        <v>0</v>
      </c>
      <c r="AK32" s="170"/>
      <c r="AL32" s="824">
        <v>0</v>
      </c>
      <c r="AM32" s="463">
        <f>AL32/'État des Résultats'!$E$14</f>
        <v>0</v>
      </c>
      <c r="AN32" s="170"/>
      <c r="AO32" s="170"/>
      <c r="AP32" s="830">
        <f t="shared" si="2"/>
        <v>0</v>
      </c>
      <c r="AQ32" s="467">
        <f>+AP32/'État des Résultats'!$AP$14</f>
        <v>0</v>
      </c>
      <c r="AR32" s="454"/>
      <c r="AS32" s="454"/>
      <c r="AT32" s="454"/>
      <c r="AU32" s="210"/>
      <c r="AV32" s="210"/>
      <c r="AW32" s="210"/>
      <c r="AX32" s="210"/>
      <c r="AY32" s="210"/>
      <c r="AZ32" s="210"/>
      <c r="BA32" s="210"/>
      <c r="BB32" s="454"/>
      <c r="BC32" s="454"/>
      <c r="BD32" s="454"/>
      <c r="BE32" s="454"/>
      <c r="BF32" s="454"/>
      <c r="BG32" s="170"/>
      <c r="BH32" s="170"/>
      <c r="BI32" s="170"/>
      <c r="BJ32" s="170"/>
      <c r="BK32" s="170"/>
      <c r="BL32" s="170"/>
      <c r="BM32" s="170"/>
      <c r="BN32" s="170"/>
      <c r="BO32" s="170"/>
      <c r="BP32" s="170"/>
      <c r="BQ32" s="170"/>
    </row>
    <row r="33" spans="2:54" x14ac:dyDescent="0.15">
      <c r="B33" s="190">
        <v>6260</v>
      </c>
      <c r="C33" s="392" t="s">
        <v>212</v>
      </c>
      <c r="E33" s="824">
        <v>1</v>
      </c>
      <c r="F33" s="463">
        <f>E33/'État des Résultats'!$E$14</f>
        <v>2.7402265253927655E-5</v>
      </c>
      <c r="H33" s="824">
        <v>1</v>
      </c>
      <c r="I33" s="463">
        <f>H33/'État des Résultats'!$E$14</f>
        <v>2.7402265253927655E-5</v>
      </c>
      <c r="K33" s="824">
        <v>1</v>
      </c>
      <c r="L33" s="463">
        <f>K33/'État des Résultats'!$E$14</f>
        <v>2.7402265253927655E-5</v>
      </c>
      <c r="N33" s="824">
        <v>1</v>
      </c>
      <c r="O33" s="463">
        <f>N33/'État des Résultats'!$E$14</f>
        <v>2.7402265253927655E-5</v>
      </c>
      <c r="Q33" s="824">
        <v>1</v>
      </c>
      <c r="R33" s="463">
        <f>Q33/'État des Résultats'!$E$14</f>
        <v>2.7402265253927655E-5</v>
      </c>
      <c r="T33" s="824">
        <v>1</v>
      </c>
      <c r="U33" s="463">
        <f>T33/'État des Résultats'!$E$14</f>
        <v>2.7402265253927655E-5</v>
      </c>
      <c r="W33" s="824">
        <v>1</v>
      </c>
      <c r="X33" s="463">
        <f>W33/'État des Résultats'!$E$14</f>
        <v>2.7402265253927655E-5</v>
      </c>
      <c r="Z33" s="824">
        <v>1</v>
      </c>
      <c r="AA33" s="463">
        <f>Z33/'État des Résultats'!$E$14</f>
        <v>2.7402265253927655E-5</v>
      </c>
      <c r="AC33" s="824">
        <v>1</v>
      </c>
      <c r="AD33" s="463">
        <f>AC33/'État des Résultats'!$E$14</f>
        <v>2.7402265253927655E-5</v>
      </c>
      <c r="AF33" s="824">
        <v>1</v>
      </c>
      <c r="AG33" s="463">
        <f>AF33/'État des Résultats'!$E$14</f>
        <v>2.7402265253927655E-5</v>
      </c>
      <c r="AI33" s="824">
        <v>1</v>
      </c>
      <c r="AJ33" s="463">
        <f>AI33/'État des Résultats'!$E$14</f>
        <v>2.7402265253927655E-5</v>
      </c>
      <c r="AL33" s="824">
        <v>1</v>
      </c>
      <c r="AM33" s="463">
        <f>AL33/'État des Résultats'!$E$14</f>
        <v>2.7402265253927655E-5</v>
      </c>
      <c r="AP33" s="830">
        <f t="shared" si="2"/>
        <v>12</v>
      </c>
      <c r="AQ33" s="467">
        <f>+AP33/'État des Résultats'!$AP$14</f>
        <v>2.408026755852843E-5</v>
      </c>
    </row>
    <row r="34" spans="2:54" x14ac:dyDescent="0.15">
      <c r="B34" s="190">
        <v>6265</v>
      </c>
      <c r="C34" s="392" t="s">
        <v>213</v>
      </c>
      <c r="E34" s="824">
        <v>0</v>
      </c>
      <c r="F34" s="463">
        <f>E34/'État des Résultats'!$E$14</f>
        <v>0</v>
      </c>
      <c r="H34" s="824">
        <v>0</v>
      </c>
      <c r="I34" s="463">
        <f>H34/'État des Résultats'!$E$14</f>
        <v>0</v>
      </c>
      <c r="K34" s="824">
        <v>0</v>
      </c>
      <c r="L34" s="463">
        <f>K34/'État des Résultats'!$E$14</f>
        <v>0</v>
      </c>
      <c r="N34" s="824">
        <v>0</v>
      </c>
      <c r="O34" s="463">
        <f>N34/'État des Résultats'!$E$14</f>
        <v>0</v>
      </c>
      <c r="Q34" s="824">
        <v>0</v>
      </c>
      <c r="R34" s="463">
        <f>Q34/'État des Résultats'!$E$14</f>
        <v>0</v>
      </c>
      <c r="T34" s="824">
        <v>0</v>
      </c>
      <c r="U34" s="463">
        <f>T34/'État des Résultats'!$E$14</f>
        <v>0</v>
      </c>
      <c r="W34" s="824">
        <v>0</v>
      </c>
      <c r="X34" s="463">
        <f>W34/'État des Résultats'!$E$14</f>
        <v>0</v>
      </c>
      <c r="Z34" s="824">
        <v>0</v>
      </c>
      <c r="AA34" s="463">
        <f>Z34/'État des Résultats'!$E$14</f>
        <v>0</v>
      </c>
      <c r="AC34" s="824">
        <v>0</v>
      </c>
      <c r="AD34" s="463">
        <f>AC34/'État des Résultats'!$E$14</f>
        <v>0</v>
      </c>
      <c r="AF34" s="824">
        <v>0</v>
      </c>
      <c r="AG34" s="463">
        <f>AF34/'État des Résultats'!$E$14</f>
        <v>0</v>
      </c>
      <c r="AI34" s="824">
        <v>0</v>
      </c>
      <c r="AJ34" s="463">
        <f>AI34/'État des Résultats'!$E$14</f>
        <v>0</v>
      </c>
      <c r="AL34" s="824">
        <v>0</v>
      </c>
      <c r="AM34" s="463">
        <f>AL34/'État des Résultats'!$E$14</f>
        <v>0</v>
      </c>
      <c r="AP34" s="830">
        <f t="shared" si="2"/>
        <v>0</v>
      </c>
      <c r="AQ34" s="467">
        <f>+AP34/'État des Résultats'!$AP$14</f>
        <v>0</v>
      </c>
    </row>
    <row r="35" spans="2:54" x14ac:dyDescent="0.15">
      <c r="B35" s="455" t="s">
        <v>214</v>
      </c>
      <c r="C35" s="392" t="s">
        <v>215</v>
      </c>
      <c r="E35" s="824">
        <v>0</v>
      </c>
      <c r="F35" s="463">
        <f>E35/'État des Résultats'!$E$14</f>
        <v>0</v>
      </c>
      <c r="H35" s="824">
        <v>0</v>
      </c>
      <c r="I35" s="463">
        <f>H35/'État des Résultats'!$E$14</f>
        <v>0</v>
      </c>
      <c r="K35" s="824">
        <v>0</v>
      </c>
      <c r="L35" s="463">
        <f>K35/'État des Résultats'!$E$14</f>
        <v>0</v>
      </c>
      <c r="N35" s="824">
        <v>0</v>
      </c>
      <c r="O35" s="463">
        <f>N35/'État des Résultats'!$E$14</f>
        <v>0</v>
      </c>
      <c r="Q35" s="824">
        <v>0</v>
      </c>
      <c r="R35" s="463">
        <f>Q35/'État des Résultats'!$E$14</f>
        <v>0</v>
      </c>
      <c r="T35" s="824">
        <v>0</v>
      </c>
      <c r="U35" s="463">
        <f>T35/'État des Résultats'!$E$14</f>
        <v>0</v>
      </c>
      <c r="W35" s="824">
        <v>0</v>
      </c>
      <c r="X35" s="463">
        <f>W35/'État des Résultats'!$E$14</f>
        <v>0</v>
      </c>
      <c r="Z35" s="824">
        <v>0</v>
      </c>
      <c r="AA35" s="463">
        <f>Z35/'État des Résultats'!$E$14</f>
        <v>0</v>
      </c>
      <c r="AC35" s="824">
        <v>0</v>
      </c>
      <c r="AD35" s="463">
        <f>AC35/'État des Résultats'!$E$14</f>
        <v>0</v>
      </c>
      <c r="AF35" s="824">
        <v>0</v>
      </c>
      <c r="AG35" s="463">
        <f>AF35/'État des Résultats'!$E$14</f>
        <v>0</v>
      </c>
      <c r="AI35" s="824">
        <v>0</v>
      </c>
      <c r="AJ35" s="463">
        <f>AI35/'État des Résultats'!$E$14</f>
        <v>0</v>
      </c>
      <c r="AL35" s="824">
        <v>0</v>
      </c>
      <c r="AM35" s="463">
        <f>AL35/'État des Résultats'!$E$14</f>
        <v>0</v>
      </c>
      <c r="AP35" s="830">
        <f t="shared" si="2"/>
        <v>0</v>
      </c>
      <c r="AQ35" s="467">
        <f>+AP35/'État des Résultats'!$AP$14</f>
        <v>0</v>
      </c>
    </row>
    <row r="36" spans="2:54" ht="14" thickBot="1" x14ac:dyDescent="0.2">
      <c r="B36" s="1264" t="s">
        <v>216</v>
      </c>
      <c r="C36" s="1265"/>
      <c r="D36" s="213"/>
      <c r="E36" s="819">
        <f>SUM(E27:E35)</f>
        <v>196.12000000000006</v>
      </c>
      <c r="F36" s="464">
        <f>SUM(F27:F35)</f>
        <v>5.3741322616002937E-3</v>
      </c>
      <c r="G36" s="213"/>
      <c r="H36" s="819">
        <f>SUM(H27:H35)</f>
        <v>196.12000000000006</v>
      </c>
      <c r="I36" s="464">
        <f>SUM(I27:I35)</f>
        <v>5.3741322616002937E-3</v>
      </c>
      <c r="J36" s="213"/>
      <c r="K36" s="819">
        <f>SUM(K27:K35)</f>
        <v>196.12000000000006</v>
      </c>
      <c r="L36" s="464">
        <f>SUM(L27:L35)</f>
        <v>5.3741322616002937E-3</v>
      </c>
      <c r="M36" s="213"/>
      <c r="N36" s="819">
        <f>SUM(N27:N35)</f>
        <v>196.12000000000006</v>
      </c>
      <c r="O36" s="464">
        <f>SUM(O27:O35)</f>
        <v>5.3741322616002937E-3</v>
      </c>
      <c r="P36" s="213"/>
      <c r="Q36" s="819">
        <f>SUM(Q27:Q35)</f>
        <v>196.12000000000006</v>
      </c>
      <c r="R36" s="464">
        <f>SUM(R27:R35)</f>
        <v>5.3741322616002937E-3</v>
      </c>
      <c r="S36" s="213"/>
      <c r="T36" s="819">
        <f>SUM(T27:T35)</f>
        <v>196.12000000000006</v>
      </c>
      <c r="U36" s="464">
        <f>SUM(U27:U35)</f>
        <v>5.3741322616002937E-3</v>
      </c>
      <c r="V36" s="213"/>
      <c r="W36" s="819">
        <f>SUM(W27:W35)</f>
        <v>196.12000000000006</v>
      </c>
      <c r="X36" s="464">
        <f>SUM(X27:X35)</f>
        <v>5.3741322616002937E-3</v>
      </c>
      <c r="Y36" s="213"/>
      <c r="Z36" s="819">
        <f>SUM(Z27:Z35)</f>
        <v>196.12000000000006</v>
      </c>
      <c r="AA36" s="464">
        <f>SUM(AA27:AA35)</f>
        <v>5.3741322616002937E-3</v>
      </c>
      <c r="AB36" s="213"/>
      <c r="AC36" s="819">
        <f>SUM(AC27:AC35)</f>
        <v>196.12000000000006</v>
      </c>
      <c r="AD36" s="464">
        <f>SUM(AD27:AD35)</f>
        <v>5.3741322616002937E-3</v>
      </c>
      <c r="AE36" s="213"/>
      <c r="AF36" s="819">
        <f>SUM(AF27:AF35)</f>
        <v>196.12000000000006</v>
      </c>
      <c r="AG36" s="464">
        <f>SUM(AG27:AG35)</f>
        <v>5.3741322616002937E-3</v>
      </c>
      <c r="AH36" s="213"/>
      <c r="AI36" s="819">
        <f>SUM(AI27:AI35)</f>
        <v>196.12000000000006</v>
      </c>
      <c r="AJ36" s="464">
        <f>SUM(AJ27:AJ35)</f>
        <v>5.3741322616002937E-3</v>
      </c>
      <c r="AK36" s="213"/>
      <c r="AL36" s="819">
        <f>SUM(AL27:AL35)</f>
        <v>196.12000000000006</v>
      </c>
      <c r="AM36" s="464">
        <f>SUM(AM27:AM35)</f>
        <v>5.3741322616002937E-3</v>
      </c>
      <c r="AN36" s="213"/>
      <c r="AO36" s="213"/>
      <c r="AP36" s="831">
        <f>SUM(AP27:AP35)</f>
        <v>2353.440000000001</v>
      </c>
      <c r="AQ36" s="464">
        <f>SUM(AQ27:AQ35)</f>
        <v>4.7226220735785973E-3</v>
      </c>
      <c r="AR36" s="251"/>
      <c r="AS36" s="251"/>
    </row>
    <row r="37" spans="2:54" ht="15" thickTop="1" thickBot="1" x14ac:dyDescent="0.2">
      <c r="B37" s="475"/>
      <c r="C37" s="475"/>
      <c r="D37" s="475"/>
      <c r="E37" s="825"/>
      <c r="F37" s="512"/>
      <c r="G37" s="475"/>
      <c r="H37" s="825"/>
      <c r="I37" s="512"/>
      <c r="J37" s="475"/>
      <c r="K37" s="825"/>
      <c r="L37" s="512"/>
      <c r="M37" s="475"/>
      <c r="N37" s="825"/>
      <c r="O37" s="512"/>
      <c r="P37" s="475"/>
      <c r="Q37" s="825"/>
      <c r="R37" s="512"/>
      <c r="S37" s="475"/>
      <c r="T37" s="825"/>
      <c r="U37" s="512"/>
      <c r="V37" s="475"/>
      <c r="W37" s="825"/>
      <c r="X37" s="512"/>
      <c r="Y37" s="475"/>
      <c r="Z37" s="825"/>
      <c r="AA37" s="512"/>
      <c r="AB37" s="475"/>
      <c r="AC37" s="825"/>
      <c r="AD37" s="512"/>
      <c r="AE37" s="475"/>
      <c r="AF37" s="825"/>
      <c r="AG37" s="512"/>
      <c r="AH37" s="475"/>
      <c r="AI37" s="825"/>
      <c r="AJ37" s="512"/>
      <c r="AK37" s="475"/>
      <c r="AL37" s="825"/>
      <c r="AM37" s="512"/>
      <c r="AN37" s="475"/>
      <c r="AO37" s="475"/>
      <c r="AP37" s="835"/>
      <c r="AQ37" s="512"/>
    </row>
    <row r="38" spans="2:54" ht="15" thickTop="1" thickBot="1" x14ac:dyDescent="0.2">
      <c r="B38" s="1266" t="str">
        <f>'État des Résultats'!C21</f>
        <v xml:space="preserve">   Total des coûts de la main-d’œuvre</v>
      </c>
      <c r="C38" s="1267"/>
      <c r="D38" s="251"/>
      <c r="E38" s="826">
        <f>+E23+E36</f>
        <v>9952.1200000000008</v>
      </c>
      <c r="F38" s="456">
        <f>E38/'État des Résultats'!E14</f>
        <v>0.27271063207891855</v>
      </c>
      <c r="G38" s="251"/>
      <c r="H38" s="826">
        <f>+H23+H36</f>
        <v>9952.1200000000008</v>
      </c>
      <c r="I38" s="456">
        <f>H38/'État des Résultats'!H14</f>
        <v>0.28135521185492324</v>
      </c>
      <c r="J38" s="251"/>
      <c r="K38" s="826">
        <f>+K23+K36</f>
        <v>9952.1200000000008</v>
      </c>
      <c r="L38" s="456">
        <f>K38/'État des Résultats'!K14</f>
        <v>0.25248774299939747</v>
      </c>
      <c r="M38" s="251"/>
      <c r="N38" s="826">
        <f>+N23+N36</f>
        <v>9952.1200000000008</v>
      </c>
      <c r="O38" s="456">
        <f>N38/'État des Résultats'!N14</f>
        <v>0.24957512303689541</v>
      </c>
      <c r="P38" s="251"/>
      <c r="Q38" s="826">
        <f>+Q23+Q36</f>
        <v>9952.1200000000008</v>
      </c>
      <c r="R38" s="456">
        <f>Q38/'État des Résultats'!Q14</f>
        <v>0.23180403726708076</v>
      </c>
      <c r="S38" s="251"/>
      <c r="T38" s="826">
        <f>+T23+T36</f>
        <v>9952.1200000000008</v>
      </c>
      <c r="U38" s="456">
        <f>T38/'État des Résultats'!T14</f>
        <v>0.22556083556831488</v>
      </c>
      <c r="V38" s="251"/>
      <c r="W38" s="826">
        <f>+W23+W36</f>
        <v>9952.1200000000008</v>
      </c>
      <c r="X38" s="456">
        <f>W38/'État des Résultats'!W14</f>
        <v>0.21757429016478563</v>
      </c>
      <c r="Y38" s="251"/>
      <c r="Z38" s="826">
        <f>+Z23+Z36</f>
        <v>9952.1200000000008</v>
      </c>
      <c r="AA38" s="456">
        <f>Z38/'État des Résultats'!Z14</f>
        <v>0.21473988564030641</v>
      </c>
      <c r="AB38" s="251"/>
      <c r="AC38" s="826">
        <f>+AC23+AC36</f>
        <v>9952.1200000000008</v>
      </c>
      <c r="AD38" s="456">
        <f>AC38/'État des Résultats'!AC14</f>
        <v>0.23484443395669874</v>
      </c>
      <c r="AE38" s="251"/>
      <c r="AF38" s="826">
        <f>+AF23+AF36</f>
        <v>9952.1200000000008</v>
      </c>
      <c r="AG38" s="456">
        <f>AF38/'État des Résultats'!AF14</f>
        <v>0.23463219316685988</v>
      </c>
      <c r="AH38" s="251"/>
      <c r="AI38" s="826">
        <f>+AI23+AI36</f>
        <v>9952.1200000000008</v>
      </c>
      <c r="AJ38" s="456">
        <f>AI38/'État des Résultats'!AI14</f>
        <v>0.25242637018875103</v>
      </c>
      <c r="AK38" s="251"/>
      <c r="AL38" s="826">
        <f>+AL23+AL36</f>
        <v>9952.1200000000008</v>
      </c>
      <c r="AM38" s="456">
        <f>AL38/'État des Résultats'!AL14</f>
        <v>0.22713956407622962</v>
      </c>
      <c r="AN38" s="251"/>
      <c r="AO38" s="251"/>
      <c r="AP38" s="826">
        <f>+AP23+AP36</f>
        <v>119425.44</v>
      </c>
      <c r="AQ38" s="456">
        <f>AP38/'État des Résultats'!AP14</f>
        <v>0.23964971237458196</v>
      </c>
    </row>
    <row r="39" spans="2:54" ht="15" thickTop="1" thickBot="1" x14ac:dyDescent="0.2">
      <c r="B39" s="532"/>
      <c r="C39" s="533"/>
      <c r="D39" s="328"/>
      <c r="E39" s="827"/>
      <c r="F39" s="534"/>
      <c r="G39" s="328"/>
      <c r="H39" s="827"/>
      <c r="I39" s="534"/>
      <c r="J39" s="328"/>
      <c r="K39" s="827"/>
      <c r="L39" s="534"/>
      <c r="M39" s="328"/>
      <c r="N39" s="827"/>
      <c r="O39" s="534"/>
      <c r="P39" s="328"/>
      <c r="Q39" s="827"/>
      <c r="R39" s="534"/>
      <c r="S39" s="328"/>
      <c r="T39" s="827"/>
      <c r="U39" s="534"/>
      <c r="V39" s="328"/>
      <c r="W39" s="827"/>
      <c r="X39" s="534"/>
      <c r="Y39" s="328"/>
      <c r="Z39" s="827"/>
      <c r="AA39" s="534"/>
      <c r="AB39" s="328"/>
      <c r="AC39" s="827"/>
      <c r="AD39" s="534"/>
      <c r="AE39" s="328"/>
      <c r="AF39" s="827"/>
      <c r="AG39" s="534"/>
      <c r="AH39" s="328"/>
      <c r="AI39" s="827"/>
      <c r="AJ39" s="534"/>
      <c r="AK39" s="328"/>
      <c r="AL39" s="827"/>
      <c r="AM39" s="534"/>
      <c r="AN39" s="328"/>
      <c r="AO39" s="328"/>
      <c r="AP39" s="827"/>
      <c r="AQ39" s="534"/>
    </row>
    <row r="40" spans="2:54" ht="14" thickTop="1" x14ac:dyDescent="0.15">
      <c r="B40" s="1248" t="s">
        <v>228</v>
      </c>
      <c r="C40" s="1249"/>
      <c r="D40" s="535"/>
      <c r="E40" s="828">
        <f>+E27+E31</f>
        <v>195.12000000000006</v>
      </c>
      <c r="F40" s="539">
        <f>+(E40/E23)</f>
        <v>2.0000000000000007E-2</v>
      </c>
      <c r="G40" s="536"/>
      <c r="H40" s="828">
        <f>+H27+H31</f>
        <v>195.12000000000006</v>
      </c>
      <c r="I40" s="539">
        <f>+(H40/H23)</f>
        <v>2.0000000000000007E-2</v>
      </c>
      <c r="J40" s="536"/>
      <c r="K40" s="828">
        <f>+K27+K31</f>
        <v>195.12000000000006</v>
      </c>
      <c r="L40" s="539">
        <f>+(K40/K23)</f>
        <v>2.0000000000000007E-2</v>
      </c>
      <c r="M40" s="536"/>
      <c r="N40" s="828">
        <f>+N27+N31</f>
        <v>195.12000000000006</v>
      </c>
      <c r="O40" s="539">
        <f>+(N40/N23)</f>
        <v>2.0000000000000007E-2</v>
      </c>
      <c r="P40" s="536"/>
      <c r="Q40" s="828">
        <f>+Q27+Q31</f>
        <v>195.12000000000006</v>
      </c>
      <c r="R40" s="539">
        <f>+(Q40/Q23)</f>
        <v>2.0000000000000007E-2</v>
      </c>
      <c r="S40" s="536"/>
      <c r="T40" s="828">
        <f>+T27+T31</f>
        <v>195.12000000000006</v>
      </c>
      <c r="U40" s="539">
        <f>+(T40/T23)</f>
        <v>2.0000000000000007E-2</v>
      </c>
      <c r="V40" s="536"/>
      <c r="W40" s="828">
        <f>+W27+W31</f>
        <v>195.12000000000006</v>
      </c>
      <c r="X40" s="539">
        <f>+(W40/W23)</f>
        <v>2.0000000000000007E-2</v>
      </c>
      <c r="Y40" s="536"/>
      <c r="Z40" s="828">
        <f>+Z27+Z31</f>
        <v>195.12000000000006</v>
      </c>
      <c r="AA40" s="539">
        <f>+(Z40/Z23)</f>
        <v>2.0000000000000007E-2</v>
      </c>
      <c r="AB40" s="536"/>
      <c r="AC40" s="828">
        <f>+AC27+AC31</f>
        <v>195.12000000000006</v>
      </c>
      <c r="AD40" s="539">
        <f>+(AC40/AC23)</f>
        <v>2.0000000000000007E-2</v>
      </c>
      <c r="AE40" s="536"/>
      <c r="AF40" s="828">
        <f>+AF27+AF31</f>
        <v>195.12000000000006</v>
      </c>
      <c r="AG40" s="539">
        <f>+(AF40/AF23)</f>
        <v>2.0000000000000007E-2</v>
      </c>
      <c r="AH40" s="536"/>
      <c r="AI40" s="828">
        <f>+AI27+AI31</f>
        <v>195.12000000000006</v>
      </c>
      <c r="AJ40" s="539">
        <f>+(AI40/AI23)</f>
        <v>2.0000000000000007E-2</v>
      </c>
      <c r="AK40" s="536"/>
      <c r="AL40" s="828">
        <f>+AL27+AL31</f>
        <v>195.12000000000006</v>
      </c>
      <c r="AM40" s="539">
        <f>+(AL40/AL23)</f>
        <v>2.0000000000000007E-2</v>
      </c>
      <c r="AN40" s="538"/>
      <c r="AO40" s="537"/>
      <c r="AP40" s="828">
        <f t="shared" ref="AP40:AP41" si="3">SUM(+$AL40+$AI40+$AF40+$AC40+$Z40+$W40+$T40+$Q40+$N40+$K40+$H40+$E40)</f>
        <v>2341.440000000001</v>
      </c>
      <c r="AQ40" s="539">
        <f>+(AP40/AP23)</f>
        <v>2.0000000000000007E-2</v>
      </c>
      <c r="AR40" s="187"/>
      <c r="AS40" s="187"/>
      <c r="AT40" s="187"/>
      <c r="AU40" s="187"/>
      <c r="AV40" s="187"/>
      <c r="AW40" s="187"/>
      <c r="AX40" s="187"/>
      <c r="AY40" s="187"/>
      <c r="AZ40" s="187"/>
      <c r="BA40" s="187"/>
      <c r="BB40" s="187"/>
    </row>
    <row r="41" spans="2:54" ht="14" thickBot="1" x14ac:dyDescent="0.2">
      <c r="B41" s="1250" t="s">
        <v>229</v>
      </c>
      <c r="C41" s="1251"/>
      <c r="D41" s="480"/>
      <c r="E41" s="829">
        <f>+E36</f>
        <v>196.12000000000006</v>
      </c>
      <c r="F41" s="540">
        <f>+E41/E23</f>
        <v>2.0102501025010256E-2</v>
      </c>
      <c r="G41" s="258"/>
      <c r="H41" s="829">
        <f>+H36</f>
        <v>196.12000000000006</v>
      </c>
      <c r="I41" s="540">
        <f>+H41/H23</f>
        <v>2.0102501025010256E-2</v>
      </c>
      <c r="J41" s="258"/>
      <c r="K41" s="829">
        <f>+K36</f>
        <v>196.12000000000006</v>
      </c>
      <c r="L41" s="540">
        <f>+K41/K23</f>
        <v>2.0102501025010256E-2</v>
      </c>
      <c r="M41" s="258"/>
      <c r="N41" s="829">
        <f>+N36</f>
        <v>196.12000000000006</v>
      </c>
      <c r="O41" s="540">
        <f>+N41/N23</f>
        <v>2.0102501025010256E-2</v>
      </c>
      <c r="P41" s="258"/>
      <c r="Q41" s="829">
        <f>+Q36</f>
        <v>196.12000000000006</v>
      </c>
      <c r="R41" s="540">
        <f>+Q41/Q23</f>
        <v>2.0102501025010256E-2</v>
      </c>
      <c r="S41" s="258"/>
      <c r="T41" s="829">
        <f>+T36</f>
        <v>196.12000000000006</v>
      </c>
      <c r="U41" s="540">
        <f>+T41/T23</f>
        <v>2.0102501025010256E-2</v>
      </c>
      <c r="V41" s="258"/>
      <c r="W41" s="829">
        <f>+W36</f>
        <v>196.12000000000006</v>
      </c>
      <c r="X41" s="540">
        <f>+W41/W23</f>
        <v>2.0102501025010256E-2</v>
      </c>
      <c r="Y41" s="258"/>
      <c r="Z41" s="829">
        <f>+Z36</f>
        <v>196.12000000000006</v>
      </c>
      <c r="AA41" s="540">
        <f>+Z41/Z23</f>
        <v>2.0102501025010256E-2</v>
      </c>
      <c r="AB41" s="258"/>
      <c r="AC41" s="829">
        <f>+AC36</f>
        <v>196.12000000000006</v>
      </c>
      <c r="AD41" s="540">
        <f>+AC41/AC23</f>
        <v>2.0102501025010256E-2</v>
      </c>
      <c r="AE41" s="258"/>
      <c r="AF41" s="829">
        <f>+AF36</f>
        <v>196.12000000000006</v>
      </c>
      <c r="AG41" s="540">
        <f>+AF41/AF23</f>
        <v>2.0102501025010256E-2</v>
      </c>
      <c r="AH41" s="258"/>
      <c r="AI41" s="829">
        <f>+AI36</f>
        <v>196.12000000000006</v>
      </c>
      <c r="AJ41" s="540">
        <f>+AI41/AI23</f>
        <v>2.0102501025010256E-2</v>
      </c>
      <c r="AK41" s="258"/>
      <c r="AL41" s="829">
        <f>+AL36</f>
        <v>196.12000000000006</v>
      </c>
      <c r="AM41" s="540">
        <f>+AL41/AL23</f>
        <v>2.0102501025010256E-2</v>
      </c>
      <c r="AN41" s="416"/>
      <c r="AO41" s="420"/>
      <c r="AP41" s="829">
        <f t="shared" si="3"/>
        <v>2353.440000000001</v>
      </c>
      <c r="AQ41" s="540">
        <f>+AP41/AP23</f>
        <v>2.010250102501026E-2</v>
      </c>
    </row>
    <row r="42" spans="2:54" ht="14" thickTop="1" x14ac:dyDescent="0.15"/>
  </sheetData>
  <sheetProtection algorithmName="SHA-512" hashValue="jKpHm42aRmuG2mNviNBOGfd6SJAy5YeP72NFqvJzjpvisY81fgVQqiPwYcAmbUbuL/GSyHBBuST9EewHNGDl4g==" saltValue="aafksf0+SPkXfazKmhvyQQ=="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10" zoomScaleNormal="110" zoomScalePageLayoutView="125" workbookViewId="0">
      <pane xSplit="3" ySplit="9" topLeftCell="D10" activePane="bottomRight" state="frozen"/>
      <selection pane="topRight" activeCell="D1" sqref="D1"/>
      <selection pane="bottomLeft" activeCell="A8" sqref="A8"/>
      <selection pane="bottomRight"/>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272" t="str">
        <f>'État des Résultats'!C2</f>
        <v>Chez Les Petites Gâteries &amp; Cie.</v>
      </c>
      <c r="C2" s="1273"/>
      <c r="AS2" s="1240" t="s">
        <v>42</v>
      </c>
      <c r="AT2" s="367"/>
      <c r="AU2" s="367"/>
      <c r="AV2" s="367"/>
      <c r="AW2" s="367"/>
      <c r="AX2" s="367"/>
      <c r="AY2" s="367"/>
      <c r="AZ2" s="367"/>
      <c r="BA2" s="367"/>
      <c r="BB2" s="367"/>
      <c r="BC2" s="1243" t="s">
        <v>43</v>
      </c>
    </row>
    <row r="3" spans="2:55" ht="20" customHeight="1" x14ac:dyDescent="0.2">
      <c r="B3" s="1274" t="str">
        <f>'État des Résultats'!C3</f>
        <v xml:space="preserve">États des résultats </v>
      </c>
      <c r="C3" s="1275"/>
      <c r="AS3" s="1241"/>
      <c r="AT3" s="368"/>
      <c r="AU3" s="368"/>
      <c r="AV3" s="368"/>
      <c r="AW3" s="368"/>
      <c r="AX3" s="368"/>
      <c r="AY3" s="368"/>
      <c r="AZ3" s="368"/>
      <c r="BA3" s="368"/>
      <c r="BB3" s="368"/>
      <c r="BC3" s="1244"/>
    </row>
    <row r="4" spans="2:55" ht="20" customHeight="1" thickBot="1" x14ac:dyDescent="0.3">
      <c r="B4" s="1276" t="str">
        <f>'État des Résultats'!C4</f>
        <v>Pour la période du 1er janvier 2021 au 31 décembre 2021</v>
      </c>
      <c r="C4" s="1277"/>
      <c r="AS4" s="1241"/>
      <c r="AT4" s="369" t="str">
        <f>'Formule pour le calcul D'!BA103</f>
        <v>Coût annuel</v>
      </c>
      <c r="AU4" s="369" t="s">
        <v>44</v>
      </c>
      <c r="AV4" s="369" t="str">
        <f>'Formule pour le calcul D'!BC103</f>
        <v>Achalandage annuelle</v>
      </c>
      <c r="AW4" s="369" t="s">
        <v>45</v>
      </c>
      <c r="AX4" s="369" t="s">
        <v>46</v>
      </c>
      <c r="AY4" s="369" t="str">
        <f>'Formule pour le calcul D'!BF103</f>
        <v>Um/A</v>
      </c>
      <c r="AZ4" s="369" t="s">
        <v>45</v>
      </c>
      <c r="BA4" s="369" t="str">
        <f>'Formule pour le calcul D'!BH103</f>
        <v>CmO</v>
      </c>
      <c r="BB4" s="369" t="s">
        <v>49</v>
      </c>
      <c r="BC4" s="1244"/>
    </row>
    <row r="5" spans="2:55" ht="21" thickTop="1" thickBot="1" x14ac:dyDescent="0.3">
      <c r="B5" s="328"/>
      <c r="C5" s="209"/>
      <c r="P5" s="209"/>
      <c r="AS5" s="1241"/>
      <c r="AT5" s="370" t="s">
        <v>2</v>
      </c>
      <c r="AU5" s="371"/>
      <c r="AV5" s="370"/>
      <c r="AW5" s="371"/>
      <c r="AX5" s="371"/>
      <c r="AY5" s="371"/>
      <c r="AZ5" s="371"/>
      <c r="BA5" s="371"/>
      <c r="BB5" s="371"/>
      <c r="BC5" s="1244"/>
    </row>
    <row r="6" spans="2:55" ht="27" thickTop="1" x14ac:dyDescent="0.3">
      <c r="B6" s="1278" t="str">
        <f>'État des Résultats'!C6</f>
        <v>Nb de places</v>
      </c>
      <c r="C6" s="1259"/>
      <c r="D6" s="200"/>
      <c r="E6" s="550" t="s">
        <v>170</v>
      </c>
      <c r="F6" s="549">
        <f>E69/$B$7/'Calendrier 2021'!D8</f>
        <v>321.00387096774188</v>
      </c>
      <c r="G6" s="170"/>
      <c r="H6" s="550" t="str">
        <f>+E6</f>
        <v>Coût / place / jour</v>
      </c>
      <c r="I6" s="549">
        <f>H69/$B$7/'Calendrier 2021'!E8</f>
        <v>355.3971428571428</v>
      </c>
      <c r="J6" s="170"/>
      <c r="K6" s="550" t="str">
        <f>+H6</f>
        <v>Coût / place / jour</v>
      </c>
      <c r="L6" s="549">
        <f>K69/$B$7/'Calendrier 2021'!F8</f>
        <v>321.00387096774188</v>
      </c>
      <c r="M6" s="170"/>
      <c r="N6" s="550" t="str">
        <f>+K6</f>
        <v>Coût / place / jour</v>
      </c>
      <c r="O6" s="549">
        <f>N69/$B$7/'Calendrier 2021'!G8</f>
        <v>331.70399999999995</v>
      </c>
      <c r="P6" s="380"/>
      <c r="Q6" s="379" t="str">
        <f>+N6</f>
        <v>Coût / place / jour</v>
      </c>
      <c r="R6" s="549">
        <f>Q69/$B$7/'Calendrier 2021'!H8</f>
        <v>321.00387096774188</v>
      </c>
      <c r="S6" s="380"/>
      <c r="T6" s="550" t="str">
        <f>+Q6</f>
        <v>Coût / place / jour</v>
      </c>
      <c r="U6" s="549">
        <f>T69/$B$7/'Calendrier 2021'!I8</f>
        <v>331.70399999999995</v>
      </c>
      <c r="V6" s="170"/>
      <c r="W6" s="550" t="str">
        <f>+T6</f>
        <v>Coût / place / jour</v>
      </c>
      <c r="X6" s="549">
        <f>W69/$B$7/'Calendrier 2021'!J8</f>
        <v>321.00387096774188</v>
      </c>
      <c r="Y6" s="588"/>
      <c r="Z6" s="550" t="str">
        <f>+W6</f>
        <v>Coût / place / jour</v>
      </c>
      <c r="AA6" s="549">
        <f>Z69/$B$7/'Calendrier 2021'!K8</f>
        <v>321.00387096774188</v>
      </c>
      <c r="AB6" s="170"/>
      <c r="AC6" s="550" t="str">
        <f>+Z6</f>
        <v>Coût / place / jour</v>
      </c>
      <c r="AD6" s="549">
        <f>AC69/$B$7/'Calendrier 2021'!L8</f>
        <v>331.70399999999995</v>
      </c>
      <c r="AE6" s="170"/>
      <c r="AF6" s="550" t="str">
        <f>+AC6</f>
        <v>Coût / place / jour</v>
      </c>
      <c r="AG6" s="549">
        <f>AF69/$B$7/'Calendrier 2021'!M8</f>
        <v>321.00387096774188</v>
      </c>
      <c r="AH6" s="588"/>
      <c r="AI6" s="550" t="str">
        <f>+AF6</f>
        <v>Coût / place / jour</v>
      </c>
      <c r="AJ6" s="549">
        <f>AI69/$B$7/'Calendrier 2021'!N8</f>
        <v>331.70399999999995</v>
      </c>
      <c r="AK6" s="602"/>
      <c r="AL6" s="550" t="str">
        <f>+AI6</f>
        <v>Coût / place / jour</v>
      </c>
      <c r="AM6" s="549">
        <f>AL69/$B$7/'Calendrier 2021'!O8</f>
        <v>321.00387096774188</v>
      </c>
      <c r="AN6" s="588"/>
      <c r="AO6" s="170"/>
      <c r="AP6" s="606" t="str">
        <f>+AL6</f>
        <v>Coût / place / jour</v>
      </c>
      <c r="AQ6" s="607">
        <f>AP69/$B$7/'% Occupation'!P8</f>
        <v>327.1601095890411</v>
      </c>
      <c r="AS6" s="1241"/>
      <c r="AT6" s="630" t="str">
        <f>'Formule pour le calcul D'!BA105</f>
        <v xml:space="preserve">C </v>
      </c>
      <c r="AU6" s="373"/>
      <c r="AV6" s="372" t="str">
        <f>'Formule pour le calcul D'!BC105</f>
        <v>A</v>
      </c>
      <c r="AW6" s="373"/>
      <c r="AX6" s="373"/>
      <c r="AY6" s="372" t="str">
        <f>AY4</f>
        <v>Um/A</v>
      </c>
      <c r="AZ6" s="373"/>
      <c r="BA6" s="372" t="str">
        <f>BA4</f>
        <v>CmO</v>
      </c>
      <c r="BB6" s="373"/>
      <c r="BC6" s="1244"/>
    </row>
    <row r="7" spans="2:55" ht="21" x14ac:dyDescent="0.25">
      <c r="B7" s="1279">
        <f>'État des Résultats'!C7</f>
        <v>1</v>
      </c>
      <c r="C7" s="1261"/>
      <c r="D7" s="190"/>
      <c r="E7" s="572">
        <f>E69/$AP$69</f>
        <v>8.3333333333333329E-2</v>
      </c>
      <c r="F7" s="573"/>
      <c r="G7" s="383"/>
      <c r="H7" s="572">
        <f>H69/$AP$69</f>
        <v>8.3333333333333329E-2</v>
      </c>
      <c r="I7" s="573"/>
      <c r="J7" s="383"/>
      <c r="K7" s="572">
        <f>K69/$AP$69</f>
        <v>8.3333333333333329E-2</v>
      </c>
      <c r="L7" s="573"/>
      <c r="M7" s="383"/>
      <c r="N7" s="572">
        <f>N69/$AP$69</f>
        <v>8.3333333333333329E-2</v>
      </c>
      <c r="O7" s="573" t="s">
        <v>2</v>
      </c>
      <c r="P7" s="384"/>
      <c r="Q7" s="381">
        <f>Q69/$AP$69</f>
        <v>8.3333333333333329E-2</v>
      </c>
      <c r="R7" s="382"/>
      <c r="S7" s="384"/>
      <c r="T7" s="572">
        <f>T69/$AP$69</f>
        <v>8.3333333333333329E-2</v>
      </c>
      <c r="U7" s="573"/>
      <c r="V7" s="383"/>
      <c r="W7" s="572">
        <f>W69/$AP$69</f>
        <v>8.3333333333333329E-2</v>
      </c>
      <c r="X7" s="573"/>
      <c r="Y7" s="589"/>
      <c r="Z7" s="572">
        <f>Z69/$AP$69</f>
        <v>8.3333333333333329E-2</v>
      </c>
      <c r="AA7" s="573"/>
      <c r="AB7" s="383"/>
      <c r="AC7" s="572">
        <f>AC69/$AP$69</f>
        <v>8.3333333333333329E-2</v>
      </c>
      <c r="AD7" s="573"/>
      <c r="AE7" s="383"/>
      <c r="AF7" s="572">
        <f>AF69/$AP$69</f>
        <v>8.3333333333333329E-2</v>
      </c>
      <c r="AG7" s="573"/>
      <c r="AH7" s="589"/>
      <c r="AI7" s="572">
        <f>AI69/$AP$69</f>
        <v>8.3333333333333329E-2</v>
      </c>
      <c r="AJ7" s="573"/>
      <c r="AK7" s="603"/>
      <c r="AL7" s="572">
        <f>AL69/$AP$69</f>
        <v>8.3333333333333329E-2</v>
      </c>
      <c r="AM7" s="573"/>
      <c r="AN7" s="589"/>
      <c r="AO7" s="383"/>
      <c r="AP7" s="608">
        <f>SUM(+$AL7+$AI7+$AF7+$AC7+$Z7+$W7+$T7+$Q7+$N7+$K7+$H7+$E7)</f>
        <v>1</v>
      </c>
      <c r="AQ7" s="609"/>
      <c r="AR7" s="383"/>
      <c r="AS7" s="1241"/>
      <c r="AT7" s="631">
        <f>AP69</f>
        <v>119413.44</v>
      </c>
      <c r="AU7" s="369" t="s">
        <v>44</v>
      </c>
      <c r="AV7" s="632">
        <f>'Formule pour le calcul D'!G106</f>
        <v>52000</v>
      </c>
      <c r="AW7" s="369" t="s">
        <v>45</v>
      </c>
      <c r="AX7" s="369" t="s">
        <v>46</v>
      </c>
      <c r="AY7" s="633">
        <f>'Formule pour le calcul D'!J106</f>
        <v>2</v>
      </c>
      <c r="AZ7" s="369" t="s">
        <v>45</v>
      </c>
      <c r="BA7" s="634">
        <f>AT7/AV7/AY7</f>
        <v>1.1482061538461539</v>
      </c>
      <c r="BB7" s="369" t="s">
        <v>49</v>
      </c>
      <c r="BC7" s="1244"/>
    </row>
    <row r="8" spans="2:55" ht="17" thickBot="1" x14ac:dyDescent="0.25">
      <c r="B8" s="1280" t="s">
        <v>194</v>
      </c>
      <c r="C8" s="1263"/>
      <c r="D8" s="190"/>
      <c r="E8" s="595" t="str">
        <f>'État des Résultats'!E8</f>
        <v>Pér.01</v>
      </c>
      <c r="F8" s="583" t="str">
        <f>'État des Résultats'!F8</f>
        <v>(%)</v>
      </c>
      <c r="G8" s="187"/>
      <c r="H8" s="595" t="str">
        <f>'État des Résultats'!H8</f>
        <v>Pér.02</v>
      </c>
      <c r="I8" s="583" t="str">
        <f>F8</f>
        <v>(%)</v>
      </c>
      <c r="J8" s="187"/>
      <c r="K8" s="595" t="str">
        <f>'État des Résultats'!K8</f>
        <v>Pér.03</v>
      </c>
      <c r="L8" s="583" t="str">
        <f>I8</f>
        <v>(%)</v>
      </c>
      <c r="M8" s="187"/>
      <c r="N8" s="595" t="str">
        <f>'État des Résultats'!N8</f>
        <v>Pér.04</v>
      </c>
      <c r="O8" s="583" t="str">
        <f>L8</f>
        <v>(%)</v>
      </c>
      <c r="P8" s="387"/>
      <c r="Q8" s="385" t="str">
        <f>'État des Résultats'!Q8</f>
        <v>Pér.05</v>
      </c>
      <c r="R8" s="386" t="str">
        <f>O8</f>
        <v>(%)</v>
      </c>
      <c r="S8" s="387"/>
      <c r="T8" s="595" t="str">
        <f>'État des Résultats'!T8</f>
        <v>Pér.06</v>
      </c>
      <c r="U8" s="583" t="str">
        <f>R8</f>
        <v>(%)</v>
      </c>
      <c r="V8" s="187"/>
      <c r="W8" s="595" t="str">
        <f>'État des Résultats'!W8</f>
        <v>Pér.07</v>
      </c>
      <c r="X8" s="583" t="str">
        <f>U8</f>
        <v>(%)</v>
      </c>
      <c r="Y8" s="590"/>
      <c r="Z8" s="595" t="str">
        <f>'État des Résultats'!Z8</f>
        <v>Pér.08</v>
      </c>
      <c r="AA8" s="583" t="str">
        <f>X8</f>
        <v>(%)</v>
      </c>
      <c r="AB8" s="187"/>
      <c r="AC8" s="595" t="str">
        <f>'État des Résultats'!AC8</f>
        <v>Pér.09</v>
      </c>
      <c r="AD8" s="583" t="str">
        <f>AA8</f>
        <v>(%)</v>
      </c>
      <c r="AE8" s="187"/>
      <c r="AF8" s="595" t="str">
        <f>'État des Résultats'!AF8</f>
        <v>Pér.10</v>
      </c>
      <c r="AG8" s="583" t="str">
        <f>AD8</f>
        <v>(%)</v>
      </c>
      <c r="AH8" s="590"/>
      <c r="AI8" s="595" t="str">
        <f>'État des Résultats'!AI8</f>
        <v>Pér.11</v>
      </c>
      <c r="AJ8" s="583" t="str">
        <f>AG8</f>
        <v>(%)</v>
      </c>
      <c r="AK8" s="604"/>
      <c r="AL8" s="595" t="str">
        <f>'État des Résultats'!AL8</f>
        <v>Pér.12</v>
      </c>
      <c r="AM8" s="583" t="str">
        <f>AJ8</f>
        <v>(%)</v>
      </c>
      <c r="AN8" s="590"/>
      <c r="AO8" s="187"/>
      <c r="AP8" s="610" t="str">
        <f>'État des Résultats'!AP8</f>
        <v>Total</v>
      </c>
      <c r="AQ8" s="611" t="str">
        <f>AM8</f>
        <v>(%)</v>
      </c>
      <c r="AR8" s="187"/>
      <c r="AS8" s="1242"/>
      <c r="AT8" s="374"/>
      <c r="AU8" s="374"/>
      <c r="AV8" s="374"/>
      <c r="AW8" s="374"/>
      <c r="AX8" s="374"/>
      <c r="AY8" s="374"/>
      <c r="AZ8" s="374"/>
      <c r="BA8" s="374"/>
      <c r="BB8" s="374"/>
      <c r="BC8" s="1245"/>
    </row>
    <row r="9" spans="2:55" ht="15" thickTop="1" thickBot="1" x14ac:dyDescent="0.2">
      <c r="B9" s="1268">
        <f>AP69/B7</f>
        <v>119413.44</v>
      </c>
      <c r="C9" s="1269"/>
      <c r="D9" s="190"/>
      <c r="E9" s="596" t="str">
        <f>'État des Résultats'!E9</f>
        <v>Janvier 2021</v>
      </c>
      <c r="F9" s="597"/>
      <c r="G9" s="389"/>
      <c r="H9" s="596" t="str">
        <f>'État des Résultats'!H9</f>
        <v>Février 2021</v>
      </c>
      <c r="I9" s="598"/>
      <c r="J9" s="389"/>
      <c r="K9" s="596" t="str">
        <f>'État des Résultats'!K9</f>
        <v>Mars 2021</v>
      </c>
      <c r="L9" s="598"/>
      <c r="M9" s="389"/>
      <c r="N9" s="596" t="str">
        <f>'État des Résultats'!N9</f>
        <v>Avril 2021</v>
      </c>
      <c r="O9" s="599"/>
      <c r="P9" s="391"/>
      <c r="Q9" s="388" t="str">
        <f>'État des Résultats'!Q9</f>
        <v>Mai 2021</v>
      </c>
      <c r="R9" s="390"/>
      <c r="S9" s="391"/>
      <c r="T9" s="600" t="str">
        <f>'État des Résultats'!T9</f>
        <v>Juin 2021</v>
      </c>
      <c r="U9" s="598"/>
      <c r="V9" s="389"/>
      <c r="W9" s="600" t="str">
        <f>'État des Résultats'!W9</f>
        <v>Juillet 2021</v>
      </c>
      <c r="X9" s="598"/>
      <c r="Y9" s="590"/>
      <c r="Z9" s="600" t="str">
        <f>'État des Résultats'!Z9</f>
        <v>Août 2021</v>
      </c>
      <c r="AA9" s="598"/>
      <c r="AB9" s="389"/>
      <c r="AC9" s="600" t="str">
        <f>'État des Résultats'!AC9</f>
        <v>Septembre 2021</v>
      </c>
      <c r="AD9" s="598"/>
      <c r="AE9" s="389"/>
      <c r="AF9" s="600" t="str">
        <f>'État des Résultats'!AF9</f>
        <v>Octobre 2021</v>
      </c>
      <c r="AG9" s="598"/>
      <c r="AH9" s="601"/>
      <c r="AI9" s="600" t="str">
        <f>'État des Résultats'!AI9</f>
        <v>Novembre 2021</v>
      </c>
      <c r="AJ9" s="598"/>
      <c r="AK9" s="605"/>
      <c r="AL9" s="600" t="str">
        <f>'État des Résultats'!AL9</f>
        <v>Décembre 2021</v>
      </c>
      <c r="AM9" s="598"/>
      <c r="AN9" s="601"/>
      <c r="AO9" s="389"/>
      <c r="AP9" s="612" t="str">
        <f>'État des Résultats'!AP9</f>
        <v>Année</v>
      </c>
      <c r="AQ9" s="613"/>
      <c r="AR9" s="389"/>
      <c r="AS9"/>
      <c r="AT9" s="389"/>
    </row>
    <row r="10" spans="2:55" ht="15" thickTop="1" thickBot="1" x14ac:dyDescent="0.2">
      <c r="B10" s="473"/>
      <c r="C10" s="474"/>
      <c r="D10" s="475"/>
      <c r="E10" s="476"/>
      <c r="F10" s="477"/>
      <c r="G10" s="475"/>
      <c r="H10" s="478"/>
      <c r="I10" s="479"/>
      <c r="J10" s="475"/>
      <c r="K10" s="478"/>
      <c r="L10" s="479"/>
      <c r="M10" s="475"/>
      <c r="N10" s="478"/>
      <c r="O10" s="479"/>
      <c r="P10" s="480"/>
      <c r="Q10" s="478"/>
      <c r="R10" s="479"/>
      <c r="S10" s="475"/>
      <c r="T10" s="478"/>
      <c r="U10" s="479"/>
      <c r="V10" s="475"/>
      <c r="W10" s="478"/>
      <c r="X10" s="479"/>
      <c r="Y10" s="475"/>
      <c r="Z10" s="478"/>
      <c r="AA10" s="479"/>
      <c r="AB10" s="475"/>
      <c r="AC10" s="478"/>
      <c r="AD10" s="479"/>
      <c r="AE10" s="475"/>
      <c r="AF10" s="478"/>
      <c r="AG10" s="479"/>
      <c r="AH10" s="475"/>
      <c r="AI10" s="478"/>
      <c r="AJ10" s="479"/>
      <c r="AK10" s="475"/>
      <c r="AL10" s="478"/>
      <c r="AM10" s="479"/>
      <c r="AN10" s="475"/>
      <c r="AO10" s="475"/>
      <c r="AP10" s="481"/>
      <c r="AQ10" s="482"/>
    </row>
    <row r="11" spans="2:55" ht="18" customHeight="1" thickTop="1" thickBot="1" x14ac:dyDescent="0.2">
      <c r="B11" s="497"/>
      <c r="C11" s="498" t="str">
        <f>' Total des coûts de MO'!C13</f>
        <v>Salaires "Management"</v>
      </c>
      <c r="D11" s="190"/>
      <c r="E11" s="500"/>
      <c r="F11" s="501"/>
      <c r="H11" s="500"/>
      <c r="I11" s="501"/>
      <c r="K11" s="500"/>
      <c r="L11" s="501"/>
      <c r="N11" s="851"/>
      <c r="O11" s="501"/>
      <c r="Q11" s="500"/>
      <c r="R11" s="501"/>
      <c r="T11" s="500"/>
      <c r="U11" s="501"/>
      <c r="W11" s="500"/>
      <c r="X11" s="501"/>
      <c r="Z11" s="500"/>
      <c r="AA11" s="501"/>
      <c r="AC11" s="500"/>
      <c r="AD11" s="501"/>
      <c r="AF11" s="500"/>
      <c r="AG11" s="501"/>
      <c r="AI11" s="500"/>
      <c r="AJ11" s="501"/>
      <c r="AK11" s="200"/>
      <c r="AL11" s="500"/>
      <c r="AM11" s="501"/>
      <c r="AP11" s="502"/>
      <c r="AQ11" s="503"/>
    </row>
    <row r="12" spans="2:55" ht="14" thickTop="1" x14ac:dyDescent="0.15">
      <c r="B12" s="190">
        <f>' Total des coûts de MO'!B13</f>
        <v>6110</v>
      </c>
      <c r="C12" s="392" t="str">
        <f>' Total des coûts de MO'!C11</f>
        <v>Salaires</v>
      </c>
      <c r="D12" s="190"/>
      <c r="E12" s="836">
        <v>1</v>
      </c>
      <c r="F12" s="460">
        <f>E12/'État des Résultats'!E14</f>
        <v>2.7402265253927655E-5</v>
      </c>
      <c r="G12" s="393">
        <v>2.0471491084515695E-6</v>
      </c>
      <c r="H12" s="836">
        <f>+E12</f>
        <v>1</v>
      </c>
      <c r="I12" s="460">
        <f>H12/'État des Résultats'!H14</f>
        <v>2.8270882169319025E-5</v>
      </c>
      <c r="K12" s="836">
        <f>+H12</f>
        <v>1</v>
      </c>
      <c r="L12" s="460">
        <f>K12/'État des Résultats'!K14</f>
        <v>2.537024704278058E-5</v>
      </c>
      <c r="N12" s="836">
        <f>+K12</f>
        <v>1</v>
      </c>
      <c r="O12" s="460">
        <f>N12/'État des Résultats'!N14</f>
        <v>2.5077583774803299E-5</v>
      </c>
      <c r="Q12" s="836">
        <f>+N12</f>
        <v>1</v>
      </c>
      <c r="R12" s="460">
        <f>Q12/'État des Résultats'!Q14</f>
        <v>2.3291925465838507E-5</v>
      </c>
      <c r="T12" s="836">
        <f>+Q12</f>
        <v>1</v>
      </c>
      <c r="U12" s="460">
        <f>T12/'État des Résultats'!T14</f>
        <v>2.2664601669625653E-5</v>
      </c>
      <c r="W12" s="836">
        <f>+T12</f>
        <v>1</v>
      </c>
      <c r="X12" s="460">
        <f>W12/'État des Résultats'!W14</f>
        <v>2.1862104774137129E-5</v>
      </c>
      <c r="Z12" s="836">
        <f>+W12</f>
        <v>1</v>
      </c>
      <c r="AA12" s="460">
        <f>Z12/'État des Résultats'!Z14</f>
        <v>2.1577300679684971E-5</v>
      </c>
      <c r="AC12" s="836">
        <f>+Z12</f>
        <v>1</v>
      </c>
      <c r="AD12" s="460">
        <f>AC12/'État des Résultats'!AC14</f>
        <v>2.359742788036104E-5</v>
      </c>
      <c r="AF12" s="836">
        <f>+AC12</f>
        <v>1</v>
      </c>
      <c r="AG12" s="460">
        <f>AF12/'État des Résultats'!AF14</f>
        <v>2.3576101691585294E-5</v>
      </c>
      <c r="AI12" s="836">
        <f>+AF12</f>
        <v>1</v>
      </c>
      <c r="AJ12" s="460">
        <f>AI12/'État des Résultats'!AI14</f>
        <v>2.5364080235040474E-5</v>
      </c>
      <c r="AK12" s="200"/>
      <c r="AL12" s="836">
        <f>+AI12</f>
        <v>1</v>
      </c>
      <c r="AM12" s="460">
        <f>AL12/'État des Résultats'!AL14</f>
        <v>2.2823234052265207E-5</v>
      </c>
      <c r="AP12" s="853">
        <f>SUM(+$AL12+$AI12+$AF12+$AC12+$Z12+$W12+$T12+$Q12+$N12+$K12+$H12+$E12)</f>
        <v>12</v>
      </c>
      <c r="AQ12" s="457">
        <f>AP12/'État des Résultats'!AP14</f>
        <v>2.408026755852843E-5</v>
      </c>
    </row>
    <row r="13" spans="2:55" x14ac:dyDescent="0.15">
      <c r="B13" s="190">
        <f>' Total des coûts de MO'!B27</f>
        <v>6205</v>
      </c>
      <c r="C13" s="392" t="str">
        <f>' Total des coûts de MO'!C27</f>
        <v>Bénéfices gouvernementaux</v>
      </c>
      <c r="D13" s="190"/>
      <c r="E13" s="837">
        <f>+E12*$H$76</f>
        <v>0.01</v>
      </c>
      <c r="F13" s="394">
        <f>E13/'État des Résultats'!E14</f>
        <v>2.7402265253927655E-7</v>
      </c>
      <c r="H13" s="837">
        <f>+H12*$H$76</f>
        <v>0.01</v>
      </c>
      <c r="I13" s="394">
        <f>H13/'État des Résultats'!H14</f>
        <v>2.8270882169319025E-7</v>
      </c>
      <c r="K13" s="837">
        <f>+K12*$H$76</f>
        <v>0.01</v>
      </c>
      <c r="L13" s="394">
        <f>K13/'État des Résultats'!K14</f>
        <v>2.5370247042780581E-7</v>
      </c>
      <c r="N13" s="837">
        <f>+N12*$H$76</f>
        <v>0.01</v>
      </c>
      <c r="O13" s="394">
        <f>N13/'État des Résultats'!N14</f>
        <v>2.5077583774803297E-7</v>
      </c>
      <c r="Q13" s="837">
        <f>+Q12*$H$76</f>
        <v>0.01</v>
      </c>
      <c r="R13" s="394">
        <f>Q13/'État des Résultats'!Q14</f>
        <v>2.329192546583851E-7</v>
      </c>
      <c r="T13" s="837">
        <f>+T12*$H$76</f>
        <v>0.01</v>
      </c>
      <c r="U13" s="394">
        <f>T13/'État des Résultats'!T14</f>
        <v>2.2664601669625654E-7</v>
      </c>
      <c r="W13" s="837">
        <f>+W12*$H$76</f>
        <v>0.01</v>
      </c>
      <c r="X13" s="394">
        <f>W13/'État des Résultats'!W14</f>
        <v>2.186210477413713E-7</v>
      </c>
      <c r="Z13" s="837">
        <f>+Z12*$H$76</f>
        <v>0.01</v>
      </c>
      <c r="AA13" s="394">
        <f>Z13/'État des Résultats'!Z14</f>
        <v>2.1577300679684972E-7</v>
      </c>
      <c r="AC13" s="837">
        <f>+AC12*$H$76</f>
        <v>0.01</v>
      </c>
      <c r="AD13" s="394">
        <f>AC13/'État des Résultats'!AC14</f>
        <v>2.3597427880361041E-7</v>
      </c>
      <c r="AF13" s="837">
        <f>+AF12*$H$76</f>
        <v>0.01</v>
      </c>
      <c r="AG13" s="394">
        <f>AF13/'État des Résultats'!AF14</f>
        <v>2.3576101691585297E-7</v>
      </c>
      <c r="AI13" s="837">
        <f>+AI12*$H$76</f>
        <v>0.01</v>
      </c>
      <c r="AJ13" s="394">
        <f>AI13/'État des Résultats'!AI14</f>
        <v>2.5364080235040476E-7</v>
      </c>
      <c r="AK13" s="200"/>
      <c r="AL13" s="837">
        <f>+AL12*$H$76</f>
        <v>0.01</v>
      </c>
      <c r="AM13" s="394">
        <f>AL13/'État des Résultats'!AL14</f>
        <v>2.2823234052265206E-7</v>
      </c>
      <c r="AP13" s="853">
        <f>SUM(+$AL13+$AI13+$AF13+$AC13+$Z13+$W13+$T13+$Q13+$N13+$K13+$H13+$E13)</f>
        <v>0.11999999999999998</v>
      </c>
      <c r="AQ13" s="458">
        <f>AP13/'État des Résultats'!AP14</f>
        <v>2.4080267558528426E-7</v>
      </c>
    </row>
    <row r="14" spans="2:55" ht="14" thickBot="1" x14ac:dyDescent="0.2">
      <c r="B14" s="190">
        <f>' Total des coûts de MO'!B31</f>
        <v>6245</v>
      </c>
      <c r="C14" s="392" t="str">
        <f>' Total des coûts de MO'!C31</f>
        <v>CSST et CNT</v>
      </c>
      <c r="D14" s="190"/>
      <c r="E14" s="837">
        <f>(E12)*$F$72</f>
        <v>0.01</v>
      </c>
      <c r="F14" s="394">
        <f>E14/'État des Résultats'!E14</f>
        <v>2.7402265253927655E-7</v>
      </c>
      <c r="H14" s="837">
        <f>(H12)*$F$72</f>
        <v>0.01</v>
      </c>
      <c r="I14" s="394">
        <f>H14/'État des Résultats'!H14</f>
        <v>2.8270882169319025E-7</v>
      </c>
      <c r="K14" s="837">
        <f>(K12)*$F$72</f>
        <v>0.01</v>
      </c>
      <c r="L14" s="394">
        <f>K14/'État des Résultats'!K14</f>
        <v>2.5370247042780581E-7</v>
      </c>
      <c r="N14" s="837">
        <f>(N12)*$F$72</f>
        <v>0.01</v>
      </c>
      <c r="O14" s="394">
        <f>N14/'État des Résultats'!N14</f>
        <v>2.5077583774803297E-7</v>
      </c>
      <c r="Q14" s="837">
        <f>(Q12)*$F$72</f>
        <v>0.01</v>
      </c>
      <c r="R14" s="394">
        <f>Q14/'État des Résultats'!Q14</f>
        <v>2.329192546583851E-7</v>
      </c>
      <c r="T14" s="837">
        <f>(T12)*$F$72</f>
        <v>0.01</v>
      </c>
      <c r="U14" s="394">
        <f>T14/'État des Résultats'!T14</f>
        <v>2.2664601669625654E-7</v>
      </c>
      <c r="W14" s="837">
        <f>(W12)*$F$72</f>
        <v>0.01</v>
      </c>
      <c r="X14" s="394">
        <f>W14/'État des Résultats'!W14</f>
        <v>2.186210477413713E-7</v>
      </c>
      <c r="Z14" s="837">
        <f>(Z12)*$F$72</f>
        <v>0.01</v>
      </c>
      <c r="AA14" s="394">
        <f>Z14/'État des Résultats'!Z14</f>
        <v>2.1577300679684972E-7</v>
      </c>
      <c r="AC14" s="837">
        <f>(AC12)*$F$72</f>
        <v>0.01</v>
      </c>
      <c r="AD14" s="394">
        <f>AC14/'État des Résultats'!AC14</f>
        <v>2.3597427880361041E-7</v>
      </c>
      <c r="AF14" s="837">
        <f>(AF12)*$F$72</f>
        <v>0.01</v>
      </c>
      <c r="AG14" s="394">
        <f>AF14/'État des Résultats'!AF14</f>
        <v>2.3576101691585297E-7</v>
      </c>
      <c r="AI14" s="837">
        <f>(AI12)*$F$72</f>
        <v>0.01</v>
      </c>
      <c r="AJ14" s="394">
        <f>AI14/'État des Résultats'!AI14</f>
        <v>2.5364080235040476E-7</v>
      </c>
      <c r="AK14" s="200"/>
      <c r="AL14" s="837">
        <f>(AL12)*$F$72</f>
        <v>0.01</v>
      </c>
      <c r="AM14" s="394">
        <f>AL14/'État des Résultats'!AL14</f>
        <v>2.2823234052265206E-7</v>
      </c>
      <c r="AP14" s="853">
        <f>SUM(+$AL14+$AI14+$AF14+$AC14+$Z14+$W14+$T14+$Q14+$N14+$K14+$H14+$E14)</f>
        <v>0.11999999999999998</v>
      </c>
      <c r="AQ14" s="458">
        <f>AP14/'État des Résultats'!AP14</f>
        <v>2.4080267558528426E-7</v>
      </c>
    </row>
    <row r="15" spans="2:55" ht="15" thickTop="1" thickBot="1" x14ac:dyDescent="0.2">
      <c r="B15" s="470"/>
      <c r="C15" s="471" t="s">
        <v>217</v>
      </c>
      <c r="D15" s="397"/>
      <c r="E15" s="838">
        <f>SUM(E12:E14)</f>
        <v>1.02</v>
      </c>
      <c r="F15" s="398">
        <f>E15/'État des Résultats'!E14</f>
        <v>2.795031055900621E-5</v>
      </c>
      <c r="G15" s="213"/>
      <c r="H15" s="838">
        <f>SUM(H12:H14)</f>
        <v>1.02</v>
      </c>
      <c r="I15" s="398">
        <f>H15/'État des Résultats'!H14</f>
        <v>2.8836299812705403E-5</v>
      </c>
      <c r="J15" s="213"/>
      <c r="K15" s="838">
        <f>SUM(K12:K14)</f>
        <v>1.02</v>
      </c>
      <c r="L15" s="398">
        <f>K15/'État des Résultats'!K14</f>
        <v>2.5877651983636191E-5</v>
      </c>
      <c r="M15" s="213"/>
      <c r="N15" s="838">
        <f>SUM(N12:N14)</f>
        <v>1.02</v>
      </c>
      <c r="O15" s="398">
        <f>N15/'État des Résultats'!N14</f>
        <v>2.5579135450299364E-5</v>
      </c>
      <c r="P15" s="213"/>
      <c r="Q15" s="838">
        <f>SUM(Q12:Q14)</f>
        <v>1.02</v>
      </c>
      <c r="R15" s="398">
        <f>Q15/'État des Résultats'!Q14</f>
        <v>2.375776397515528E-5</v>
      </c>
      <c r="S15" s="213"/>
      <c r="T15" s="838">
        <f>SUM(T12:T14)</f>
        <v>1.02</v>
      </c>
      <c r="U15" s="398">
        <f>T15/'État des Résultats'!T14</f>
        <v>2.3117893703018168E-5</v>
      </c>
      <c r="V15" s="213"/>
      <c r="W15" s="838">
        <f>SUM(W12:W14)</f>
        <v>1.02</v>
      </c>
      <c r="X15" s="398">
        <f>W15/'État des Résultats'!W14</f>
        <v>2.2299346869619875E-5</v>
      </c>
      <c r="Y15" s="213"/>
      <c r="Z15" s="838">
        <f>SUM(Z12:Z14)</f>
        <v>1.02</v>
      </c>
      <c r="AA15" s="398">
        <f>Z15/'État des Résultats'!Z14</f>
        <v>2.200884669327867E-5</v>
      </c>
      <c r="AB15" s="213"/>
      <c r="AC15" s="838">
        <f>SUM(AC12:AC14)</f>
        <v>1.02</v>
      </c>
      <c r="AD15" s="398">
        <f>AC15/'État des Résultats'!AC14</f>
        <v>2.4069376437968263E-5</v>
      </c>
      <c r="AE15" s="213"/>
      <c r="AF15" s="838">
        <f>SUM(AF12:AF14)</f>
        <v>1.02</v>
      </c>
      <c r="AG15" s="398">
        <f>AF15/'État des Résultats'!AF14</f>
        <v>2.4047623725417E-5</v>
      </c>
      <c r="AH15" s="213"/>
      <c r="AI15" s="838">
        <f>SUM(AI12:AI14)</f>
        <v>1.02</v>
      </c>
      <c r="AJ15" s="398">
        <f>AI15/'État des Résultats'!AI14</f>
        <v>2.5871361839741285E-5</v>
      </c>
      <c r="AK15" s="399"/>
      <c r="AL15" s="838">
        <f>SUM(AL12:AL14)</f>
        <v>1.02</v>
      </c>
      <c r="AM15" s="398">
        <f>AL15/'État des Résultats'!AL14</f>
        <v>2.3279698733310512E-5</v>
      </c>
      <c r="AN15" s="213"/>
      <c r="AO15" s="213"/>
      <c r="AP15" s="854">
        <f>SUM(AP12:AP14)</f>
        <v>12.239999999999998</v>
      </c>
      <c r="AQ15" s="511">
        <f>+SUM(AQ12:AQ14)</f>
        <v>2.4561872909698999E-5</v>
      </c>
      <c r="AR15" s="251"/>
      <c r="AS15" s="251"/>
      <c r="AT15" s="251"/>
      <c r="AU15" s="251"/>
      <c r="AV15" s="251"/>
      <c r="AW15" s="251"/>
    </row>
    <row r="16" spans="2:55" ht="15" thickTop="1" thickBot="1" x14ac:dyDescent="0.2">
      <c r="B16" s="475"/>
      <c r="C16" s="475" t="s">
        <v>2</v>
      </c>
      <c r="D16" s="475"/>
      <c r="E16" s="839"/>
      <c r="F16" s="483"/>
      <c r="G16" s="475"/>
      <c r="H16" s="839"/>
      <c r="I16" s="483"/>
      <c r="J16" s="475"/>
      <c r="K16" s="839"/>
      <c r="L16" s="483"/>
      <c r="M16" s="475"/>
      <c r="N16" s="839"/>
      <c r="O16" s="483"/>
      <c r="P16" s="475"/>
      <c r="Q16" s="839"/>
      <c r="R16" s="483"/>
      <c r="S16" s="475"/>
      <c r="T16" s="839"/>
      <c r="U16" s="483"/>
      <c r="V16" s="475"/>
      <c r="W16" s="839"/>
      <c r="X16" s="483"/>
      <c r="Y16" s="475"/>
      <c r="Z16" s="839"/>
      <c r="AA16" s="483"/>
      <c r="AB16" s="475"/>
      <c r="AC16" s="839"/>
      <c r="AD16" s="483"/>
      <c r="AE16" s="475"/>
      <c r="AF16" s="839"/>
      <c r="AG16" s="483"/>
      <c r="AH16" s="475"/>
      <c r="AI16" s="839"/>
      <c r="AJ16" s="483"/>
      <c r="AK16" s="475"/>
      <c r="AL16" s="839"/>
      <c r="AM16" s="483"/>
      <c r="AN16" s="475"/>
      <c r="AO16" s="475"/>
      <c r="AP16" s="832"/>
      <c r="AQ16" s="484"/>
    </row>
    <row r="17" spans="2:69" ht="15" thickTop="1" thickBot="1" x14ac:dyDescent="0.2">
      <c r="B17" s="505"/>
      <c r="C17" s="498" t="str">
        <f>' Total des coûts de MO'!C14</f>
        <v>Salaire "Production"</v>
      </c>
      <c r="D17" s="190"/>
      <c r="E17" s="840"/>
      <c r="F17" s="499"/>
      <c r="H17" s="840"/>
      <c r="I17" s="499"/>
      <c r="K17" s="840"/>
      <c r="L17" s="499"/>
      <c r="N17" s="840"/>
      <c r="O17" s="499"/>
      <c r="Q17" s="840"/>
      <c r="R17" s="499"/>
      <c r="T17" s="840"/>
      <c r="U17" s="499"/>
      <c r="W17" s="840"/>
      <c r="X17" s="499"/>
      <c r="Z17" s="840"/>
      <c r="AA17" s="499"/>
      <c r="AC17" s="840"/>
      <c r="AD17" s="499"/>
      <c r="AF17" s="840"/>
      <c r="AG17" s="499"/>
      <c r="AI17" s="840"/>
      <c r="AJ17" s="499"/>
      <c r="AK17" s="200"/>
      <c r="AL17" s="840"/>
      <c r="AM17" s="499"/>
      <c r="AP17" s="855"/>
      <c r="AQ17" s="499"/>
    </row>
    <row r="18" spans="2:69" ht="14" thickTop="1" x14ac:dyDescent="0.15">
      <c r="B18" s="190">
        <f>' Total des coûts de MO'!B14</f>
        <v>6120</v>
      </c>
      <c r="C18" s="392" t="str">
        <f>' Total des coûts de MO'!C11</f>
        <v>Salaires</v>
      </c>
      <c r="D18" s="190"/>
      <c r="E18" s="841">
        <v>5252</v>
      </c>
      <c r="F18" s="461">
        <f>+E18/'État des Résultats'!E14</f>
        <v>0.14391669711362806</v>
      </c>
      <c r="H18" s="841">
        <f>+E18</f>
        <v>5252</v>
      </c>
      <c r="I18" s="461">
        <f>+H18/'État des Résultats'!H14</f>
        <v>0.14847867315326352</v>
      </c>
      <c r="K18" s="841">
        <f>H18</f>
        <v>5252</v>
      </c>
      <c r="L18" s="461">
        <f>+K18/'État des Résultats'!K14</f>
        <v>0.13324453746868359</v>
      </c>
      <c r="N18" s="841">
        <f>K18</f>
        <v>5252</v>
      </c>
      <c r="O18" s="461">
        <f>+N18/'État des Résultats'!N14</f>
        <v>0.13170746998526692</v>
      </c>
      <c r="Q18" s="841">
        <f>N18</f>
        <v>5252</v>
      </c>
      <c r="R18" s="461">
        <f>+Q18/'État des Résultats'!Q14</f>
        <v>0.12232919254658385</v>
      </c>
      <c r="T18" s="841">
        <f>Q18</f>
        <v>5252</v>
      </c>
      <c r="U18" s="461">
        <f>+T18/'État des Résultats'!T14</f>
        <v>0.11903448796887393</v>
      </c>
      <c r="W18" s="841">
        <f>T18</f>
        <v>5252</v>
      </c>
      <c r="X18" s="461">
        <f>+W18/'État des Résultats'!W14</f>
        <v>0.1148197742737682</v>
      </c>
      <c r="Z18" s="841">
        <f>W18</f>
        <v>5252</v>
      </c>
      <c r="AA18" s="461">
        <f>+Z18/'État des Résultats'!Z14</f>
        <v>0.11332398316970548</v>
      </c>
      <c r="AC18" s="841">
        <f>Z18</f>
        <v>5252</v>
      </c>
      <c r="AD18" s="461">
        <f>+AC18/'État des Résultats'!AC14</f>
        <v>0.12393369122765618</v>
      </c>
      <c r="AF18" s="841">
        <f>AC18</f>
        <v>5252</v>
      </c>
      <c r="AG18" s="461">
        <f>+AF18/'État des Résultats'!AF14</f>
        <v>0.12382168608420598</v>
      </c>
      <c r="AI18" s="841">
        <f>AF18</f>
        <v>5252</v>
      </c>
      <c r="AJ18" s="461">
        <f>+AI18/'État des Résultats'!AI14</f>
        <v>0.13321214939443257</v>
      </c>
      <c r="AK18" s="200"/>
      <c r="AL18" s="841">
        <f>AI18</f>
        <v>5252</v>
      </c>
      <c r="AM18" s="461">
        <f>+AL18/'État des Résultats'!AL14</f>
        <v>0.11986762524249686</v>
      </c>
      <c r="AP18" s="830">
        <f>SUM(+$AL18+$AI18+$AF18+$AC18+$Z18+$W18+$T18+$Q18+$N18+$K18+$H18+$E18)</f>
        <v>63024</v>
      </c>
      <c r="AQ18" s="458">
        <f>AP18/'État des Résultats'!AP14</f>
        <v>0.12646956521739131</v>
      </c>
    </row>
    <row r="19" spans="2:69" x14ac:dyDescent="0.15">
      <c r="B19" s="190">
        <f>B13</f>
        <v>6205</v>
      </c>
      <c r="C19" s="392" t="str">
        <f>' Total des coûts de MO'!C27</f>
        <v>Bénéfices gouvernementaux</v>
      </c>
      <c r="D19" s="190"/>
      <c r="E19" s="837">
        <f>+E18*$H$76</f>
        <v>52.52</v>
      </c>
      <c r="F19" s="394">
        <f>E19/'État des Résultats'!E14</f>
        <v>1.4391669711362805E-3</v>
      </c>
      <c r="H19" s="837">
        <f>+H18*$H$76</f>
        <v>52.52</v>
      </c>
      <c r="I19" s="394">
        <f>H19/'État des Résultats'!H14</f>
        <v>1.4847867315326351E-3</v>
      </c>
      <c r="K19" s="837">
        <f>+K18*$H$76</f>
        <v>52.52</v>
      </c>
      <c r="L19" s="394">
        <f>K19/'État des Résultats'!K14</f>
        <v>1.3324453746868361E-3</v>
      </c>
      <c r="N19" s="837">
        <f>+N18*$H$76</f>
        <v>52.52</v>
      </c>
      <c r="O19" s="394">
        <f>N19/'État des Résultats'!N14</f>
        <v>1.3170746998526692E-3</v>
      </c>
      <c r="Q19" s="837">
        <f>+Q18*$H$76</f>
        <v>52.52</v>
      </c>
      <c r="R19" s="394">
        <f>Q19/'État des Résultats'!Q14</f>
        <v>1.2232919254658386E-3</v>
      </c>
      <c r="T19" s="837">
        <f>+T18*$H$76</f>
        <v>52.52</v>
      </c>
      <c r="U19" s="394">
        <f>T19/'État des Résultats'!T14</f>
        <v>1.1903448796887395E-3</v>
      </c>
      <c r="W19" s="837">
        <f>+W18*$H$76</f>
        <v>52.52</v>
      </c>
      <c r="X19" s="394">
        <f>W19/'État des Résultats'!W14</f>
        <v>1.1481977427376822E-3</v>
      </c>
      <c r="Z19" s="837">
        <f>+Z18*$H$76</f>
        <v>52.52</v>
      </c>
      <c r="AA19" s="394">
        <f>Z19/'État des Résultats'!Z14</f>
        <v>1.1332398316970548E-3</v>
      </c>
      <c r="AC19" s="837">
        <f>+AC18*$H$76</f>
        <v>52.52</v>
      </c>
      <c r="AD19" s="394">
        <f>AC19/'État des Résultats'!AC14</f>
        <v>1.239336912276562E-3</v>
      </c>
      <c r="AF19" s="837">
        <f>+AF18*$H$76</f>
        <v>52.52</v>
      </c>
      <c r="AG19" s="394">
        <f>AF19/'État des Résultats'!AF14</f>
        <v>1.2382168608420598E-3</v>
      </c>
      <c r="AI19" s="837">
        <f>+AI18*$H$76</f>
        <v>52.52</v>
      </c>
      <c r="AJ19" s="394">
        <f>AI19/'État des Résultats'!AI14</f>
        <v>1.3321214939443259E-3</v>
      </c>
      <c r="AK19" s="200"/>
      <c r="AL19" s="837">
        <f>+AL18*$H$76</f>
        <v>52.52</v>
      </c>
      <c r="AM19" s="394">
        <f>AL19/'État des Résultats'!AL14</f>
        <v>1.1986762524249686E-3</v>
      </c>
      <c r="AP19" s="830">
        <f>SUM(+$AL19+$AI19+$AF19+$AC19+$Z19+$W19+$T19+$Q19+$N19+$K19+$H19+$E19)</f>
        <v>630.2399999999999</v>
      </c>
      <c r="AQ19" s="458">
        <f>AP19/'État des Résultats'!AP14</f>
        <v>1.2646956521739129E-3</v>
      </c>
    </row>
    <row r="20" spans="2:69" ht="14" thickBot="1" x14ac:dyDescent="0.2">
      <c r="B20" s="190">
        <f>B14</f>
        <v>6245</v>
      </c>
      <c r="C20" s="392" t="str">
        <f>' Total des coûts de MO'!C31</f>
        <v>CSST et CNT</v>
      </c>
      <c r="D20" s="190"/>
      <c r="E20" s="837">
        <f>(E18)*$F$72</f>
        <v>52.52</v>
      </c>
      <c r="F20" s="394">
        <f>E20/'État des Résultats'!E14</f>
        <v>1.4391669711362805E-3</v>
      </c>
      <c r="H20" s="837">
        <f>(H18)*$F$72</f>
        <v>52.52</v>
      </c>
      <c r="I20" s="394">
        <f>H20/'État des Résultats'!H14</f>
        <v>1.4847867315326351E-3</v>
      </c>
      <c r="K20" s="837">
        <f>(K18)*$F$72</f>
        <v>52.52</v>
      </c>
      <c r="L20" s="394">
        <f>K20/'État des Résultats'!K14</f>
        <v>1.3324453746868361E-3</v>
      </c>
      <c r="N20" s="837">
        <f>(N18)*$F$72</f>
        <v>52.52</v>
      </c>
      <c r="O20" s="394">
        <f>N20/'État des Résultats'!N14</f>
        <v>1.3170746998526692E-3</v>
      </c>
      <c r="Q20" s="837">
        <f>(Q18)*$F$72</f>
        <v>52.52</v>
      </c>
      <c r="R20" s="394">
        <f>Q20/'État des Résultats'!Q14</f>
        <v>1.2232919254658386E-3</v>
      </c>
      <c r="T20" s="837">
        <f>(T18)*$F$72</f>
        <v>52.52</v>
      </c>
      <c r="U20" s="394">
        <f>T20/'État des Résultats'!T14</f>
        <v>1.1903448796887395E-3</v>
      </c>
      <c r="W20" s="837">
        <f>(W18)*$F$72</f>
        <v>52.52</v>
      </c>
      <c r="X20" s="394">
        <f>W20/'État des Résultats'!W14</f>
        <v>1.1481977427376822E-3</v>
      </c>
      <c r="Z20" s="837">
        <f>(Z18)*$F$72</f>
        <v>52.52</v>
      </c>
      <c r="AA20" s="394">
        <f>Z20/'État des Résultats'!Z14</f>
        <v>1.1332398316970548E-3</v>
      </c>
      <c r="AC20" s="837">
        <f>(AC18)*$F$72</f>
        <v>52.52</v>
      </c>
      <c r="AD20" s="394">
        <f>AC20/'État des Résultats'!AC14</f>
        <v>1.239336912276562E-3</v>
      </c>
      <c r="AF20" s="837">
        <f>(AF18)*$F$72</f>
        <v>52.52</v>
      </c>
      <c r="AG20" s="394">
        <f>AF20/'État des Résultats'!AF14</f>
        <v>1.2382168608420598E-3</v>
      </c>
      <c r="AI20" s="837">
        <f>(AI18)*$F$72</f>
        <v>52.52</v>
      </c>
      <c r="AJ20" s="394">
        <f>AI20/'État des Résultats'!AI14</f>
        <v>1.3321214939443259E-3</v>
      </c>
      <c r="AK20" s="200"/>
      <c r="AL20" s="837">
        <f>(AL18)*$F$72</f>
        <v>52.52</v>
      </c>
      <c r="AM20" s="394">
        <f>AL20/'État des Résultats'!AL14</f>
        <v>1.1986762524249686E-3</v>
      </c>
      <c r="AP20" s="830">
        <f>SUM(+$AL20+$AI20+$AF20+$AC20+$Z20+$W20+$T20+$Q20+$N20+$K20+$H20+$E20)</f>
        <v>630.2399999999999</v>
      </c>
      <c r="AQ20" s="458">
        <f>AP20/'État des Résultats'!AP14</f>
        <v>1.2646956521739129E-3</v>
      </c>
    </row>
    <row r="21" spans="2:69" ht="15" thickTop="1" thickBot="1" x14ac:dyDescent="0.2">
      <c r="B21" s="470"/>
      <c r="C21" s="471" t="s">
        <v>218</v>
      </c>
      <c r="D21" s="397"/>
      <c r="E21" s="842">
        <f>SUM(E18:E20)</f>
        <v>5357.0400000000009</v>
      </c>
      <c r="F21" s="400">
        <f>SUM(F18:F20)</f>
        <v>0.14679503105590061</v>
      </c>
      <c r="G21" s="213"/>
      <c r="H21" s="842">
        <f>SUM(H18:H20)</f>
        <v>5357.0400000000009</v>
      </c>
      <c r="I21" s="400">
        <f>SUM(I18:I20)</f>
        <v>0.15144824661632877</v>
      </c>
      <c r="J21" s="213"/>
      <c r="K21" s="842">
        <f>SUM(K18:K20)</f>
        <v>5357.0400000000009</v>
      </c>
      <c r="L21" s="400">
        <f>SUM(L18:L20)</f>
        <v>0.13590942821805724</v>
      </c>
      <c r="M21" s="213"/>
      <c r="N21" s="842">
        <f>SUM(N18:N20)</f>
        <v>5357.0400000000009</v>
      </c>
      <c r="O21" s="400">
        <f>SUM(O18:O20)</f>
        <v>0.13434161938497227</v>
      </c>
      <c r="P21" s="213"/>
      <c r="Q21" s="842">
        <f>SUM(Q18:Q20)</f>
        <v>5357.0400000000009</v>
      </c>
      <c r="R21" s="400">
        <f>SUM(R18:R20)</f>
        <v>0.12477577639751554</v>
      </c>
      <c r="S21" s="213"/>
      <c r="T21" s="842">
        <f>SUM(T18:T20)</f>
        <v>5357.0400000000009</v>
      </c>
      <c r="U21" s="400">
        <f>SUM(U18:U20)</f>
        <v>0.1214151777282514</v>
      </c>
      <c r="V21" s="213"/>
      <c r="W21" s="842">
        <f>SUM(W18:W20)</f>
        <v>5357.0400000000009</v>
      </c>
      <c r="X21" s="400">
        <f>SUM(X18:X20)</f>
        <v>0.11711616975924356</v>
      </c>
      <c r="Y21" s="213"/>
      <c r="Z21" s="842">
        <f>SUM(Z18:Z20)</f>
        <v>5357.0400000000009</v>
      </c>
      <c r="AA21" s="400">
        <f>SUM(AA18:AA20)</f>
        <v>0.11559046283309958</v>
      </c>
      <c r="AB21" s="213"/>
      <c r="AC21" s="842">
        <f>SUM(AC18:AC20)</f>
        <v>5357.0400000000009</v>
      </c>
      <c r="AD21" s="400">
        <f>SUM(AD18:AD20)</f>
        <v>0.12641236505220932</v>
      </c>
      <c r="AE21" s="213"/>
      <c r="AF21" s="842">
        <f>SUM(AF18:AF20)</f>
        <v>5357.0400000000009</v>
      </c>
      <c r="AG21" s="400">
        <f>SUM(AG18:AG20)</f>
        <v>0.12629811980589009</v>
      </c>
      <c r="AH21" s="213"/>
      <c r="AI21" s="842">
        <f>SUM(AI18:AI20)</f>
        <v>5357.0400000000009</v>
      </c>
      <c r="AJ21" s="400">
        <f>SUM(AJ18:AJ20)</f>
        <v>0.13587639238232121</v>
      </c>
      <c r="AK21" s="399"/>
      <c r="AL21" s="842">
        <f>SUM(AL18:AL20)</f>
        <v>5357.0400000000009</v>
      </c>
      <c r="AM21" s="400">
        <f>SUM(AM18:AM20)</f>
        <v>0.12226497774734679</v>
      </c>
      <c r="AN21" s="213"/>
      <c r="AO21" s="213"/>
      <c r="AP21" s="856">
        <f>SUM(AP18+AP19+AP20)</f>
        <v>64284.479999999996</v>
      </c>
      <c r="AQ21" s="401">
        <f>AP21/'État des Résultats'!AP14</f>
        <v>0.12899895652173912</v>
      </c>
      <c r="AR21" s="251"/>
      <c r="AS21" s="251"/>
      <c r="AT21" s="251"/>
      <c r="AU21" s="251"/>
    </row>
    <row r="22" spans="2:69" ht="15" thickTop="1" thickBot="1" x14ac:dyDescent="0.2">
      <c r="B22" s="475"/>
      <c r="C22" s="475"/>
      <c r="D22" s="475"/>
      <c r="E22" s="839"/>
      <c r="F22" s="483"/>
      <c r="G22" s="475"/>
      <c r="H22" s="839"/>
      <c r="I22" s="483"/>
      <c r="J22" s="475"/>
      <c r="K22" s="839"/>
      <c r="L22" s="483"/>
      <c r="M22" s="475"/>
      <c r="N22" s="839"/>
      <c r="O22" s="483"/>
      <c r="P22" s="475"/>
      <c r="Q22" s="839"/>
      <c r="R22" s="483"/>
      <c r="S22" s="475"/>
      <c r="T22" s="839"/>
      <c r="U22" s="483"/>
      <c r="V22" s="475"/>
      <c r="W22" s="839"/>
      <c r="X22" s="483"/>
      <c r="Y22" s="475"/>
      <c r="Z22" s="839"/>
      <c r="AA22" s="483"/>
      <c r="AB22" s="475"/>
      <c r="AC22" s="839"/>
      <c r="AD22" s="483"/>
      <c r="AE22" s="475"/>
      <c r="AF22" s="839"/>
      <c r="AG22" s="483"/>
      <c r="AH22" s="475"/>
      <c r="AI22" s="839"/>
      <c r="AJ22" s="483"/>
      <c r="AK22" s="475"/>
      <c r="AL22" s="839"/>
      <c r="AM22" s="483"/>
      <c r="AN22" s="475"/>
      <c r="AO22" s="475"/>
      <c r="AP22" s="832"/>
      <c r="AQ22" s="484"/>
    </row>
    <row r="23" spans="2:69" ht="15" thickTop="1" thickBot="1" x14ac:dyDescent="0.2">
      <c r="B23" s="506"/>
      <c r="C23" s="498" t="str">
        <f>' Total des coûts de MO'!C15</f>
        <v>Salaire "Vente et service"</v>
      </c>
      <c r="D23" s="190"/>
      <c r="E23" s="840"/>
      <c r="F23" s="499"/>
      <c r="H23" s="840"/>
      <c r="I23" s="499"/>
      <c r="K23" s="840"/>
      <c r="L23" s="499"/>
      <c r="N23" s="840"/>
      <c r="O23" s="499"/>
      <c r="Q23" s="840"/>
      <c r="R23" s="499"/>
      <c r="T23" s="840"/>
      <c r="U23" s="499"/>
      <c r="W23" s="840"/>
      <c r="X23" s="499"/>
      <c r="Z23" s="840"/>
      <c r="AA23" s="499"/>
      <c r="AC23" s="840"/>
      <c r="AD23" s="499"/>
      <c r="AF23" s="840"/>
      <c r="AG23" s="499"/>
      <c r="AI23" s="840"/>
      <c r="AJ23" s="499"/>
      <c r="AK23" s="200"/>
      <c r="AL23" s="840"/>
      <c r="AM23" s="499"/>
      <c r="AP23" s="855" t="s">
        <v>2</v>
      </c>
      <c r="AQ23" s="499" t="s">
        <v>2</v>
      </c>
    </row>
    <row r="24" spans="2:69" ht="14" thickTop="1" x14ac:dyDescent="0.15">
      <c r="B24" s="190">
        <f>' Total des coûts de MO'!B15</f>
        <v>6130</v>
      </c>
      <c r="C24" s="392" t="str">
        <f>' Total des coûts de MO'!C11</f>
        <v>Salaires</v>
      </c>
      <c r="D24" s="190"/>
      <c r="E24" s="841">
        <v>4498</v>
      </c>
      <c r="F24" s="461">
        <f>E24/'État des Résultats'!E14</f>
        <v>0.1232553891121666</v>
      </c>
      <c r="H24" s="841">
        <f>+E24</f>
        <v>4498</v>
      </c>
      <c r="I24" s="461">
        <f>H24/'État des Résultats'!H14</f>
        <v>0.12716242799759697</v>
      </c>
      <c r="K24" s="841">
        <f>+H24</f>
        <v>4498</v>
      </c>
      <c r="L24" s="461">
        <f>K24/'État des Résultats'!K14</f>
        <v>0.11411537119842705</v>
      </c>
      <c r="N24" s="841">
        <f>+K24</f>
        <v>4498</v>
      </c>
      <c r="O24" s="461">
        <f>N24/'État des Résultats'!N14</f>
        <v>0.11279897181906523</v>
      </c>
      <c r="Q24" s="841">
        <f>+N24</f>
        <v>4498</v>
      </c>
      <c r="R24" s="461">
        <f>Q24/'État des Résultats'!Q14</f>
        <v>0.10476708074534161</v>
      </c>
      <c r="T24" s="841">
        <f>+Q24</f>
        <v>4498</v>
      </c>
      <c r="U24" s="461">
        <f>T24/'État des Résultats'!T14</f>
        <v>0.10194537830997619</v>
      </c>
      <c r="W24" s="841">
        <f>+T24</f>
        <v>4498</v>
      </c>
      <c r="X24" s="461">
        <f>W24/'État des Résultats'!W14</f>
        <v>9.833574727406881E-2</v>
      </c>
      <c r="Z24" s="841">
        <f>+W24</f>
        <v>4498</v>
      </c>
      <c r="AA24" s="461">
        <f>Z24/'État des Résultats'!Z14</f>
        <v>9.7054698457223004E-2</v>
      </c>
      <c r="AC24" s="841">
        <f>+Z24</f>
        <v>4498</v>
      </c>
      <c r="AD24" s="461">
        <f>AC24/'État des Résultats'!AC14</f>
        <v>0.10614123060586396</v>
      </c>
      <c r="AF24" s="841">
        <f>+AC24</f>
        <v>4498</v>
      </c>
      <c r="AG24" s="461">
        <f>AF24/'État des Résultats'!AF14</f>
        <v>0.10604530540875065</v>
      </c>
      <c r="AI24" s="841">
        <f>+AF24</f>
        <v>4498</v>
      </c>
      <c r="AJ24" s="461">
        <f>AI24/'État des Résultats'!AI14</f>
        <v>0.11408763289721206</v>
      </c>
      <c r="AK24" s="200"/>
      <c r="AL24" s="841">
        <f>+AI24</f>
        <v>4498</v>
      </c>
      <c r="AM24" s="461">
        <f>AL24/'État des Résultats'!AL14</f>
        <v>0.1026589067670889</v>
      </c>
      <c r="AP24" s="830">
        <f>SUM(+$AL24+$AI24+$AF24+$AC24+$Z24+$W24+$T24+$Q24+$N24+$K24+$H24+$E24)</f>
        <v>53976</v>
      </c>
      <c r="AQ24" s="458">
        <f>AP24/'État des Résultats'!AP14</f>
        <v>0.10831304347826087</v>
      </c>
    </row>
    <row r="25" spans="2:69" x14ac:dyDescent="0.15">
      <c r="B25" s="190">
        <f>B19</f>
        <v>6205</v>
      </c>
      <c r="C25" s="161" t="str">
        <f>' Total des coûts de MO'!C27</f>
        <v>Bénéfices gouvernementaux</v>
      </c>
      <c r="D25" s="190"/>
      <c r="E25" s="843">
        <f>E24*$H$75</f>
        <v>44.980000000000004</v>
      </c>
      <c r="F25" s="394">
        <f>E25/'État des Résultats'!E14</f>
        <v>1.232553891121666E-3</v>
      </c>
      <c r="H25" s="843">
        <f>H24*$H$75</f>
        <v>44.980000000000004</v>
      </c>
      <c r="I25" s="394">
        <f>H25/'État des Résultats'!H14</f>
        <v>1.2716242799759698E-3</v>
      </c>
      <c r="K25" s="843">
        <f>K24*$H$75</f>
        <v>44.980000000000004</v>
      </c>
      <c r="L25" s="394">
        <f>K25/'État des Résultats'!K14</f>
        <v>1.1411537119842706E-3</v>
      </c>
      <c r="N25" s="843">
        <f>N24*$H$75</f>
        <v>44.980000000000004</v>
      </c>
      <c r="O25" s="394">
        <f>N25/'État des Résultats'!N14</f>
        <v>1.1279897181906524E-3</v>
      </c>
      <c r="Q25" s="843">
        <f>Q24*$H$75</f>
        <v>44.980000000000004</v>
      </c>
      <c r="R25" s="394">
        <f>Q25/'État des Résultats'!Q14</f>
        <v>1.0476708074534161E-3</v>
      </c>
      <c r="T25" s="843">
        <f>T24*$H$75</f>
        <v>44.980000000000004</v>
      </c>
      <c r="U25" s="394">
        <f>T25/'État des Résultats'!T14</f>
        <v>1.0194537830997619E-3</v>
      </c>
      <c r="W25" s="843">
        <f>W24*$H$75</f>
        <v>44.980000000000004</v>
      </c>
      <c r="X25" s="394">
        <f>W25/'État des Résultats'!W14</f>
        <v>9.833574727406882E-4</v>
      </c>
      <c r="Z25" s="843">
        <f>Z24*$H$75</f>
        <v>44.980000000000004</v>
      </c>
      <c r="AA25" s="394">
        <f>Z25/'État des Résultats'!Z14</f>
        <v>9.7054698457223014E-4</v>
      </c>
      <c r="AC25" s="843">
        <f>AC24*$H$75</f>
        <v>44.980000000000004</v>
      </c>
      <c r="AD25" s="394">
        <f>AC25/'État des Résultats'!AC14</f>
        <v>1.0614123060586397E-3</v>
      </c>
      <c r="AF25" s="843">
        <f>AF24*$H$75</f>
        <v>44.980000000000004</v>
      </c>
      <c r="AG25" s="394">
        <f>AF25/'État des Résultats'!AF14</f>
        <v>1.0604530540875067E-3</v>
      </c>
      <c r="AI25" s="843">
        <f>AI24*$H$75</f>
        <v>44.980000000000004</v>
      </c>
      <c r="AJ25" s="394">
        <f>AI25/'État des Résultats'!AI14</f>
        <v>1.1408763289721207E-3</v>
      </c>
      <c r="AK25" s="200"/>
      <c r="AL25" s="843">
        <f>AL24*$H$75</f>
        <v>44.980000000000004</v>
      </c>
      <c r="AM25" s="394">
        <f>AL25/'État des Résultats'!AL14</f>
        <v>1.0265890676708891E-3</v>
      </c>
      <c r="AP25" s="830">
        <f>SUM(+$AL25+$AI25+$AF25+$AC25+$Z25+$W25+$T25+$Q25+$N25+$K25+$H25+$E25)</f>
        <v>539.7600000000001</v>
      </c>
      <c r="AQ25" s="458">
        <f>AP25/'État des Résultats'!AP14</f>
        <v>1.0831304347826089E-3</v>
      </c>
    </row>
    <row r="26" spans="2:69" ht="14" thickBot="1" x14ac:dyDescent="0.2">
      <c r="B26" s="190">
        <f>B14</f>
        <v>6245</v>
      </c>
      <c r="C26" s="392" t="str">
        <f>' Total des coûts de MO'!C31</f>
        <v>CSST et CNT</v>
      </c>
      <c r="D26" s="190"/>
      <c r="E26" s="843">
        <f>(E24)*$F$72</f>
        <v>44.980000000000004</v>
      </c>
      <c r="F26" s="394">
        <f>E26/'État des Résultats'!E14</f>
        <v>1.232553891121666E-3</v>
      </c>
      <c r="H26" s="843">
        <f>(H24)*$F$72</f>
        <v>44.980000000000004</v>
      </c>
      <c r="I26" s="394">
        <f>H26/'État des Résultats'!H14</f>
        <v>1.2716242799759698E-3</v>
      </c>
      <c r="K26" s="843">
        <f>(K24)*$F$72</f>
        <v>44.980000000000004</v>
      </c>
      <c r="L26" s="394">
        <f>K26/'État des Résultats'!K14</f>
        <v>1.1411537119842706E-3</v>
      </c>
      <c r="N26" s="843">
        <f>(N24)*$F$72</f>
        <v>44.980000000000004</v>
      </c>
      <c r="O26" s="394">
        <f>N26/'État des Résultats'!N14</f>
        <v>1.1279897181906524E-3</v>
      </c>
      <c r="Q26" s="843">
        <f>(Q24)*$F$72</f>
        <v>44.980000000000004</v>
      </c>
      <c r="R26" s="394">
        <f>Q26/'État des Résultats'!Q14</f>
        <v>1.0476708074534161E-3</v>
      </c>
      <c r="T26" s="843">
        <f>(T24)*$F$72</f>
        <v>44.980000000000004</v>
      </c>
      <c r="U26" s="394">
        <f>T26/'État des Résultats'!T14</f>
        <v>1.0194537830997619E-3</v>
      </c>
      <c r="W26" s="843">
        <f>(W24)*$F$72</f>
        <v>44.980000000000004</v>
      </c>
      <c r="X26" s="394">
        <f>W26/'État des Résultats'!W14</f>
        <v>9.833574727406882E-4</v>
      </c>
      <c r="Z26" s="843">
        <f>(Z24)*$F$72</f>
        <v>44.980000000000004</v>
      </c>
      <c r="AA26" s="394">
        <f>Z26/'État des Résultats'!Z14</f>
        <v>9.7054698457223014E-4</v>
      </c>
      <c r="AC26" s="843">
        <f>(AC24)*$F$72</f>
        <v>44.980000000000004</v>
      </c>
      <c r="AD26" s="394">
        <f>AC26/'État des Résultats'!AC14</f>
        <v>1.0614123060586397E-3</v>
      </c>
      <c r="AF26" s="843">
        <f>(AF24)*$F$72</f>
        <v>44.980000000000004</v>
      </c>
      <c r="AG26" s="394">
        <f>AF26/'État des Résultats'!AF14</f>
        <v>1.0604530540875067E-3</v>
      </c>
      <c r="AI26" s="843">
        <f>(AI24)*$F$72</f>
        <v>44.980000000000004</v>
      </c>
      <c r="AJ26" s="394">
        <f>AI26/'État des Résultats'!AI14</f>
        <v>1.1408763289721207E-3</v>
      </c>
      <c r="AK26" s="200"/>
      <c r="AL26" s="843">
        <f>(AL24)*$F$72</f>
        <v>44.980000000000004</v>
      </c>
      <c r="AM26" s="394">
        <f>AL26/'État des Résultats'!AL14</f>
        <v>1.0265890676708891E-3</v>
      </c>
      <c r="AP26" s="830">
        <f>SUM(+$AL26+$AI26+$AF26+$AC26+$Z26+$W26+$T26+$Q26+$N26+$K26+$H26+$E26)</f>
        <v>539.7600000000001</v>
      </c>
      <c r="AQ26" s="458">
        <f>AP26/'État des Résultats'!AP14</f>
        <v>1.0831304347826089E-3</v>
      </c>
    </row>
    <row r="27" spans="2:69" ht="15" thickTop="1" thickBot="1" x14ac:dyDescent="0.2">
      <c r="B27" s="470"/>
      <c r="C27" s="471" t="s">
        <v>219</v>
      </c>
      <c r="D27" s="397"/>
      <c r="E27" s="844">
        <f>SUM(E24:E26)</f>
        <v>4587.9599999999991</v>
      </c>
      <c r="F27" s="400">
        <f>SUM(F24:F26)</f>
        <v>0.12572049689440992</v>
      </c>
      <c r="G27" s="402"/>
      <c r="H27" s="844">
        <f>SUM(H24:H26)</f>
        <v>4587.9599999999991</v>
      </c>
      <c r="I27" s="400">
        <f>SUM(I24:I26)</f>
        <v>0.12970567655754889</v>
      </c>
      <c r="J27" s="402"/>
      <c r="K27" s="844">
        <f>SUM(K24:K26)</f>
        <v>4587.9599999999991</v>
      </c>
      <c r="L27" s="400">
        <f>SUM(L24:L26)</f>
        <v>0.11639767862239558</v>
      </c>
      <c r="M27" s="402"/>
      <c r="N27" s="844">
        <f>SUM(N24:N26)</f>
        <v>4587.9599999999991</v>
      </c>
      <c r="O27" s="400">
        <f>SUM(O24:O26)</f>
        <v>0.11505495125544654</v>
      </c>
      <c r="P27" s="402"/>
      <c r="Q27" s="844">
        <f>SUM(Q24:Q26)</f>
        <v>4587.9599999999991</v>
      </c>
      <c r="R27" s="400">
        <f>SUM(R24:R26)</f>
        <v>0.10686242236024843</v>
      </c>
      <c r="S27" s="402"/>
      <c r="T27" s="844">
        <f>SUM(T24:T26)</f>
        <v>4587.9599999999991</v>
      </c>
      <c r="U27" s="400">
        <f>SUM(U24:U26)</f>
        <v>0.1039842858761757</v>
      </c>
      <c r="V27" s="402"/>
      <c r="W27" s="844">
        <f>SUM(W24:W26)</f>
        <v>4587.9599999999991</v>
      </c>
      <c r="X27" s="400">
        <f>SUM(X24:X26)</f>
        <v>0.10030246221955018</v>
      </c>
      <c r="Y27" s="213"/>
      <c r="Z27" s="844">
        <f>SUM(Z24:Z26)</f>
        <v>4587.9599999999991</v>
      </c>
      <c r="AA27" s="400">
        <f>SUM(AA24:AA26)</f>
        <v>9.8995792426367468E-2</v>
      </c>
      <c r="AB27" s="402"/>
      <c r="AC27" s="844">
        <f>SUM(AC24:AC26)</f>
        <v>4587.9599999999991</v>
      </c>
      <c r="AD27" s="400">
        <f>SUM(AD24:AD26)</f>
        <v>0.10826405521798123</v>
      </c>
      <c r="AE27" s="402"/>
      <c r="AF27" s="844">
        <f>SUM(AF24:AF26)</f>
        <v>4587.9599999999991</v>
      </c>
      <c r="AG27" s="400">
        <f>SUM(AG24:AG26)</f>
        <v>0.10816621151692565</v>
      </c>
      <c r="AH27" s="402"/>
      <c r="AI27" s="844">
        <f>SUM(AI24:AI26)</f>
        <v>4587.9599999999991</v>
      </c>
      <c r="AJ27" s="400">
        <f>SUM(AJ24:AJ26)</f>
        <v>0.11636938555515632</v>
      </c>
      <c r="AK27" s="403"/>
      <c r="AL27" s="844">
        <f>SUM(AL24:AL26)</f>
        <v>4587.9599999999991</v>
      </c>
      <c r="AM27" s="400">
        <f>SUM(AM24:AM26)</f>
        <v>0.10471208490243068</v>
      </c>
      <c r="AN27" s="402"/>
      <c r="AO27" s="402"/>
      <c r="AP27" s="857">
        <f>+SUM(AP24:AP26)</f>
        <v>55055.520000000004</v>
      </c>
      <c r="AQ27" s="404">
        <f>+SUM(AQ24:AQ26)</f>
        <v>0.1104793043478261</v>
      </c>
      <c r="AR27" s="405"/>
      <c r="AS27" s="405"/>
      <c r="AT27" s="405"/>
      <c r="AU27" s="251"/>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475"/>
      <c r="C28" s="475"/>
      <c r="D28" s="475"/>
      <c r="E28" s="845"/>
      <c r="F28" s="483"/>
      <c r="G28" s="475"/>
      <c r="H28" s="845"/>
      <c r="I28" s="483"/>
      <c r="J28" s="475"/>
      <c r="K28" s="845"/>
      <c r="L28" s="483"/>
      <c r="M28" s="475"/>
      <c r="N28" s="845"/>
      <c r="O28" s="483"/>
      <c r="P28" s="475"/>
      <c r="Q28" s="845"/>
      <c r="R28" s="483"/>
      <c r="S28" s="475"/>
      <c r="T28" s="845"/>
      <c r="U28" s="483"/>
      <c r="V28" s="475"/>
      <c r="W28" s="845"/>
      <c r="X28" s="483"/>
      <c r="Y28" s="475"/>
      <c r="Z28" s="845"/>
      <c r="AA28" s="483"/>
      <c r="AB28" s="475"/>
      <c r="AC28" s="845"/>
      <c r="AD28" s="483"/>
      <c r="AE28" s="475"/>
      <c r="AF28" s="845"/>
      <c r="AG28" s="483"/>
      <c r="AH28" s="475"/>
      <c r="AI28" s="845"/>
      <c r="AJ28" s="483"/>
      <c r="AK28" s="475"/>
      <c r="AL28" s="845"/>
      <c r="AM28" s="483"/>
      <c r="AN28" s="475"/>
      <c r="AO28" s="475"/>
      <c r="AP28" s="832"/>
      <c r="AQ28" s="484"/>
    </row>
    <row r="29" spans="2:69" ht="15" thickTop="1" thickBot="1" x14ac:dyDescent="0.2">
      <c r="B29" s="505"/>
      <c r="C29" s="498" t="str">
        <f>' Total des coûts de MO'!C16</f>
        <v>Salaire "Approvisionnement"</v>
      </c>
      <c r="D29" s="190"/>
      <c r="E29" s="840"/>
      <c r="F29" s="499"/>
      <c r="H29" s="840"/>
      <c r="I29" s="499"/>
      <c r="K29" s="840"/>
      <c r="L29" s="499"/>
      <c r="N29" s="840"/>
      <c r="O29" s="499"/>
      <c r="Q29" s="840"/>
      <c r="R29" s="499"/>
      <c r="T29" s="840"/>
      <c r="U29" s="499"/>
      <c r="W29" s="840"/>
      <c r="X29" s="499"/>
      <c r="Z29" s="840"/>
      <c r="AA29" s="499"/>
      <c r="AC29" s="840"/>
      <c r="AD29" s="499"/>
      <c r="AF29" s="840"/>
      <c r="AG29" s="499"/>
      <c r="AI29" s="840"/>
      <c r="AJ29" s="499"/>
      <c r="AK29" s="200"/>
      <c r="AL29" s="840"/>
      <c r="AM29" s="499"/>
      <c r="AP29" s="855" t="s">
        <v>2</v>
      </c>
      <c r="AQ29" s="499" t="s">
        <v>2</v>
      </c>
    </row>
    <row r="30" spans="2:69" ht="14" thickTop="1" x14ac:dyDescent="0.15">
      <c r="B30" s="190">
        <f>' Total des coûts de MO'!B16</f>
        <v>6140</v>
      </c>
      <c r="C30" s="392" t="str">
        <f>' Total des coûts de MO'!C11</f>
        <v>Salaires</v>
      </c>
      <c r="D30" s="190"/>
      <c r="E30" s="841">
        <v>1</v>
      </c>
      <c r="F30" s="461">
        <f>E30/'État des Résultats'!E14</f>
        <v>2.7402265253927655E-5</v>
      </c>
      <c r="H30" s="841">
        <f>+E30</f>
        <v>1</v>
      </c>
      <c r="I30" s="461">
        <f>H30/'État des Résultats'!H14</f>
        <v>2.8270882169319025E-5</v>
      </c>
      <c r="K30" s="841">
        <f>+H30</f>
        <v>1</v>
      </c>
      <c r="L30" s="461">
        <f>K30/'État des Résultats'!K14</f>
        <v>2.537024704278058E-5</v>
      </c>
      <c r="N30" s="841">
        <f>+K30</f>
        <v>1</v>
      </c>
      <c r="O30" s="461">
        <f>N30/'État des Résultats'!N14</f>
        <v>2.5077583774803299E-5</v>
      </c>
      <c r="Q30" s="841">
        <f>+N30</f>
        <v>1</v>
      </c>
      <c r="R30" s="461">
        <f>Q30/'État des Résultats'!Q14</f>
        <v>2.3291925465838507E-5</v>
      </c>
      <c r="T30" s="841">
        <f>+Q30</f>
        <v>1</v>
      </c>
      <c r="U30" s="461">
        <f>T30/'État des Résultats'!T14</f>
        <v>2.2664601669625653E-5</v>
      </c>
      <c r="W30" s="841">
        <f>+T30</f>
        <v>1</v>
      </c>
      <c r="X30" s="461">
        <f>W30/'État des Résultats'!W14</f>
        <v>2.1862104774137129E-5</v>
      </c>
      <c r="Z30" s="841">
        <f>+W30</f>
        <v>1</v>
      </c>
      <c r="AA30" s="461">
        <f>Z30/'État des Résultats'!Z14</f>
        <v>2.1577300679684971E-5</v>
      </c>
      <c r="AC30" s="841">
        <f>+Z30</f>
        <v>1</v>
      </c>
      <c r="AD30" s="461">
        <f>AC30/'État des Résultats'!AC14</f>
        <v>2.359742788036104E-5</v>
      </c>
      <c r="AF30" s="841">
        <f>+AC30</f>
        <v>1</v>
      </c>
      <c r="AG30" s="461">
        <f>AF30/'État des Résultats'!AF14</f>
        <v>2.3576101691585294E-5</v>
      </c>
      <c r="AI30" s="841">
        <f>+AF30</f>
        <v>1</v>
      </c>
      <c r="AJ30" s="461">
        <f>AI30/'État des Résultats'!AI14</f>
        <v>2.5364080235040474E-5</v>
      </c>
      <c r="AK30" s="200"/>
      <c r="AL30" s="841">
        <f>+AI30</f>
        <v>1</v>
      </c>
      <c r="AM30" s="461">
        <f>AL30/'État des Résultats'!AL14</f>
        <v>2.2823234052265207E-5</v>
      </c>
      <c r="AP30" s="830">
        <f>SUM(+$AL30+$AI30+$AF30+$AC30+$Z30+$W30+$T30+$Q30+$N30+$K30+$H30+$E30)</f>
        <v>12</v>
      </c>
      <c r="AQ30" s="458">
        <f>AP30/'État des Résultats'!AP14</f>
        <v>2.408026755852843E-5</v>
      </c>
    </row>
    <row r="31" spans="2:69" x14ac:dyDescent="0.15">
      <c r="B31" s="190">
        <f>+B25</f>
        <v>6205</v>
      </c>
      <c r="C31" s="392" t="str">
        <f>' Total des coûts de MO'!C27</f>
        <v>Bénéfices gouvernementaux</v>
      </c>
      <c r="D31" s="190"/>
      <c r="E31" s="837">
        <f>+E30*$H$76</f>
        <v>0.01</v>
      </c>
      <c r="F31" s="394">
        <f>E31/'État des Résultats'!E14</f>
        <v>2.7402265253927655E-7</v>
      </c>
      <c r="H31" s="837">
        <f>+H30*$H$76</f>
        <v>0.01</v>
      </c>
      <c r="I31" s="394">
        <f>H31/'État des Résultats'!H14</f>
        <v>2.8270882169319025E-7</v>
      </c>
      <c r="K31" s="837">
        <f>+K30*$H$76</f>
        <v>0.01</v>
      </c>
      <c r="L31" s="394">
        <f>K31/'État des Résultats'!K14</f>
        <v>2.5370247042780581E-7</v>
      </c>
      <c r="N31" s="837">
        <f>+N30*$H$76</f>
        <v>0.01</v>
      </c>
      <c r="O31" s="394">
        <f>N31/'État des Résultats'!N14</f>
        <v>2.5077583774803297E-7</v>
      </c>
      <c r="Q31" s="837">
        <f>+Q30*$H$76</f>
        <v>0.01</v>
      </c>
      <c r="R31" s="394">
        <f>Q31/'État des Résultats'!Q14</f>
        <v>2.329192546583851E-7</v>
      </c>
      <c r="T31" s="837">
        <f>+T30*$H$76</f>
        <v>0.01</v>
      </c>
      <c r="U31" s="394">
        <f>T31/'État des Résultats'!T14</f>
        <v>2.2664601669625654E-7</v>
      </c>
      <c r="W31" s="837">
        <f>+W30*$H$76</f>
        <v>0.01</v>
      </c>
      <c r="X31" s="394">
        <f>W31/'État des Résultats'!W14</f>
        <v>2.186210477413713E-7</v>
      </c>
      <c r="Z31" s="837">
        <f>+Z30*$H$76</f>
        <v>0.01</v>
      </c>
      <c r="AA31" s="394">
        <f>Z31/'État des Résultats'!Z14</f>
        <v>2.1577300679684972E-7</v>
      </c>
      <c r="AC31" s="837">
        <f>+AC30*$H$76</f>
        <v>0.01</v>
      </c>
      <c r="AD31" s="394">
        <f>AC31/'État des Résultats'!AC14</f>
        <v>2.3597427880361041E-7</v>
      </c>
      <c r="AF31" s="837">
        <f>+AF30*$H$76</f>
        <v>0.01</v>
      </c>
      <c r="AG31" s="394">
        <f>AF31/'État des Résultats'!AF14</f>
        <v>2.3576101691585297E-7</v>
      </c>
      <c r="AI31" s="837">
        <f>+AI30*$H$76</f>
        <v>0.01</v>
      </c>
      <c r="AJ31" s="394">
        <f>AI31/'État des Résultats'!AI14</f>
        <v>2.5364080235040476E-7</v>
      </c>
      <c r="AK31" s="200"/>
      <c r="AL31" s="837">
        <f>+AL30*$H$76</f>
        <v>0.01</v>
      </c>
      <c r="AM31" s="394">
        <f>AL31/'État des Résultats'!AL14</f>
        <v>2.2823234052265206E-7</v>
      </c>
      <c r="AP31" s="830">
        <f>SUM(+$AL31+$AI31+$AF31+$AC31+$Z31+$W31+$T31+$Q31+$N31+$K31+$H31+$E31)</f>
        <v>0.11999999999999998</v>
      </c>
      <c r="AQ31" s="458">
        <f>AP31/'État des Résultats'!AP14</f>
        <v>2.4080267558528426E-7</v>
      </c>
    </row>
    <row r="32" spans="2:69" ht="14" thickBot="1" x14ac:dyDescent="0.2">
      <c r="B32" s="190">
        <f>B20</f>
        <v>6245</v>
      </c>
      <c r="C32" s="392" t="str">
        <f>' Total des coûts de MO'!C31</f>
        <v>CSST et CNT</v>
      </c>
      <c r="D32" s="190"/>
      <c r="E32" s="837">
        <f>(E30)*$F$72</f>
        <v>0.01</v>
      </c>
      <c r="F32" s="394">
        <f>E32/'État des Résultats'!E14</f>
        <v>2.7402265253927655E-7</v>
      </c>
      <c r="H32" s="837">
        <f>(H30)*$F$72</f>
        <v>0.01</v>
      </c>
      <c r="I32" s="394">
        <f>H32/'État des Résultats'!H14</f>
        <v>2.8270882169319025E-7</v>
      </c>
      <c r="K32" s="837">
        <f>(K30)*$F$72</f>
        <v>0.01</v>
      </c>
      <c r="L32" s="394">
        <f>K32/'État des Résultats'!K14</f>
        <v>2.5370247042780581E-7</v>
      </c>
      <c r="N32" s="837">
        <f>(N30)*$F$72</f>
        <v>0.01</v>
      </c>
      <c r="O32" s="394">
        <f>N32/'État des Résultats'!N14</f>
        <v>2.5077583774803297E-7</v>
      </c>
      <c r="Q32" s="837">
        <f>(Q30)*$F$72</f>
        <v>0.01</v>
      </c>
      <c r="R32" s="394">
        <f>Q32/'État des Résultats'!Q14</f>
        <v>2.329192546583851E-7</v>
      </c>
      <c r="T32" s="837">
        <f>(T30)*$F$72</f>
        <v>0.01</v>
      </c>
      <c r="U32" s="394">
        <f>T32/'État des Résultats'!T14</f>
        <v>2.2664601669625654E-7</v>
      </c>
      <c r="W32" s="837">
        <f>(W30)*$F$72</f>
        <v>0.01</v>
      </c>
      <c r="X32" s="394">
        <f>W32/'État des Résultats'!W14</f>
        <v>2.186210477413713E-7</v>
      </c>
      <c r="Z32" s="837">
        <f>(Z30)*$F$72</f>
        <v>0.01</v>
      </c>
      <c r="AA32" s="394">
        <f>Z32/'État des Résultats'!Z14</f>
        <v>2.1577300679684972E-7</v>
      </c>
      <c r="AC32" s="837">
        <f>(AC30)*$F$72</f>
        <v>0.01</v>
      </c>
      <c r="AD32" s="394">
        <f>AC32/'État des Résultats'!AC14</f>
        <v>2.3597427880361041E-7</v>
      </c>
      <c r="AF32" s="837">
        <f>(AF30)*$F$72</f>
        <v>0.01</v>
      </c>
      <c r="AG32" s="394">
        <f>AF32/'État des Résultats'!AF14</f>
        <v>2.3576101691585297E-7</v>
      </c>
      <c r="AI32" s="837">
        <f>(AI30)*$F$72</f>
        <v>0.01</v>
      </c>
      <c r="AJ32" s="394">
        <f>AI32/'État des Résultats'!AI14</f>
        <v>2.5364080235040476E-7</v>
      </c>
      <c r="AK32" s="200"/>
      <c r="AL32" s="837">
        <f>(AL30)*$F$72</f>
        <v>0.01</v>
      </c>
      <c r="AM32" s="394">
        <f>AL32/'État des Résultats'!AL14</f>
        <v>2.2823234052265206E-7</v>
      </c>
      <c r="AP32" s="830">
        <f>SUM(+$AL32+$AI32+$AF32+$AC32+$Z32+$W32+$T32+$Q32+$N32+$K32+$H32+$E32)</f>
        <v>0.11999999999999998</v>
      </c>
      <c r="AQ32" s="458">
        <f>AP32/'État des Résultats'!AP14</f>
        <v>2.4080267558528426E-7</v>
      </c>
    </row>
    <row r="33" spans="2:52" ht="15" thickTop="1" thickBot="1" x14ac:dyDescent="0.2">
      <c r="B33" s="470"/>
      <c r="C33" s="472" t="s">
        <v>220</v>
      </c>
      <c r="D33" s="397"/>
      <c r="E33" s="842">
        <f>SUM(E30:E32)</f>
        <v>1.02</v>
      </c>
      <c r="F33" s="400">
        <f>+SUM(F30:F32)</f>
        <v>2.7950310559006207E-5</v>
      </c>
      <c r="G33" s="213"/>
      <c r="H33" s="842">
        <f>SUM(H30:H32)</f>
        <v>1.02</v>
      </c>
      <c r="I33" s="400">
        <f>+SUM(I30:I32)</f>
        <v>2.8836299812705403E-5</v>
      </c>
      <c r="J33" s="213"/>
      <c r="K33" s="842">
        <f>SUM(K30:K32)</f>
        <v>1.02</v>
      </c>
      <c r="L33" s="400">
        <f>+SUM(L30:L32)</f>
        <v>2.5877651983636194E-5</v>
      </c>
      <c r="M33" s="213"/>
      <c r="N33" s="842">
        <f>SUM(N30:N32)</f>
        <v>1.02</v>
      </c>
      <c r="O33" s="400">
        <f>+SUM(O30:O32)</f>
        <v>2.5579135450299364E-5</v>
      </c>
      <c r="P33" s="213"/>
      <c r="Q33" s="842">
        <f>SUM(Q30:Q32)</f>
        <v>1.02</v>
      </c>
      <c r="R33" s="400">
        <f>+SUM(R30:R32)</f>
        <v>2.375776397515528E-5</v>
      </c>
      <c r="S33" s="213"/>
      <c r="T33" s="842">
        <f>SUM(T30:T32)</f>
        <v>1.02</v>
      </c>
      <c r="U33" s="400">
        <f>+SUM(U30:U32)</f>
        <v>2.3117893703018168E-5</v>
      </c>
      <c r="V33" s="213"/>
      <c r="W33" s="842">
        <f>SUM(W30:W32)</f>
        <v>1.02</v>
      </c>
      <c r="X33" s="400">
        <f>+SUM(X30:X32)</f>
        <v>2.2299346869619871E-5</v>
      </c>
      <c r="Y33" s="213"/>
      <c r="Z33" s="842">
        <f>SUM(Z30:Z32)</f>
        <v>1.02</v>
      </c>
      <c r="AA33" s="400">
        <f>+SUM(AA30:AA32)</f>
        <v>2.2008846693278667E-5</v>
      </c>
      <c r="AB33" s="213"/>
      <c r="AC33" s="842">
        <f>SUM(AC30:AC32)</f>
        <v>1.02</v>
      </c>
      <c r="AD33" s="400">
        <f>+SUM(AD30:AD32)</f>
        <v>2.406937643796826E-5</v>
      </c>
      <c r="AE33" s="213"/>
      <c r="AF33" s="842">
        <f>SUM(AF30:AF32)</f>
        <v>1.02</v>
      </c>
      <c r="AG33" s="400">
        <f>+SUM(AG30:AG32)</f>
        <v>2.4047623725417E-5</v>
      </c>
      <c r="AH33" s="213"/>
      <c r="AI33" s="842">
        <f>SUM(AI30:AI32)</f>
        <v>1.02</v>
      </c>
      <c r="AJ33" s="400">
        <f>+SUM(AJ30:AJ32)</f>
        <v>2.5871361839741282E-5</v>
      </c>
      <c r="AK33" s="399"/>
      <c r="AL33" s="842">
        <f>SUM(AL30:AL32)</f>
        <v>1.02</v>
      </c>
      <c r="AM33" s="400">
        <f>+SUM(AM30:AM32)</f>
        <v>2.3279698733310508E-5</v>
      </c>
      <c r="AN33" s="213"/>
      <c r="AO33" s="213"/>
      <c r="AP33" s="858">
        <f>SUM(+$AL33+$AI33+$AF33+$AC33+$Z33+$W33+$T33+$Q33+$N33+$K33+$H33+$E33)</f>
        <v>12.239999999999997</v>
      </c>
      <c r="AQ33" s="400">
        <f>AP33/'État des Résultats'!AP14</f>
        <v>2.4561872909698992E-5</v>
      </c>
      <c r="AR33" s="251"/>
      <c r="AS33" s="251"/>
    </row>
    <row r="34" spans="2:52" ht="15" thickTop="1" thickBot="1" x14ac:dyDescent="0.2">
      <c r="B34" s="475"/>
      <c r="C34" s="475"/>
      <c r="D34" s="475"/>
      <c r="E34" s="846"/>
      <c r="F34" s="483"/>
      <c r="G34" s="475"/>
      <c r="H34" s="846"/>
      <c r="I34" s="483"/>
      <c r="J34" s="475"/>
      <c r="K34" s="846"/>
      <c r="L34" s="483"/>
      <c r="M34" s="475"/>
      <c r="N34" s="846"/>
      <c r="O34" s="483"/>
      <c r="P34" s="475"/>
      <c r="Q34" s="846"/>
      <c r="R34" s="483"/>
      <c r="S34" s="475"/>
      <c r="T34" s="846"/>
      <c r="U34" s="483"/>
      <c r="V34" s="475"/>
      <c r="W34" s="846"/>
      <c r="X34" s="483"/>
      <c r="Y34" s="475"/>
      <c r="Z34" s="846"/>
      <c r="AA34" s="483"/>
      <c r="AB34" s="475"/>
      <c r="AC34" s="846"/>
      <c r="AD34" s="483"/>
      <c r="AE34" s="475"/>
      <c r="AF34" s="846"/>
      <c r="AG34" s="483"/>
      <c r="AH34" s="475"/>
      <c r="AI34" s="846"/>
      <c r="AJ34" s="483"/>
      <c r="AK34" s="475"/>
      <c r="AL34" s="846"/>
      <c r="AM34" s="483"/>
      <c r="AN34" s="475"/>
      <c r="AO34" s="475"/>
      <c r="AP34" s="832"/>
      <c r="AQ34" s="484"/>
    </row>
    <row r="35" spans="2:52" ht="15" thickTop="1" thickBot="1" x14ac:dyDescent="0.2">
      <c r="B35" s="506"/>
      <c r="C35" s="498" t="str">
        <f>' Total des coûts de MO'!C17</f>
        <v>Salaire "Finance &amp; Comptabilité"</v>
      </c>
      <c r="D35" s="190"/>
      <c r="E35" s="840"/>
      <c r="F35" s="499"/>
      <c r="H35" s="840"/>
      <c r="I35" s="499"/>
      <c r="K35" s="840"/>
      <c r="L35" s="499"/>
      <c r="N35" s="840"/>
      <c r="O35" s="499"/>
      <c r="Q35" s="840"/>
      <c r="R35" s="499"/>
      <c r="T35" s="840"/>
      <c r="U35" s="499"/>
      <c r="W35" s="840"/>
      <c r="X35" s="499"/>
      <c r="Z35" s="840"/>
      <c r="AA35" s="499"/>
      <c r="AC35" s="840"/>
      <c r="AD35" s="499"/>
      <c r="AF35" s="840"/>
      <c r="AG35" s="499"/>
      <c r="AI35" s="840"/>
      <c r="AJ35" s="499"/>
      <c r="AK35" s="200"/>
      <c r="AL35" s="840"/>
      <c r="AM35" s="499"/>
      <c r="AP35" s="855"/>
      <c r="AQ35" s="499"/>
    </row>
    <row r="36" spans="2:52" ht="14" thickTop="1" x14ac:dyDescent="0.15">
      <c r="B36" s="190">
        <f>' Total des coûts de MO'!B17</f>
        <v>6150</v>
      </c>
      <c r="C36" s="392" t="str">
        <f>' Total des coûts de MO'!C11</f>
        <v>Salaires</v>
      </c>
      <c r="D36" s="190">
        <v>0</v>
      </c>
      <c r="E36" s="841">
        <v>1</v>
      </c>
      <c r="F36" s="462">
        <f>E36/'État des Résultats'!E14</f>
        <v>2.7402265253927655E-5</v>
      </c>
      <c r="H36" s="841">
        <f>+E36</f>
        <v>1</v>
      </c>
      <c r="I36" s="462">
        <f>H36/'État des Résultats'!H14</f>
        <v>2.8270882169319025E-5</v>
      </c>
      <c r="K36" s="841">
        <f>+H36</f>
        <v>1</v>
      </c>
      <c r="L36" s="462">
        <f>K36/'État des Résultats'!K14</f>
        <v>2.537024704278058E-5</v>
      </c>
      <c r="N36" s="841">
        <f>+K36</f>
        <v>1</v>
      </c>
      <c r="O36" s="462">
        <f>N36/'État des Résultats'!N14</f>
        <v>2.5077583774803299E-5</v>
      </c>
      <c r="Q36" s="841">
        <f>+N36</f>
        <v>1</v>
      </c>
      <c r="R36" s="462">
        <f>Q36/'État des Résultats'!Q14</f>
        <v>2.3291925465838507E-5</v>
      </c>
      <c r="T36" s="841">
        <f>+Q36</f>
        <v>1</v>
      </c>
      <c r="U36" s="462">
        <f>T36/'État des Résultats'!T14</f>
        <v>2.2664601669625653E-5</v>
      </c>
      <c r="W36" s="841">
        <f>+T36</f>
        <v>1</v>
      </c>
      <c r="X36" s="462">
        <f>W36/'État des Résultats'!W14</f>
        <v>2.1862104774137129E-5</v>
      </c>
      <c r="Z36" s="841">
        <f>+W36</f>
        <v>1</v>
      </c>
      <c r="AA36" s="462">
        <f>Z36/'État des Résultats'!Z14</f>
        <v>2.1577300679684971E-5</v>
      </c>
      <c r="AC36" s="841">
        <f>+Z36</f>
        <v>1</v>
      </c>
      <c r="AD36" s="462">
        <f>AC36/'État des Résultats'!AC14</f>
        <v>2.359742788036104E-5</v>
      </c>
      <c r="AF36" s="841">
        <f>+AC36</f>
        <v>1</v>
      </c>
      <c r="AG36" s="462">
        <f>AF36/'État des Résultats'!AF14</f>
        <v>2.3576101691585294E-5</v>
      </c>
      <c r="AI36" s="841">
        <f>+AF36</f>
        <v>1</v>
      </c>
      <c r="AJ36" s="462">
        <f>AI36/'État des Résultats'!AI14</f>
        <v>2.5364080235040474E-5</v>
      </c>
      <c r="AK36" s="200"/>
      <c r="AL36" s="841">
        <f>+AI36</f>
        <v>1</v>
      </c>
      <c r="AM36" s="462">
        <f>AL36/'État des Résultats'!AL14</f>
        <v>2.2823234052265207E-5</v>
      </c>
      <c r="AP36" s="830">
        <f>SUM(+$AL36+$AI36+$AF36+$AC36+$Z36+$W36+$T36+$Q36+$N36+$K36+$H36+$E36)</f>
        <v>12</v>
      </c>
      <c r="AQ36" s="458">
        <f>AP36/'État des Résultats'!AP14</f>
        <v>2.408026755852843E-5</v>
      </c>
    </row>
    <row r="37" spans="2:52" x14ac:dyDescent="0.15">
      <c r="B37" s="190">
        <f>+B31</f>
        <v>6205</v>
      </c>
      <c r="C37" s="392" t="str">
        <f>' Total des coûts de MO'!C27</f>
        <v>Bénéfices gouvernementaux</v>
      </c>
      <c r="D37" s="190"/>
      <c r="E37" s="837">
        <f>+E36*$H$76</f>
        <v>0.01</v>
      </c>
      <c r="F37" s="406">
        <f>E37/'État des Résultats'!E14</f>
        <v>2.7402265253927655E-7</v>
      </c>
      <c r="H37" s="837">
        <f>+H36*$H$76</f>
        <v>0.01</v>
      </c>
      <c r="I37" s="406">
        <f>H37/'État des Résultats'!H14</f>
        <v>2.8270882169319025E-7</v>
      </c>
      <c r="K37" s="837">
        <f>+K36*$H$76</f>
        <v>0.01</v>
      </c>
      <c r="L37" s="406">
        <f>K37/'État des Résultats'!K14</f>
        <v>2.5370247042780581E-7</v>
      </c>
      <c r="N37" s="837">
        <f>+N36*$H$76</f>
        <v>0.01</v>
      </c>
      <c r="O37" s="406">
        <f>N37/'État des Résultats'!N14</f>
        <v>2.5077583774803297E-7</v>
      </c>
      <c r="Q37" s="837">
        <f>+Q36*$H$76</f>
        <v>0.01</v>
      </c>
      <c r="R37" s="406">
        <f>Q37/'État des Résultats'!Q14</f>
        <v>2.329192546583851E-7</v>
      </c>
      <c r="T37" s="837">
        <f>+T36*$H$76</f>
        <v>0.01</v>
      </c>
      <c r="U37" s="406">
        <f>T37/'État des Résultats'!T14</f>
        <v>2.2664601669625654E-7</v>
      </c>
      <c r="W37" s="837">
        <f>+W36*$H$76</f>
        <v>0.01</v>
      </c>
      <c r="X37" s="406">
        <f>W37/'État des Résultats'!W14</f>
        <v>2.186210477413713E-7</v>
      </c>
      <c r="Z37" s="837">
        <f>+Z36*$H$76</f>
        <v>0.01</v>
      </c>
      <c r="AA37" s="406">
        <f>Z37/'État des Résultats'!Z14</f>
        <v>2.1577300679684972E-7</v>
      </c>
      <c r="AC37" s="837">
        <f>+AC36*$H$76</f>
        <v>0.01</v>
      </c>
      <c r="AD37" s="406">
        <f>AC37/'État des Résultats'!AC14</f>
        <v>2.3597427880361041E-7</v>
      </c>
      <c r="AF37" s="837">
        <f>+AF36*$H$76</f>
        <v>0.01</v>
      </c>
      <c r="AG37" s="406">
        <f>AF37/'État des Résultats'!AF14</f>
        <v>2.3576101691585297E-7</v>
      </c>
      <c r="AI37" s="837">
        <f>+AI36*$H$76</f>
        <v>0.01</v>
      </c>
      <c r="AJ37" s="406">
        <f>AI37/'État des Résultats'!AI14</f>
        <v>2.5364080235040476E-7</v>
      </c>
      <c r="AK37" s="200"/>
      <c r="AL37" s="837">
        <f>+AL36*$H$76</f>
        <v>0.01</v>
      </c>
      <c r="AM37" s="406">
        <f>AL37/'État des Résultats'!AL14</f>
        <v>2.2823234052265206E-7</v>
      </c>
      <c r="AP37" s="830">
        <f>SUM(+$AL37+$AI37+$AF37+$AC37+$Z37+$W37+$T37+$Q37+$N37+$K37+$H37+$E37)</f>
        <v>0.11999999999999998</v>
      </c>
      <c r="AQ37" s="458">
        <f>AP37/'État des Résultats'!AP14</f>
        <v>2.4080267558528426E-7</v>
      </c>
    </row>
    <row r="38" spans="2:52" ht="14" thickBot="1" x14ac:dyDescent="0.2">
      <c r="B38" s="190">
        <f>B32</f>
        <v>6245</v>
      </c>
      <c r="C38" s="392" t="str">
        <f>' Total des coûts de MO'!C31</f>
        <v>CSST et CNT</v>
      </c>
      <c r="D38" s="407"/>
      <c r="E38" s="837">
        <f>(E36)*$F$72</f>
        <v>0.01</v>
      </c>
      <c r="F38" s="408">
        <f>E38/'État des Résultats'!E14</f>
        <v>2.7402265253927655E-7</v>
      </c>
      <c r="G38" s="409"/>
      <c r="H38" s="837">
        <f>(H36)*$F$72</f>
        <v>0.01</v>
      </c>
      <c r="I38" s="408">
        <f>H38/'État des Résultats'!H14</f>
        <v>2.8270882169319025E-7</v>
      </c>
      <c r="J38" s="409"/>
      <c r="K38" s="837">
        <f>(K36)*$F$72</f>
        <v>0.01</v>
      </c>
      <c r="L38" s="408">
        <f>K38/'État des Résultats'!K14</f>
        <v>2.5370247042780581E-7</v>
      </c>
      <c r="M38" s="315"/>
      <c r="N38" s="837">
        <f>(N36)*$F$72</f>
        <v>0.01</v>
      </c>
      <c r="O38" s="408">
        <f>N38/'État des Résultats'!N14</f>
        <v>2.5077583774803297E-7</v>
      </c>
      <c r="P38" s="409"/>
      <c r="Q38" s="837">
        <f>(Q36)*$F$72</f>
        <v>0.01</v>
      </c>
      <c r="R38" s="408">
        <f>Q38/'État des Résultats'!Q14</f>
        <v>2.329192546583851E-7</v>
      </c>
      <c r="S38" s="409"/>
      <c r="T38" s="837">
        <f>(T36)*$F$72</f>
        <v>0.01</v>
      </c>
      <c r="U38" s="408">
        <f>T38/'État des Résultats'!T14</f>
        <v>2.2664601669625654E-7</v>
      </c>
      <c r="V38" s="409"/>
      <c r="W38" s="837">
        <f>(W36)*$F$72</f>
        <v>0.01</v>
      </c>
      <c r="X38" s="408">
        <f>W38/'État des Résultats'!W14</f>
        <v>2.186210477413713E-7</v>
      </c>
      <c r="Y38" s="409"/>
      <c r="Z38" s="837">
        <f>(Z36)*$F$72</f>
        <v>0.01</v>
      </c>
      <c r="AA38" s="408">
        <f>Z38/'État des Résultats'!Z14</f>
        <v>2.1577300679684972E-7</v>
      </c>
      <c r="AB38" s="409"/>
      <c r="AC38" s="837">
        <f>(AC36)*$F$72</f>
        <v>0.01</v>
      </c>
      <c r="AD38" s="408">
        <f>AC38/'État des Résultats'!AC14</f>
        <v>2.3597427880361041E-7</v>
      </c>
      <c r="AE38" s="409"/>
      <c r="AF38" s="837">
        <f>(AF36)*$F$72</f>
        <v>0.01</v>
      </c>
      <c r="AG38" s="408">
        <f>AF38/'État des Résultats'!AF14</f>
        <v>2.3576101691585297E-7</v>
      </c>
      <c r="AH38" s="409"/>
      <c r="AI38" s="837">
        <f>(AI36)*$F$72</f>
        <v>0.01</v>
      </c>
      <c r="AJ38" s="408">
        <f>AI38/'État des Résultats'!AI14</f>
        <v>2.5364080235040476E-7</v>
      </c>
      <c r="AK38" s="410"/>
      <c r="AL38" s="837">
        <f>(AL36)*$F$72</f>
        <v>0.01</v>
      </c>
      <c r="AM38" s="408">
        <f>AL38/'État des Résultats'!AL14</f>
        <v>2.2823234052265206E-7</v>
      </c>
      <c r="AN38" s="409"/>
      <c r="AO38" s="409"/>
      <c r="AP38" s="830">
        <f>SUM(+$AL38+$AI38+$AF38+$AC38+$Z38+$W38+$T38+$Q38+$N38+$K38+$H38+$E38)</f>
        <v>0.11999999999999998</v>
      </c>
      <c r="AQ38" s="458">
        <f>AP38/'État des Résultats'!AP14</f>
        <v>2.4080267558528426E-7</v>
      </c>
    </row>
    <row r="39" spans="2:52" ht="15" thickTop="1" thickBot="1" x14ac:dyDescent="0.2">
      <c r="B39" s="470"/>
      <c r="C39" s="471" t="s">
        <v>221</v>
      </c>
      <c r="D39" s="397"/>
      <c r="E39" s="842">
        <f>SUM(E36:E38)</f>
        <v>1.02</v>
      </c>
      <c r="F39" s="411">
        <f>SUM(F36:F38)</f>
        <v>2.7950310559006207E-5</v>
      </c>
      <c r="G39" s="213"/>
      <c r="H39" s="842">
        <f>SUM(H36:H38)</f>
        <v>1.02</v>
      </c>
      <c r="I39" s="411">
        <f>SUM(I36:I38)</f>
        <v>2.8836299812705403E-5</v>
      </c>
      <c r="J39" s="213"/>
      <c r="K39" s="842">
        <f>SUM(K36:K38)</f>
        <v>1.02</v>
      </c>
      <c r="L39" s="411">
        <f>SUM(L36:L38)</f>
        <v>2.5877651983636194E-5</v>
      </c>
      <c r="M39" s="213"/>
      <c r="N39" s="842">
        <f>SUM(N36:N38)</f>
        <v>1.02</v>
      </c>
      <c r="O39" s="411">
        <f>SUM(O36:O38)</f>
        <v>2.5579135450299364E-5</v>
      </c>
      <c r="P39" s="213"/>
      <c r="Q39" s="842">
        <f>SUM(Q36:Q38)</f>
        <v>1.02</v>
      </c>
      <c r="R39" s="411">
        <f>SUM(R36:R38)</f>
        <v>2.375776397515528E-5</v>
      </c>
      <c r="S39" s="213"/>
      <c r="T39" s="842">
        <f>SUM(T36:T38)</f>
        <v>1.02</v>
      </c>
      <c r="U39" s="411">
        <f>SUM(U36:U38)</f>
        <v>2.3117893703018168E-5</v>
      </c>
      <c r="V39" s="213"/>
      <c r="W39" s="842">
        <f>SUM(W36:W38)</f>
        <v>1.02</v>
      </c>
      <c r="X39" s="411">
        <f>SUM(X36:X38)</f>
        <v>2.2299346869619871E-5</v>
      </c>
      <c r="Y39" s="213"/>
      <c r="Z39" s="842">
        <f>SUM(Z36:Z38)</f>
        <v>1.02</v>
      </c>
      <c r="AA39" s="411">
        <f>SUM(AA36:AA38)</f>
        <v>2.2008846693278667E-5</v>
      </c>
      <c r="AB39" s="213"/>
      <c r="AC39" s="842">
        <f>SUM(AC36:AC38)</f>
        <v>1.02</v>
      </c>
      <c r="AD39" s="411">
        <f>SUM(AD36:AD38)</f>
        <v>2.406937643796826E-5</v>
      </c>
      <c r="AE39" s="213"/>
      <c r="AF39" s="842">
        <f>SUM(AF36:AF38)</f>
        <v>1.02</v>
      </c>
      <c r="AG39" s="411">
        <f>SUM(AG36:AG38)</f>
        <v>2.4047623725417E-5</v>
      </c>
      <c r="AH39" s="213"/>
      <c r="AI39" s="842">
        <f>SUM(AI36:AI38)</f>
        <v>1.02</v>
      </c>
      <c r="AJ39" s="411">
        <f>SUM(AJ36:AJ38)</f>
        <v>2.5871361839741282E-5</v>
      </c>
      <c r="AK39" s="399"/>
      <c r="AL39" s="842">
        <f>SUM(AL36:AL38)</f>
        <v>1.02</v>
      </c>
      <c r="AM39" s="411">
        <f>SUM(AM36:AM38)</f>
        <v>2.3279698733310508E-5</v>
      </c>
      <c r="AN39" s="213"/>
      <c r="AO39" s="213"/>
      <c r="AP39" s="858">
        <f>SUM(+$AL39+$AI39+$AF39+$AC39+$Z39+$W39+$T39+$Q39+$N39+$K39+$H39+$E39)</f>
        <v>12.239999999999997</v>
      </c>
      <c r="AQ39" s="411">
        <f>AP39/'État des Résultats'!AP14</f>
        <v>2.4561872909698992E-5</v>
      </c>
      <c r="AR39" s="251"/>
    </row>
    <row r="40" spans="2:52" ht="15" thickTop="1" thickBot="1" x14ac:dyDescent="0.2">
      <c r="B40" s="475"/>
      <c r="C40" s="475"/>
      <c r="D40" s="475"/>
      <c r="E40" s="847"/>
      <c r="F40" s="485"/>
      <c r="G40" s="475"/>
      <c r="H40" s="847"/>
      <c r="I40" s="485"/>
      <c r="J40" s="475"/>
      <c r="K40" s="847"/>
      <c r="L40" s="485"/>
      <c r="M40" s="475"/>
      <c r="N40" s="847"/>
      <c r="O40" s="485"/>
      <c r="P40" s="475"/>
      <c r="Q40" s="847"/>
      <c r="R40" s="485"/>
      <c r="S40" s="475"/>
      <c r="T40" s="847"/>
      <c r="U40" s="485"/>
      <c r="V40" s="475"/>
      <c r="W40" s="847"/>
      <c r="X40" s="485"/>
      <c r="Y40" s="475"/>
      <c r="Z40" s="847"/>
      <c r="AA40" s="485"/>
      <c r="AB40" s="475"/>
      <c r="AC40" s="847"/>
      <c r="AD40" s="485"/>
      <c r="AE40" s="475"/>
      <c r="AF40" s="847"/>
      <c r="AG40" s="485"/>
      <c r="AH40" s="475"/>
      <c r="AI40" s="847"/>
      <c r="AJ40" s="485"/>
      <c r="AK40" s="475"/>
      <c r="AL40" s="847"/>
      <c r="AM40" s="485"/>
      <c r="AN40" s="475"/>
      <c r="AO40" s="475"/>
      <c r="AP40" s="832"/>
      <c r="AQ40" s="486"/>
    </row>
    <row r="41" spans="2:52" ht="15" thickTop="1" thickBot="1" x14ac:dyDescent="0.2">
      <c r="B41" s="507"/>
      <c r="C41" s="508" t="str">
        <f>' Total des coûts de MO'!C18</f>
        <v>Salaire "Marketing &amp; Communication"</v>
      </c>
      <c r="D41" s="190"/>
      <c r="E41" s="840"/>
      <c r="F41" s="504"/>
      <c r="H41" s="840"/>
      <c r="I41" s="504"/>
      <c r="K41" s="840"/>
      <c r="L41" s="504"/>
      <c r="N41" s="840"/>
      <c r="O41" s="504"/>
      <c r="Q41" s="840"/>
      <c r="R41" s="504"/>
      <c r="T41" s="840"/>
      <c r="U41" s="504"/>
      <c r="W41" s="840"/>
      <c r="X41" s="504"/>
      <c r="Z41" s="840"/>
      <c r="AA41" s="504"/>
      <c r="AC41" s="840"/>
      <c r="AD41" s="504"/>
      <c r="AF41" s="840"/>
      <c r="AG41" s="504"/>
      <c r="AI41" s="840"/>
      <c r="AJ41" s="504"/>
      <c r="AK41" s="200"/>
      <c r="AL41" s="840"/>
      <c r="AM41" s="504"/>
      <c r="AP41" s="855"/>
      <c r="AQ41" s="504"/>
    </row>
    <row r="42" spans="2:52" x14ac:dyDescent="0.15">
      <c r="B42" s="190">
        <f>' Total des coûts de MO'!B18</f>
        <v>6160</v>
      </c>
      <c r="C42" s="392" t="str">
        <f>' Total des coûts de MO'!C11</f>
        <v>Salaires</v>
      </c>
      <c r="D42" s="190"/>
      <c r="E42" s="841">
        <v>1</v>
      </c>
      <c r="F42" s="461">
        <f>E42/'État des Résultats'!E14</f>
        <v>2.7402265253927655E-5</v>
      </c>
      <c r="H42" s="841">
        <f>+E42</f>
        <v>1</v>
      </c>
      <c r="I42" s="461">
        <f>H42/'État des Résultats'!H14</f>
        <v>2.8270882169319025E-5</v>
      </c>
      <c r="K42" s="841">
        <f>+H42</f>
        <v>1</v>
      </c>
      <c r="L42" s="461">
        <f>K42/'État des Résultats'!K14</f>
        <v>2.537024704278058E-5</v>
      </c>
      <c r="N42" s="841">
        <f>+K42</f>
        <v>1</v>
      </c>
      <c r="O42" s="461">
        <f>N42/'État des Résultats'!N14</f>
        <v>2.5077583774803299E-5</v>
      </c>
      <c r="Q42" s="841">
        <f>+N42</f>
        <v>1</v>
      </c>
      <c r="R42" s="461">
        <f>Q42/'État des Résultats'!Q14</f>
        <v>2.3291925465838507E-5</v>
      </c>
      <c r="T42" s="841">
        <f>+Q42</f>
        <v>1</v>
      </c>
      <c r="U42" s="461">
        <f>T42/'État des Résultats'!T14</f>
        <v>2.2664601669625653E-5</v>
      </c>
      <c r="W42" s="841">
        <f>+T42</f>
        <v>1</v>
      </c>
      <c r="X42" s="461">
        <f>W42/'État des Résultats'!W14</f>
        <v>2.1862104774137129E-5</v>
      </c>
      <c r="Z42" s="841">
        <f>+W42</f>
        <v>1</v>
      </c>
      <c r="AA42" s="461">
        <f>Z42/'État des Résultats'!Z14</f>
        <v>2.1577300679684971E-5</v>
      </c>
      <c r="AC42" s="841">
        <f>+Z42</f>
        <v>1</v>
      </c>
      <c r="AD42" s="461">
        <f>AC42/'État des Résultats'!AC14</f>
        <v>2.359742788036104E-5</v>
      </c>
      <c r="AF42" s="841">
        <f>+AC42</f>
        <v>1</v>
      </c>
      <c r="AG42" s="461">
        <f>AF42/'État des Résultats'!AF14</f>
        <v>2.3576101691585294E-5</v>
      </c>
      <c r="AI42" s="841">
        <f>+AF42</f>
        <v>1</v>
      </c>
      <c r="AJ42" s="461">
        <f>AI42/'État des Résultats'!AI14</f>
        <v>2.5364080235040474E-5</v>
      </c>
      <c r="AK42" s="200"/>
      <c r="AL42" s="841">
        <f>+AI42</f>
        <v>1</v>
      </c>
      <c r="AM42" s="461">
        <f>AL42/'État des Résultats'!AL14</f>
        <v>2.2823234052265207E-5</v>
      </c>
      <c r="AP42" s="830">
        <f>SUM(+$AL42+$AI42+$AF42+$AC42+$Z42+$W42+$T42+$Q42+$N42+$K42+$H42+$E42)</f>
        <v>12</v>
      </c>
      <c r="AQ42" s="458">
        <f>AP42/'État des Résultats'!AP14</f>
        <v>2.408026755852843E-5</v>
      </c>
    </row>
    <row r="43" spans="2:52" x14ac:dyDescent="0.15">
      <c r="B43" s="190">
        <f>+B37</f>
        <v>6205</v>
      </c>
      <c r="C43" s="392" t="str">
        <f>' Total des coûts de MO'!C27</f>
        <v>Bénéfices gouvernementaux</v>
      </c>
      <c r="D43" s="190"/>
      <c r="E43" s="837">
        <f>+E42*$H$76</f>
        <v>0.01</v>
      </c>
      <c r="F43" s="413">
        <f>E43/'État des Résultats'!E14</f>
        <v>2.7402265253927655E-7</v>
      </c>
      <c r="H43" s="837">
        <f>+H42*$H$76</f>
        <v>0.01</v>
      </c>
      <c r="I43" s="413">
        <f>H43/'État des Résultats'!H14</f>
        <v>2.8270882169319025E-7</v>
      </c>
      <c r="K43" s="837">
        <f>+K42*$H$76</f>
        <v>0.01</v>
      </c>
      <c r="L43" s="413">
        <f>K43/'État des Résultats'!K14</f>
        <v>2.5370247042780581E-7</v>
      </c>
      <c r="N43" s="837">
        <f>+N42*$H$76</f>
        <v>0.01</v>
      </c>
      <c r="O43" s="413">
        <f>N43/'État des Résultats'!N14</f>
        <v>2.5077583774803297E-7</v>
      </c>
      <c r="Q43" s="837">
        <f>+Q42*$H$76</f>
        <v>0.01</v>
      </c>
      <c r="R43" s="413">
        <f>Q43/'État des Résultats'!Q14</f>
        <v>2.329192546583851E-7</v>
      </c>
      <c r="T43" s="837">
        <f>+T42*$H$76</f>
        <v>0.01</v>
      </c>
      <c r="U43" s="413">
        <f>T43/'État des Résultats'!T14</f>
        <v>2.2664601669625654E-7</v>
      </c>
      <c r="W43" s="837">
        <f>+W42*$H$76</f>
        <v>0.01</v>
      </c>
      <c r="X43" s="413">
        <f>W43/'État des Résultats'!W14</f>
        <v>2.186210477413713E-7</v>
      </c>
      <c r="Z43" s="837">
        <f>+Z42*$H$76</f>
        <v>0.01</v>
      </c>
      <c r="AA43" s="413">
        <f>Z43/'État des Résultats'!Z14</f>
        <v>2.1577300679684972E-7</v>
      </c>
      <c r="AC43" s="837">
        <f>+AC42*$H$76</f>
        <v>0.01</v>
      </c>
      <c r="AD43" s="413">
        <f>AC43/'État des Résultats'!AC14</f>
        <v>2.3597427880361041E-7</v>
      </c>
      <c r="AF43" s="837">
        <f>+AF42*$H$76</f>
        <v>0.01</v>
      </c>
      <c r="AG43" s="413">
        <f>AF43/'État des Résultats'!AF14</f>
        <v>2.3576101691585297E-7</v>
      </c>
      <c r="AI43" s="837">
        <f>+AI42*$H$76</f>
        <v>0.01</v>
      </c>
      <c r="AJ43" s="413">
        <f>AI43/'État des Résultats'!AI14</f>
        <v>2.5364080235040476E-7</v>
      </c>
      <c r="AK43" s="200"/>
      <c r="AL43" s="837">
        <f>+AL42*$H$76</f>
        <v>0.01</v>
      </c>
      <c r="AM43" s="413">
        <f>AL43/'État des Résultats'!AL14</f>
        <v>2.2823234052265206E-7</v>
      </c>
      <c r="AP43" s="830">
        <f>SUM(+$AL43+$AI43+$AF43+$AC43+$Z43+$W43+$T43+$Q43+$N43+$K43+$H43+$E43)</f>
        <v>0.11999999999999998</v>
      </c>
      <c r="AQ43" s="458">
        <f>AP43/'État des Résultats'!AP14</f>
        <v>2.4080267558528426E-7</v>
      </c>
      <c r="AY43" s="622" t="s">
        <v>2</v>
      </c>
      <c r="AZ43" s="623" t="s">
        <v>2</v>
      </c>
    </row>
    <row r="44" spans="2:52" x14ac:dyDescent="0.15">
      <c r="B44" s="190">
        <f>B38</f>
        <v>6245</v>
      </c>
      <c r="C44" s="392" t="str">
        <f>' Total des coûts de MO'!C31</f>
        <v>CSST et CNT</v>
      </c>
      <c r="D44" s="190"/>
      <c r="E44" s="837">
        <f>(E42)*$F$72</f>
        <v>0.01</v>
      </c>
      <c r="F44" s="413">
        <f>E44/'État des Résultats'!E14</f>
        <v>2.7402265253927655E-7</v>
      </c>
      <c r="H44" s="837">
        <f>(H42)*$F$72</f>
        <v>0.01</v>
      </c>
      <c r="I44" s="413">
        <f>H44/'État des Résultats'!H14</f>
        <v>2.8270882169319025E-7</v>
      </c>
      <c r="K44" s="837">
        <f>(K42)*$F$72</f>
        <v>0.01</v>
      </c>
      <c r="L44" s="413">
        <f>K44/'État des Résultats'!K14</f>
        <v>2.5370247042780581E-7</v>
      </c>
      <c r="N44" s="837">
        <f>(N42)*$F$72</f>
        <v>0.01</v>
      </c>
      <c r="O44" s="413">
        <f>N44/'État des Résultats'!N14</f>
        <v>2.5077583774803297E-7</v>
      </c>
      <c r="Q44" s="837">
        <f>(Q42)*$F$72</f>
        <v>0.01</v>
      </c>
      <c r="R44" s="413">
        <f>Q44/'État des Résultats'!Q14</f>
        <v>2.329192546583851E-7</v>
      </c>
      <c r="T44" s="837">
        <f>(T42)*$F$72</f>
        <v>0.01</v>
      </c>
      <c r="U44" s="413">
        <f>T44/'État des Résultats'!T14</f>
        <v>2.2664601669625654E-7</v>
      </c>
      <c r="W44" s="837">
        <f>(W42)*$F$72</f>
        <v>0.01</v>
      </c>
      <c r="X44" s="413">
        <f>W44/'État des Résultats'!W14</f>
        <v>2.186210477413713E-7</v>
      </c>
      <c r="Z44" s="837">
        <f>(Z42)*$F$72</f>
        <v>0.01</v>
      </c>
      <c r="AA44" s="413">
        <f>Z44/'État des Résultats'!Z14</f>
        <v>2.1577300679684972E-7</v>
      </c>
      <c r="AC44" s="837">
        <f>(AC42)*$F$72</f>
        <v>0.01</v>
      </c>
      <c r="AD44" s="413">
        <f>AC44/'État des Résultats'!AC14</f>
        <v>2.3597427880361041E-7</v>
      </c>
      <c r="AF44" s="837">
        <f>(AF42)*$F$72</f>
        <v>0.01</v>
      </c>
      <c r="AG44" s="413">
        <f>AF44/'État des Résultats'!AF14</f>
        <v>2.3576101691585297E-7</v>
      </c>
      <c r="AI44" s="837">
        <f>(AI42)*$F$72</f>
        <v>0.01</v>
      </c>
      <c r="AJ44" s="413">
        <f>AI44/'État des Résultats'!AI14</f>
        <v>2.5364080235040476E-7</v>
      </c>
      <c r="AK44" s="200"/>
      <c r="AL44" s="837">
        <f>(AL42)*$F$72</f>
        <v>0.01</v>
      </c>
      <c r="AM44" s="413">
        <f>AL44/'État des Résultats'!AL14</f>
        <v>2.2823234052265206E-7</v>
      </c>
      <c r="AP44" s="830">
        <f>SUM(+$AL44+$AI44+$AF44+$AC44+$Z44+$W44+$T44+$Q44+$N44+$K44+$H44+$E44)</f>
        <v>0.11999999999999998</v>
      </c>
      <c r="AQ44" s="458">
        <f>AP44/'État des Résultats'!AP14</f>
        <v>2.4080267558528426E-7</v>
      </c>
    </row>
    <row r="45" spans="2:52" ht="14" thickBot="1" x14ac:dyDescent="0.2">
      <c r="B45" s="395"/>
      <c r="C45" s="396" t="s">
        <v>222</v>
      </c>
      <c r="D45" s="397"/>
      <c r="E45" s="842">
        <f>SUM(E42:E44)</f>
        <v>1.02</v>
      </c>
      <c r="F45" s="400">
        <f>SUM(F42:F44)</f>
        <v>2.7950310559006207E-5</v>
      </c>
      <c r="G45" s="213"/>
      <c r="H45" s="842">
        <f>SUM(H42:H44)</f>
        <v>1.02</v>
      </c>
      <c r="I45" s="400">
        <f>SUM(I42:I44)</f>
        <v>2.8836299812705403E-5</v>
      </c>
      <c r="J45" s="213"/>
      <c r="K45" s="842">
        <f>SUM(K42:K44)</f>
        <v>1.02</v>
      </c>
      <c r="L45" s="400">
        <f>SUM(L42:L44)</f>
        <v>2.5877651983636194E-5</v>
      </c>
      <c r="M45" s="213"/>
      <c r="N45" s="842">
        <f>SUM(N42:N44)</f>
        <v>1.02</v>
      </c>
      <c r="O45" s="400">
        <f>SUM(O42:O44)</f>
        <v>2.5579135450299364E-5</v>
      </c>
      <c r="P45" s="213"/>
      <c r="Q45" s="842">
        <f>SUM(Q42:Q44)</f>
        <v>1.02</v>
      </c>
      <c r="R45" s="400">
        <f>SUM(R42:R44)</f>
        <v>2.375776397515528E-5</v>
      </c>
      <c r="S45" s="213"/>
      <c r="T45" s="842">
        <f>SUM(T42:T44)</f>
        <v>1.02</v>
      </c>
      <c r="U45" s="400">
        <f>SUM(U42:U44)</f>
        <v>2.3117893703018168E-5</v>
      </c>
      <c r="V45" s="213"/>
      <c r="W45" s="842">
        <f>SUM(W42:W44)</f>
        <v>1.02</v>
      </c>
      <c r="X45" s="400">
        <f>SUM(X42:X44)</f>
        <v>2.2299346869619871E-5</v>
      </c>
      <c r="Y45" s="213"/>
      <c r="Z45" s="842">
        <f>SUM(Z42:Z44)</f>
        <v>1.02</v>
      </c>
      <c r="AA45" s="400">
        <f>SUM(AA42:AA44)</f>
        <v>2.2008846693278667E-5</v>
      </c>
      <c r="AB45" s="213"/>
      <c r="AC45" s="842">
        <f>SUM(AC42:AC44)</f>
        <v>1.02</v>
      </c>
      <c r="AD45" s="400">
        <f>SUM(AD42:AD44)</f>
        <v>2.406937643796826E-5</v>
      </c>
      <c r="AE45" s="213"/>
      <c r="AF45" s="842">
        <f>SUM(AF42:AF44)</f>
        <v>1.02</v>
      </c>
      <c r="AG45" s="400">
        <f>SUM(AG42:AG44)</f>
        <v>2.4047623725417E-5</v>
      </c>
      <c r="AH45" s="213"/>
      <c r="AI45" s="842">
        <f>SUM(AI42:AI44)</f>
        <v>1.02</v>
      </c>
      <c r="AJ45" s="400">
        <f>SUM(AJ42:AJ44)</f>
        <v>2.5871361839741282E-5</v>
      </c>
      <c r="AK45" s="399"/>
      <c r="AL45" s="842">
        <f>SUM(AL42:AL44)</f>
        <v>1.02</v>
      </c>
      <c r="AM45" s="400">
        <f>SUM(AM42:AM44)</f>
        <v>2.3279698733310508E-5</v>
      </c>
      <c r="AN45" s="213"/>
      <c r="AO45" s="213"/>
      <c r="AP45" s="858">
        <f>SUM(+$AL45+$AI45+$AF45+$AC45+$Z45+$W45+$T45+$Q45+$N45+$K45+$H45+$E45)</f>
        <v>12.239999999999997</v>
      </c>
      <c r="AQ45" s="411">
        <f>AP45/'État des Résultats'!AP14</f>
        <v>2.4561872909698992E-5</v>
      </c>
      <c r="AR45" s="251"/>
      <c r="AS45" s="251"/>
      <c r="AT45" s="251"/>
    </row>
    <row r="46" spans="2:52" ht="14" thickBot="1" x14ac:dyDescent="0.2">
      <c r="B46" s="475"/>
      <c r="C46" s="475"/>
      <c r="D46" s="475"/>
      <c r="E46" s="847"/>
      <c r="F46" s="487"/>
      <c r="G46" s="475"/>
      <c r="H46" s="847"/>
      <c r="I46" s="487"/>
      <c r="J46" s="475"/>
      <c r="K46" s="847"/>
      <c r="L46" s="487"/>
      <c r="M46" s="475"/>
      <c r="N46" s="847"/>
      <c r="O46" s="487"/>
      <c r="P46" s="475"/>
      <c r="Q46" s="847"/>
      <c r="R46" s="487"/>
      <c r="S46" s="475"/>
      <c r="T46" s="847"/>
      <c r="U46" s="487"/>
      <c r="V46" s="475"/>
      <c r="W46" s="847"/>
      <c r="X46" s="487"/>
      <c r="Y46" s="475"/>
      <c r="Z46" s="847"/>
      <c r="AA46" s="487"/>
      <c r="AB46" s="475"/>
      <c r="AC46" s="847"/>
      <c r="AD46" s="487"/>
      <c r="AE46" s="475"/>
      <c r="AF46" s="847"/>
      <c r="AG46" s="487"/>
      <c r="AH46" s="475"/>
      <c r="AI46" s="847"/>
      <c r="AJ46" s="487"/>
      <c r="AK46" s="475"/>
      <c r="AL46" s="847"/>
      <c r="AM46" s="487"/>
      <c r="AN46" s="475"/>
      <c r="AO46" s="475"/>
      <c r="AP46" s="832" t="s">
        <v>2</v>
      </c>
      <c r="AQ46" s="486"/>
    </row>
    <row r="47" spans="2:52" ht="15" thickTop="1" thickBot="1" x14ac:dyDescent="0.2">
      <c r="B47" s="506"/>
      <c r="C47" s="498" t="str">
        <f>' Total des coûts de MO'!C19</f>
        <v>Salaire "Théâtralisation"</v>
      </c>
      <c r="D47" s="190"/>
      <c r="E47" s="840"/>
      <c r="F47" s="499"/>
      <c r="H47" s="840"/>
      <c r="I47" s="499"/>
      <c r="K47" s="840"/>
      <c r="L47" s="499"/>
      <c r="N47" s="840"/>
      <c r="O47" s="499"/>
      <c r="Q47" s="840"/>
      <c r="R47" s="499"/>
      <c r="T47" s="840"/>
      <c r="U47" s="499"/>
      <c r="W47" s="840"/>
      <c r="X47" s="499"/>
      <c r="Z47" s="840"/>
      <c r="AA47" s="499"/>
      <c r="AC47" s="840"/>
      <c r="AD47" s="499"/>
      <c r="AF47" s="840"/>
      <c r="AG47" s="499"/>
      <c r="AI47" s="840"/>
      <c r="AJ47" s="499"/>
      <c r="AK47" s="200"/>
      <c r="AL47" s="840"/>
      <c r="AM47" s="499"/>
      <c r="AP47" s="855"/>
      <c r="AQ47" s="504"/>
    </row>
    <row r="48" spans="2:52" ht="14" thickTop="1" x14ac:dyDescent="0.15">
      <c r="B48" s="190">
        <f>' Total des coûts de MO'!B19</f>
        <v>6170</v>
      </c>
      <c r="C48" s="392" t="str">
        <f>' Total des coûts de MO'!C11</f>
        <v>Salaires</v>
      </c>
      <c r="D48" s="190"/>
      <c r="E48" s="841">
        <v>1</v>
      </c>
      <c r="F48" s="461">
        <f>+E48/'État des Résultats'!E14</f>
        <v>2.7402265253927655E-5</v>
      </c>
      <c r="H48" s="841">
        <f>+E48</f>
        <v>1</v>
      </c>
      <c r="I48" s="461">
        <f>+H48/'État des Résultats'!H14</f>
        <v>2.8270882169319025E-5</v>
      </c>
      <c r="K48" s="841">
        <f>+H48</f>
        <v>1</v>
      </c>
      <c r="L48" s="461">
        <f>+K48/'État des Résultats'!K14</f>
        <v>2.537024704278058E-5</v>
      </c>
      <c r="N48" s="841">
        <f>+K48</f>
        <v>1</v>
      </c>
      <c r="O48" s="461">
        <f>+N48/'État des Résultats'!N14</f>
        <v>2.5077583774803299E-5</v>
      </c>
      <c r="Q48" s="841">
        <f>+N48</f>
        <v>1</v>
      </c>
      <c r="R48" s="461">
        <f>+Q48/'État des Résultats'!Q14</f>
        <v>2.3291925465838507E-5</v>
      </c>
      <c r="T48" s="841">
        <f>+Q48</f>
        <v>1</v>
      </c>
      <c r="U48" s="461">
        <f>+T48/'État des Résultats'!T14</f>
        <v>2.2664601669625653E-5</v>
      </c>
      <c r="W48" s="841">
        <f>+T48</f>
        <v>1</v>
      </c>
      <c r="X48" s="461">
        <f>+W48/'État des Résultats'!W14</f>
        <v>2.1862104774137129E-5</v>
      </c>
      <c r="Z48" s="841">
        <f>+W48</f>
        <v>1</v>
      </c>
      <c r="AA48" s="461">
        <f>+Z48/'État des Résultats'!Z14</f>
        <v>2.1577300679684971E-5</v>
      </c>
      <c r="AC48" s="841">
        <f>+Z48</f>
        <v>1</v>
      </c>
      <c r="AD48" s="461">
        <f>+AC48/'État des Résultats'!AC14</f>
        <v>2.359742788036104E-5</v>
      </c>
      <c r="AF48" s="841">
        <f>+AC48</f>
        <v>1</v>
      </c>
      <c r="AG48" s="461">
        <f>+AF48/'État des Résultats'!AF14</f>
        <v>2.3576101691585294E-5</v>
      </c>
      <c r="AI48" s="841">
        <f>+AF48</f>
        <v>1</v>
      </c>
      <c r="AJ48" s="461">
        <f>+AI48/'État des Résultats'!AI14</f>
        <v>2.5364080235040474E-5</v>
      </c>
      <c r="AK48" s="200"/>
      <c r="AL48" s="841">
        <f>+AI48</f>
        <v>1</v>
      </c>
      <c r="AM48" s="461">
        <f>+AL48/'État des Résultats'!AL14</f>
        <v>2.2823234052265207E-5</v>
      </c>
      <c r="AP48" s="830">
        <f>SUM(+$AL48+$AI48+$AF48+$AC48+$Z48+$W48+$T48+$Q48+$N48+$K48+$H48+$E48)</f>
        <v>12</v>
      </c>
      <c r="AQ48" s="458">
        <f>AP48/'État des Résultats'!AP14</f>
        <v>2.408026755852843E-5</v>
      </c>
    </row>
    <row r="49" spans="2:53" x14ac:dyDescent="0.15">
      <c r="B49" s="190">
        <f>+B43</f>
        <v>6205</v>
      </c>
      <c r="C49" s="392" t="str">
        <f>' Total des coûts de MO'!C27</f>
        <v>Bénéfices gouvernementaux</v>
      </c>
      <c r="D49" s="190"/>
      <c r="E49" s="837">
        <f>+E48*$H$76</f>
        <v>0.01</v>
      </c>
      <c r="F49" s="413">
        <f>E49/'État des Résultats'!E14</f>
        <v>2.7402265253927655E-7</v>
      </c>
      <c r="H49" s="837">
        <f>+H48*$H$76</f>
        <v>0.01</v>
      </c>
      <c r="I49" s="413">
        <f>H49/'État des Résultats'!H14</f>
        <v>2.8270882169319025E-7</v>
      </c>
      <c r="K49" s="837">
        <f>+K48*$H$76</f>
        <v>0.01</v>
      </c>
      <c r="L49" s="413">
        <f>K49/'État des Résultats'!K14</f>
        <v>2.5370247042780581E-7</v>
      </c>
      <c r="N49" s="837">
        <f>+N48*$H$76</f>
        <v>0.01</v>
      </c>
      <c r="O49" s="413">
        <f>N49/'État des Résultats'!N14</f>
        <v>2.5077583774803297E-7</v>
      </c>
      <c r="Q49" s="837">
        <f>+Q48*$H$76</f>
        <v>0.01</v>
      </c>
      <c r="R49" s="413">
        <f>Q49/'État des Résultats'!Q14</f>
        <v>2.329192546583851E-7</v>
      </c>
      <c r="T49" s="837">
        <f>+T48*$H$76</f>
        <v>0.01</v>
      </c>
      <c r="U49" s="413">
        <f>T49/'État des Résultats'!T14</f>
        <v>2.2664601669625654E-7</v>
      </c>
      <c r="W49" s="837">
        <f>+W48*$H$76</f>
        <v>0.01</v>
      </c>
      <c r="X49" s="413">
        <f>W49/'État des Résultats'!W14</f>
        <v>2.186210477413713E-7</v>
      </c>
      <c r="Z49" s="837">
        <f>+Z48*$H$76</f>
        <v>0.01</v>
      </c>
      <c r="AA49" s="413">
        <f>Z49/'État des Résultats'!Z14</f>
        <v>2.1577300679684972E-7</v>
      </c>
      <c r="AC49" s="837">
        <f>+AC48*$H$76</f>
        <v>0.01</v>
      </c>
      <c r="AD49" s="413">
        <f>AC49/'État des Résultats'!AC14</f>
        <v>2.3597427880361041E-7</v>
      </c>
      <c r="AF49" s="837">
        <f>+AF48*$H$76</f>
        <v>0.01</v>
      </c>
      <c r="AG49" s="413">
        <f>AF49/'État des Résultats'!AF14</f>
        <v>2.3576101691585297E-7</v>
      </c>
      <c r="AI49" s="837">
        <f>+AI48*$H$76</f>
        <v>0.01</v>
      </c>
      <c r="AJ49" s="413">
        <f>AI49/'État des Résultats'!AI14</f>
        <v>2.5364080235040476E-7</v>
      </c>
      <c r="AK49" s="200"/>
      <c r="AL49" s="837">
        <f>+AL48*$H$76</f>
        <v>0.01</v>
      </c>
      <c r="AM49" s="413">
        <f>AL49/'État des Résultats'!AL14</f>
        <v>2.2823234052265206E-7</v>
      </c>
      <c r="AP49" s="830">
        <f>SUM(+$AL49+$AI49+$AF49+$AC49+$Z49+$W49+$T49+$Q49+$N49+$K49+$H49+$E49)</f>
        <v>0.11999999999999998</v>
      </c>
      <c r="AQ49" s="458">
        <f>AP49/'État des Résultats'!AP14</f>
        <v>2.4080267558528426E-7</v>
      </c>
    </row>
    <row r="50" spans="2:53" ht="14" thickBot="1" x14ac:dyDescent="0.2">
      <c r="B50" s="190">
        <f>B44</f>
        <v>6245</v>
      </c>
      <c r="C50" s="392" t="str">
        <f>' Total des coûts de MO'!C31</f>
        <v>CSST et CNT</v>
      </c>
      <c r="D50" s="190"/>
      <c r="E50" s="837">
        <f>(E48)*$F$72</f>
        <v>0.01</v>
      </c>
      <c r="F50" s="414">
        <f>E50/'État des Résultats'!E14</f>
        <v>2.7402265253927655E-7</v>
      </c>
      <c r="H50" s="837">
        <f>(H48)*$F$72</f>
        <v>0.01</v>
      </c>
      <c r="I50" s="414">
        <f>H50/'État des Résultats'!H14</f>
        <v>2.8270882169319025E-7</v>
      </c>
      <c r="K50" s="837">
        <f>(K48)*$F$72</f>
        <v>0.01</v>
      </c>
      <c r="L50" s="414">
        <f>K50/'État des Résultats'!K14</f>
        <v>2.5370247042780581E-7</v>
      </c>
      <c r="N50" s="837">
        <f>(N48)*$F$72</f>
        <v>0.01</v>
      </c>
      <c r="O50" s="414">
        <f>N50/'État des Résultats'!N14</f>
        <v>2.5077583774803297E-7</v>
      </c>
      <c r="Q50" s="837">
        <f>(Q48)*$F$72</f>
        <v>0.01</v>
      </c>
      <c r="R50" s="414">
        <f>Q50/'État des Résultats'!Q14</f>
        <v>2.329192546583851E-7</v>
      </c>
      <c r="T50" s="837">
        <f>(T48)*$F$72</f>
        <v>0.01</v>
      </c>
      <c r="U50" s="414">
        <f>T50/'État des Résultats'!T14</f>
        <v>2.2664601669625654E-7</v>
      </c>
      <c r="W50" s="837">
        <f>(W48)*$F$72</f>
        <v>0.01</v>
      </c>
      <c r="X50" s="414">
        <f>W50/'État des Résultats'!W14</f>
        <v>2.186210477413713E-7</v>
      </c>
      <c r="Z50" s="837">
        <f>(Z48)*$F$72</f>
        <v>0.01</v>
      </c>
      <c r="AA50" s="414">
        <f>Z50/'État des Résultats'!Z14</f>
        <v>2.1577300679684972E-7</v>
      </c>
      <c r="AC50" s="837">
        <f>(AC48)*$F$72</f>
        <v>0.01</v>
      </c>
      <c r="AD50" s="414">
        <f>AC50/'État des Résultats'!AC14</f>
        <v>2.3597427880361041E-7</v>
      </c>
      <c r="AF50" s="837">
        <f>(AF48)*$F$72</f>
        <v>0.01</v>
      </c>
      <c r="AG50" s="414">
        <f>AF50/'État des Résultats'!AF14</f>
        <v>2.3576101691585297E-7</v>
      </c>
      <c r="AI50" s="837">
        <f>(AI48)*$F$72</f>
        <v>0.01</v>
      </c>
      <c r="AJ50" s="414">
        <f>AI50/'État des Résultats'!AI14</f>
        <v>2.5364080235040476E-7</v>
      </c>
      <c r="AK50" s="200"/>
      <c r="AL50" s="837">
        <f>(AL48)*$F$72</f>
        <v>0.01</v>
      </c>
      <c r="AM50" s="414">
        <f>AL50/'État des Résultats'!AL14</f>
        <v>2.2823234052265206E-7</v>
      </c>
      <c r="AP50" s="859">
        <f>SUM(+$AL50+$AI50+$AF50+$AC50+$Z50+$W50+$T50+$Q50+$N50+$K50+$H50+$E50)</f>
        <v>0.11999999999999998</v>
      </c>
      <c r="AQ50" s="458">
        <f>AP50/'État des Résultats'!AP14</f>
        <v>2.4080267558528426E-7</v>
      </c>
    </row>
    <row r="51" spans="2:53" ht="15" thickTop="1" thickBot="1" x14ac:dyDescent="0.2">
      <c r="B51" s="470"/>
      <c r="C51" s="471" t="s">
        <v>223</v>
      </c>
      <c r="D51" s="397"/>
      <c r="E51" s="842">
        <f>SUM(E48:E50)</f>
        <v>1.02</v>
      </c>
      <c r="F51" s="400">
        <f>SUM(F48:F50)</f>
        <v>2.7950310559006207E-5</v>
      </c>
      <c r="G51" s="213"/>
      <c r="H51" s="842">
        <f>SUM(H48:H50)</f>
        <v>1.02</v>
      </c>
      <c r="I51" s="400">
        <f>SUM(I48:I50)</f>
        <v>2.8836299812705403E-5</v>
      </c>
      <c r="J51" s="213"/>
      <c r="K51" s="842">
        <f>SUM(K48:K50)</f>
        <v>1.02</v>
      </c>
      <c r="L51" s="400">
        <f>SUM(L48:L50)</f>
        <v>2.5877651983636194E-5</v>
      </c>
      <c r="M51" s="213"/>
      <c r="N51" s="842">
        <f>SUM(N48:N50)</f>
        <v>1.02</v>
      </c>
      <c r="O51" s="400">
        <f>SUM(O48:O50)</f>
        <v>2.5579135450299364E-5</v>
      </c>
      <c r="P51" s="213"/>
      <c r="Q51" s="842">
        <f>SUM(Q48:Q50)</f>
        <v>1.02</v>
      </c>
      <c r="R51" s="400">
        <f>SUM(R48:R50)</f>
        <v>2.375776397515528E-5</v>
      </c>
      <c r="S51" s="213"/>
      <c r="T51" s="842">
        <f>SUM(T48:T50)</f>
        <v>1.02</v>
      </c>
      <c r="U51" s="400">
        <f>SUM(U48:U50)</f>
        <v>2.3117893703018168E-5</v>
      </c>
      <c r="V51" s="213"/>
      <c r="W51" s="842">
        <f>SUM(W48:W50)</f>
        <v>1.02</v>
      </c>
      <c r="X51" s="400">
        <f>SUM(X48:X50)</f>
        <v>2.2299346869619871E-5</v>
      </c>
      <c r="Y51" s="213"/>
      <c r="Z51" s="842">
        <f>SUM(Z48:Z50)</f>
        <v>1.02</v>
      </c>
      <c r="AA51" s="400">
        <f>SUM(AA48:AA50)</f>
        <v>2.2008846693278667E-5</v>
      </c>
      <c r="AB51" s="213"/>
      <c r="AC51" s="842">
        <f>SUM(AC48:AC50)</f>
        <v>1.02</v>
      </c>
      <c r="AD51" s="400">
        <f>SUM(AD48:AD50)</f>
        <v>2.406937643796826E-5</v>
      </c>
      <c r="AE51" s="213"/>
      <c r="AF51" s="842">
        <f>SUM(AF48:AF50)</f>
        <v>1.02</v>
      </c>
      <c r="AG51" s="400">
        <f>SUM(AG48:AG50)</f>
        <v>2.4047623725417E-5</v>
      </c>
      <c r="AH51" s="213"/>
      <c r="AI51" s="842">
        <f>SUM(AI48:AI50)</f>
        <v>1.02</v>
      </c>
      <c r="AJ51" s="400">
        <f>SUM(AJ48:AJ50)</f>
        <v>2.5871361839741282E-5</v>
      </c>
      <c r="AK51" s="399"/>
      <c r="AL51" s="842">
        <f>SUM(AL48:AL50)</f>
        <v>1.02</v>
      </c>
      <c r="AM51" s="400">
        <f>SUM(AM48:AM50)</f>
        <v>2.3279698733310508E-5</v>
      </c>
      <c r="AN51" s="213"/>
      <c r="AO51" s="213"/>
      <c r="AP51" s="858">
        <f>SUM(+$AL51+$AI51+$AF51+$AC51+$Z51+$W51+$T51+$Q51+$N51+$K51+$H51+$E51)</f>
        <v>12.239999999999997</v>
      </c>
      <c r="AQ51" s="415">
        <f>AP51/'État des Résultats'!AP14</f>
        <v>2.4561872909698992E-5</v>
      </c>
      <c r="AR51" s="251"/>
      <c r="AS51" s="251"/>
      <c r="AT51" s="251"/>
      <c r="AU51" s="251"/>
    </row>
    <row r="52" spans="2:53" ht="15" thickTop="1" thickBot="1" x14ac:dyDescent="0.2">
      <c r="B52" s="480"/>
      <c r="C52" s="488"/>
      <c r="D52" s="488"/>
      <c r="E52" s="848"/>
      <c r="F52" s="489"/>
      <c r="G52" s="488"/>
      <c r="H52" s="848"/>
      <c r="I52" s="489"/>
      <c r="J52" s="488"/>
      <c r="K52" s="848"/>
      <c r="L52" s="489"/>
      <c r="M52" s="488"/>
      <c r="N52" s="848"/>
      <c r="O52" s="489"/>
      <c r="P52" s="488"/>
      <c r="Q52" s="848"/>
      <c r="R52" s="489"/>
      <c r="S52" s="488"/>
      <c r="T52" s="848"/>
      <c r="U52" s="489"/>
      <c r="V52" s="488"/>
      <c r="W52" s="848"/>
      <c r="X52" s="489"/>
      <c r="Y52" s="488"/>
      <c r="Z52" s="848"/>
      <c r="AA52" s="489"/>
      <c r="AB52" s="488"/>
      <c r="AC52" s="848"/>
      <c r="AD52" s="489"/>
      <c r="AE52" s="488"/>
      <c r="AF52" s="848"/>
      <c r="AG52" s="489"/>
      <c r="AH52" s="488"/>
      <c r="AI52" s="848"/>
      <c r="AJ52" s="489"/>
      <c r="AK52" s="488"/>
      <c r="AL52" s="848"/>
      <c r="AM52" s="489"/>
      <c r="AN52" s="488"/>
      <c r="AO52" s="488"/>
      <c r="AP52" s="860"/>
      <c r="AQ52" s="489"/>
      <c r="AR52" s="328"/>
      <c r="AS52" s="251"/>
      <c r="AT52" s="251"/>
      <c r="AU52" s="251"/>
    </row>
    <row r="53" spans="2:53" ht="15" thickTop="1" thickBot="1" x14ac:dyDescent="0.2">
      <c r="B53" s="506"/>
      <c r="C53" s="498" t="str">
        <f>' Total des coûts de MO'!C20</f>
        <v>Salaire "R&amp;D"</v>
      </c>
      <c r="D53" s="190"/>
      <c r="E53" s="840"/>
      <c r="F53" s="499"/>
      <c r="H53" s="840"/>
      <c r="I53" s="499"/>
      <c r="K53" s="840"/>
      <c r="L53" s="499"/>
      <c r="N53" s="840"/>
      <c r="O53" s="499"/>
      <c r="Q53" s="840"/>
      <c r="R53" s="499"/>
      <c r="T53" s="840"/>
      <c r="U53" s="499"/>
      <c r="W53" s="840"/>
      <c r="X53" s="499"/>
      <c r="Z53" s="840"/>
      <c r="AA53" s="499"/>
      <c r="AC53" s="840"/>
      <c r="AD53" s="499"/>
      <c r="AF53" s="840"/>
      <c r="AG53" s="499"/>
      <c r="AI53" s="852"/>
      <c r="AJ53" s="510"/>
      <c r="AK53" s="200"/>
      <c r="AL53" s="840"/>
      <c r="AM53" s="499"/>
      <c r="AP53" s="855"/>
      <c r="AQ53" s="504"/>
      <c r="AR53" s="328"/>
      <c r="AS53" s="251"/>
      <c r="AT53" s="251"/>
      <c r="AU53" s="251"/>
    </row>
    <row r="54" spans="2:53" ht="14" thickTop="1" x14ac:dyDescent="0.15">
      <c r="B54" s="190">
        <f>' Total des coûts de MO'!B20</f>
        <v>6180</v>
      </c>
      <c r="C54" s="392" t="str">
        <f>' Total des coûts de MO'!C11</f>
        <v>Salaires</v>
      </c>
      <c r="D54" s="190"/>
      <c r="E54" s="841">
        <v>1</v>
      </c>
      <c r="F54" s="461">
        <f>E54/'État des Résultats'!E14</f>
        <v>2.7402265253927655E-5</v>
      </c>
      <c r="H54" s="841">
        <f>+E54</f>
        <v>1</v>
      </c>
      <c r="I54" s="461">
        <f>H54/'État des Résultats'!H14</f>
        <v>2.8270882169319025E-5</v>
      </c>
      <c r="K54" s="841">
        <f>+H54</f>
        <v>1</v>
      </c>
      <c r="L54" s="461">
        <f>K54/'État des Résultats'!K14</f>
        <v>2.537024704278058E-5</v>
      </c>
      <c r="N54" s="841">
        <f>+K54</f>
        <v>1</v>
      </c>
      <c r="O54" s="461">
        <f>N54/'État des Résultats'!N14</f>
        <v>2.5077583774803299E-5</v>
      </c>
      <c r="Q54" s="841">
        <f>+N54</f>
        <v>1</v>
      </c>
      <c r="R54" s="461">
        <f>Q54/'État des Résultats'!Q14</f>
        <v>2.3291925465838507E-5</v>
      </c>
      <c r="T54" s="841">
        <f>+Q54</f>
        <v>1</v>
      </c>
      <c r="U54" s="461">
        <f>T54/'État des Résultats'!T14</f>
        <v>2.2664601669625653E-5</v>
      </c>
      <c r="W54" s="841">
        <f>+T54</f>
        <v>1</v>
      </c>
      <c r="X54" s="461">
        <f>W54/'État des Résultats'!W14</f>
        <v>2.1862104774137129E-5</v>
      </c>
      <c r="Z54" s="841">
        <f>+W54</f>
        <v>1</v>
      </c>
      <c r="AA54" s="461">
        <f>Z54/'État des Résultats'!Z14</f>
        <v>2.1577300679684971E-5</v>
      </c>
      <c r="AC54" s="841">
        <f>+Z54</f>
        <v>1</v>
      </c>
      <c r="AD54" s="461">
        <f>AC54/'État des Résultats'!AC14</f>
        <v>2.359742788036104E-5</v>
      </c>
      <c r="AF54" s="841">
        <f>+AC54</f>
        <v>1</v>
      </c>
      <c r="AG54" s="461">
        <f>AF54/'État des Résultats'!AF14</f>
        <v>2.3576101691585294E-5</v>
      </c>
      <c r="AI54" s="841">
        <f>+AF54</f>
        <v>1</v>
      </c>
      <c r="AJ54" s="461">
        <f>AI54/'État des Résultats'!AI14</f>
        <v>2.5364080235040474E-5</v>
      </c>
      <c r="AK54" s="200"/>
      <c r="AL54" s="841">
        <f>+AI54</f>
        <v>1</v>
      </c>
      <c r="AM54" s="461">
        <f>AL54/'État des Résultats'!AL14</f>
        <v>2.2823234052265207E-5</v>
      </c>
      <c r="AP54" s="830">
        <f>SUM(+$AL54+$AI54+$AF54+$AC54+$Z54+$W54+$T54+$Q54+$N54+$K54+$H54+$E54)</f>
        <v>12</v>
      </c>
      <c r="AQ54" s="458">
        <f>AP54/'État des Résultats'!AP14</f>
        <v>2.408026755852843E-5</v>
      </c>
      <c r="AR54" s="328"/>
      <c r="AS54" s="251"/>
      <c r="AT54" s="251"/>
      <c r="AU54" s="251"/>
    </row>
    <row r="55" spans="2:53" x14ac:dyDescent="0.15">
      <c r="B55" s="190">
        <f>+B49</f>
        <v>6205</v>
      </c>
      <c r="C55" s="392" t="str">
        <f>' Total des coûts de MO'!C27</f>
        <v>Bénéfices gouvernementaux</v>
      </c>
      <c r="D55" s="190"/>
      <c r="E55" s="837">
        <f>+E54*$H$76</f>
        <v>0.01</v>
      </c>
      <c r="F55" s="413">
        <f>E55/'État des Résultats'!E14</f>
        <v>2.7402265253927655E-7</v>
      </c>
      <c r="H55" s="837">
        <f>+H54*$H$76</f>
        <v>0.01</v>
      </c>
      <c r="I55" s="413">
        <f>H55/'État des Résultats'!H14</f>
        <v>2.8270882169319025E-7</v>
      </c>
      <c r="K55" s="837">
        <f>+K54*$H$76</f>
        <v>0.01</v>
      </c>
      <c r="L55" s="413">
        <f>K55/'État des Résultats'!K14</f>
        <v>2.5370247042780581E-7</v>
      </c>
      <c r="N55" s="837">
        <f>+N54*$H$76</f>
        <v>0.01</v>
      </c>
      <c r="O55" s="413">
        <f>N55/'État des Résultats'!N14</f>
        <v>2.5077583774803297E-7</v>
      </c>
      <c r="Q55" s="837">
        <f>+Q54*$H$76</f>
        <v>0.01</v>
      </c>
      <c r="R55" s="413">
        <f>Q55/'État des Résultats'!Q14</f>
        <v>2.329192546583851E-7</v>
      </c>
      <c r="T55" s="837">
        <f>+T54*$H$76</f>
        <v>0.01</v>
      </c>
      <c r="U55" s="413">
        <f>T55/'État des Résultats'!T14</f>
        <v>2.2664601669625654E-7</v>
      </c>
      <c r="W55" s="837">
        <f>+W54*$H$76</f>
        <v>0.01</v>
      </c>
      <c r="X55" s="413">
        <f>W55/'État des Résultats'!W14</f>
        <v>2.186210477413713E-7</v>
      </c>
      <c r="Z55" s="837">
        <f>+Z54*$H$76</f>
        <v>0.01</v>
      </c>
      <c r="AA55" s="413">
        <f>Z55/'État des Résultats'!Z14</f>
        <v>2.1577300679684972E-7</v>
      </c>
      <c r="AC55" s="837">
        <f>+AC54*$H$76</f>
        <v>0.01</v>
      </c>
      <c r="AD55" s="413">
        <f>AC55/'État des Résultats'!AC14</f>
        <v>2.3597427880361041E-7</v>
      </c>
      <c r="AF55" s="837">
        <f>+AF54*$H$76</f>
        <v>0.01</v>
      </c>
      <c r="AG55" s="413">
        <f>AF55/'État des Résultats'!AF14</f>
        <v>2.3576101691585297E-7</v>
      </c>
      <c r="AI55" s="837">
        <f>+AI54*$H$76</f>
        <v>0.01</v>
      </c>
      <c r="AJ55" s="413">
        <f>AI55/'État des Résultats'!AI14</f>
        <v>2.5364080235040476E-7</v>
      </c>
      <c r="AK55" s="200"/>
      <c r="AL55" s="837">
        <f>+AL54*$H$76</f>
        <v>0.01</v>
      </c>
      <c r="AM55" s="413">
        <f>AL55/'État des Résultats'!AL14</f>
        <v>2.2823234052265206E-7</v>
      </c>
      <c r="AP55" s="830">
        <f>SUM(+$AL55+$AI55+$AF55+$AC55+$Z55+$W55+$T55+$Q55+$N55+$K55+$H55+$E55)</f>
        <v>0.11999999999999998</v>
      </c>
      <c r="AQ55" s="458">
        <f>AP55/'État des Résultats'!AP14</f>
        <v>2.4080267558528426E-7</v>
      </c>
      <c r="AR55" s="328"/>
      <c r="AS55" s="251"/>
      <c r="AT55" s="251"/>
      <c r="AU55" s="251"/>
    </row>
    <row r="56" spans="2:53" ht="14" thickBot="1" x14ac:dyDescent="0.2">
      <c r="B56" s="190">
        <f>B50</f>
        <v>6245</v>
      </c>
      <c r="C56" s="392" t="str">
        <f>' Total des coûts de MO'!C31</f>
        <v>CSST et CNT</v>
      </c>
      <c r="D56" s="190"/>
      <c r="E56" s="837">
        <f>(E54)*$F$72</f>
        <v>0.01</v>
      </c>
      <c r="F56" s="414">
        <f>E56/'État des Résultats'!E14</f>
        <v>2.7402265253927655E-7</v>
      </c>
      <c r="H56" s="837">
        <f>(H54)*$F$72</f>
        <v>0.01</v>
      </c>
      <c r="I56" s="414">
        <f>H56/'État des Résultats'!H14</f>
        <v>2.8270882169319025E-7</v>
      </c>
      <c r="K56" s="837">
        <f>(K54)*$F$72</f>
        <v>0.01</v>
      </c>
      <c r="L56" s="414">
        <f>K56/'État des Résultats'!K14</f>
        <v>2.5370247042780581E-7</v>
      </c>
      <c r="N56" s="837">
        <f>(N54)*$F$72</f>
        <v>0.01</v>
      </c>
      <c r="O56" s="414">
        <f>N56/'État des Résultats'!N14</f>
        <v>2.5077583774803297E-7</v>
      </c>
      <c r="Q56" s="837">
        <f>(Q54)*$F$72</f>
        <v>0.01</v>
      </c>
      <c r="R56" s="414">
        <f>Q56/'État des Résultats'!Q14</f>
        <v>2.329192546583851E-7</v>
      </c>
      <c r="T56" s="837">
        <f>(T54)*$F$72</f>
        <v>0.01</v>
      </c>
      <c r="U56" s="414">
        <f>T56/'État des Résultats'!T14</f>
        <v>2.2664601669625654E-7</v>
      </c>
      <c r="W56" s="837">
        <f>(W54)*$F$72</f>
        <v>0.01</v>
      </c>
      <c r="X56" s="414">
        <f>W56/'État des Résultats'!W14</f>
        <v>2.186210477413713E-7</v>
      </c>
      <c r="Z56" s="837">
        <f>(Z54)*$F$72</f>
        <v>0.01</v>
      </c>
      <c r="AA56" s="414">
        <f>Z56/'État des Résultats'!Z14</f>
        <v>2.1577300679684972E-7</v>
      </c>
      <c r="AC56" s="837">
        <f>(AC54)*$F$72</f>
        <v>0.01</v>
      </c>
      <c r="AD56" s="414">
        <f>AC56/'État des Résultats'!AC14</f>
        <v>2.3597427880361041E-7</v>
      </c>
      <c r="AF56" s="837">
        <f>(AF54)*$F$72</f>
        <v>0.01</v>
      </c>
      <c r="AG56" s="414">
        <f>AF56/'État des Résultats'!AF14</f>
        <v>2.3576101691585297E-7</v>
      </c>
      <c r="AI56" s="837">
        <f>(AI54)*$F$72</f>
        <v>0.01</v>
      </c>
      <c r="AJ56" s="414">
        <f>AI56/'État des Résultats'!AI14</f>
        <v>2.5364080235040476E-7</v>
      </c>
      <c r="AK56" s="200"/>
      <c r="AL56" s="837">
        <f>(AL54)*$F$72</f>
        <v>0.01</v>
      </c>
      <c r="AM56" s="414">
        <f>AL56/'État des Résultats'!AL14</f>
        <v>2.2823234052265206E-7</v>
      </c>
      <c r="AP56" s="859">
        <f>SUM(+$AL56+$AI56+$AF56+$AC56+$Z56+$W56+$T56+$Q56+$N56+$K56+$H56+$E56)</f>
        <v>0.11999999999999998</v>
      </c>
      <c r="AQ56" s="458">
        <f>AP56/'État des Résultats'!AP14</f>
        <v>2.4080267558528426E-7</v>
      </c>
      <c r="AR56" s="328"/>
      <c r="AS56" s="251"/>
      <c r="AT56" s="251"/>
      <c r="AU56" s="251"/>
    </row>
    <row r="57" spans="2:53" ht="15" thickTop="1" thickBot="1" x14ac:dyDescent="0.2">
      <c r="B57" s="470"/>
      <c r="C57" s="471" t="s">
        <v>224</v>
      </c>
      <c r="D57" s="397"/>
      <c r="E57" s="842">
        <f>SUM(E54:E56)</f>
        <v>1.02</v>
      </c>
      <c r="F57" s="400">
        <f>SUM(F54:F56)</f>
        <v>2.7950310559006207E-5</v>
      </c>
      <c r="G57" s="213"/>
      <c r="H57" s="842">
        <f>SUM(H54:H56)</f>
        <v>1.02</v>
      </c>
      <c r="I57" s="400">
        <f>SUM(I54:I56)</f>
        <v>2.8836299812705403E-5</v>
      </c>
      <c r="J57" s="213"/>
      <c r="K57" s="842">
        <f>SUM(K54:K56)</f>
        <v>1.02</v>
      </c>
      <c r="L57" s="400">
        <f>SUM(L54:L56)</f>
        <v>2.5877651983636194E-5</v>
      </c>
      <c r="M57" s="213"/>
      <c r="N57" s="842">
        <f>SUM(N54:N56)</f>
        <v>1.02</v>
      </c>
      <c r="O57" s="400">
        <f>SUM(O54:O56)</f>
        <v>2.5579135450299364E-5</v>
      </c>
      <c r="P57" s="213"/>
      <c r="Q57" s="842">
        <f>SUM(Q54:Q56)</f>
        <v>1.02</v>
      </c>
      <c r="R57" s="400">
        <f>SUM(R54:R56)</f>
        <v>2.375776397515528E-5</v>
      </c>
      <c r="S57" s="213"/>
      <c r="T57" s="842">
        <f>SUM(T54:T56)</f>
        <v>1.02</v>
      </c>
      <c r="U57" s="400">
        <f>SUM(U54:U56)</f>
        <v>2.3117893703018168E-5</v>
      </c>
      <c r="V57" s="213"/>
      <c r="W57" s="842">
        <f>SUM(W54:W56)</f>
        <v>1.02</v>
      </c>
      <c r="X57" s="400">
        <f>SUM(X54:X56)</f>
        <v>2.2299346869619871E-5</v>
      </c>
      <c r="Y57" s="213"/>
      <c r="Z57" s="842">
        <f>SUM(Z54:Z56)</f>
        <v>1.02</v>
      </c>
      <c r="AA57" s="400">
        <f>SUM(AA54:AA56)</f>
        <v>2.2008846693278667E-5</v>
      </c>
      <c r="AB57" s="213"/>
      <c r="AC57" s="842">
        <f>SUM(AC54:AC56)</f>
        <v>1.02</v>
      </c>
      <c r="AD57" s="400">
        <f>SUM(AD54:AD56)</f>
        <v>2.406937643796826E-5</v>
      </c>
      <c r="AE57" s="213"/>
      <c r="AF57" s="842">
        <f>SUM(AF54:AF56)</f>
        <v>1.02</v>
      </c>
      <c r="AG57" s="400">
        <f>SUM(AG54:AG56)</f>
        <v>2.4047623725417E-5</v>
      </c>
      <c r="AH57" s="213"/>
      <c r="AI57" s="842">
        <f>SUM(AI54:AI56)</f>
        <v>1.02</v>
      </c>
      <c r="AJ57" s="400">
        <f>SUM(AJ54:AJ56)</f>
        <v>2.5871361839741282E-5</v>
      </c>
      <c r="AK57" s="399"/>
      <c r="AL57" s="842">
        <f>SUM(AL54:AL56)</f>
        <v>1.02</v>
      </c>
      <c r="AM57" s="400">
        <f>SUM(AM54:AM56)</f>
        <v>2.3279698733310508E-5</v>
      </c>
      <c r="AN57" s="213"/>
      <c r="AO57" s="213"/>
      <c r="AP57" s="858">
        <f>SUM(+$AL57+$AI57+$AF57+$AC57+$Z57+$W57+$T57+$Q57+$N57+$K57+$H57+$E57)</f>
        <v>12.239999999999997</v>
      </c>
      <c r="AQ57" s="415">
        <f>AP57/'État des Résultats'!AP14</f>
        <v>2.4561872909698992E-5</v>
      </c>
      <c r="AR57" s="328"/>
      <c r="AS57" s="251"/>
      <c r="AT57" s="251"/>
      <c r="AU57" s="251"/>
    </row>
    <row r="58" spans="2:53" ht="15" thickTop="1" thickBot="1" x14ac:dyDescent="0.2">
      <c r="B58" s="475"/>
      <c r="C58" s="475"/>
      <c r="D58" s="475"/>
      <c r="E58" s="847"/>
      <c r="F58" s="487"/>
      <c r="G58" s="475"/>
      <c r="H58" s="847"/>
      <c r="I58" s="487"/>
      <c r="J58" s="475"/>
      <c r="K58" s="847"/>
      <c r="L58" s="487"/>
      <c r="M58" s="475"/>
      <c r="N58" s="847"/>
      <c r="O58" s="487"/>
      <c r="P58" s="475"/>
      <c r="Q58" s="847"/>
      <c r="R58" s="487"/>
      <c r="S58" s="475"/>
      <c r="T58" s="847"/>
      <c r="U58" s="487"/>
      <c r="V58" s="475"/>
      <c r="W58" s="847"/>
      <c r="X58" s="487"/>
      <c r="Y58" s="475"/>
      <c r="Z58" s="847"/>
      <c r="AA58" s="487"/>
      <c r="AB58" s="475"/>
      <c r="AC58" s="847"/>
      <c r="AD58" s="487"/>
      <c r="AE58" s="475"/>
      <c r="AF58" s="847"/>
      <c r="AG58" s="487"/>
      <c r="AH58" s="475"/>
      <c r="AI58" s="847"/>
      <c r="AJ58" s="487"/>
      <c r="AK58" s="475"/>
      <c r="AL58" s="847"/>
      <c r="AM58" s="487"/>
      <c r="AN58" s="475"/>
      <c r="AO58" s="475"/>
      <c r="AP58" s="832"/>
      <c r="AQ58" s="490"/>
    </row>
    <row r="59" spans="2:53" ht="15" thickTop="1" thickBot="1" x14ac:dyDescent="0.2">
      <c r="B59" s="506"/>
      <c r="C59" s="498" t="str">
        <f>' Total des coûts de MO'!C21</f>
        <v>Salaire "Autres"</v>
      </c>
      <c r="D59" s="509"/>
      <c r="E59" s="840"/>
      <c r="F59" s="499"/>
      <c r="H59" s="840"/>
      <c r="I59" s="499"/>
      <c r="K59" s="840"/>
      <c r="L59" s="499"/>
      <c r="N59" s="840"/>
      <c r="O59" s="499"/>
      <c r="Q59" s="840"/>
      <c r="R59" s="499"/>
      <c r="T59" s="840"/>
      <c r="U59" s="499"/>
      <c r="W59" s="840"/>
      <c r="X59" s="499"/>
      <c r="Z59" s="840"/>
      <c r="AA59" s="499"/>
      <c r="AC59" s="840"/>
      <c r="AD59" s="499"/>
      <c r="AF59" s="840"/>
      <c r="AG59" s="499"/>
      <c r="AI59" s="840"/>
      <c r="AJ59" s="499"/>
      <c r="AK59" s="200"/>
      <c r="AL59" s="840"/>
      <c r="AM59" s="499"/>
      <c r="AP59" s="855"/>
      <c r="AQ59" s="504"/>
      <c r="AR59" s="209"/>
      <c r="AS59" s="209"/>
      <c r="AT59" s="209"/>
      <c r="AU59" s="209"/>
      <c r="AV59" s="209"/>
      <c r="AW59" s="209"/>
      <c r="AX59" s="209"/>
      <c r="AY59" s="209"/>
      <c r="AZ59" s="209"/>
      <c r="BA59" s="209"/>
    </row>
    <row r="60" spans="2:53" ht="14" thickTop="1" x14ac:dyDescent="0.15">
      <c r="B60" s="190">
        <f>' Total des coûts de MO'!B21</f>
        <v>6190</v>
      </c>
      <c r="C60" s="392" t="str">
        <f>' Total des coûts de MO'!C11</f>
        <v>Salaires</v>
      </c>
      <c r="D60" s="190"/>
      <c r="E60" s="841">
        <v>0</v>
      </c>
      <c r="F60" s="461">
        <f>E60/'État des Résultats'!E14</f>
        <v>0</v>
      </c>
      <c r="H60" s="841">
        <v>0</v>
      </c>
      <c r="I60" s="461">
        <f>H60/'État des Résultats'!H14</f>
        <v>0</v>
      </c>
      <c r="K60" s="841">
        <v>0</v>
      </c>
      <c r="L60" s="461">
        <f>K60/'État des Résultats'!K14</f>
        <v>0</v>
      </c>
      <c r="N60" s="841">
        <v>0</v>
      </c>
      <c r="O60" s="461">
        <f>N60/'État des Résultats'!N14</f>
        <v>0</v>
      </c>
      <c r="Q60" s="841">
        <v>0</v>
      </c>
      <c r="R60" s="461">
        <f>Q60/'État des Résultats'!Q14</f>
        <v>0</v>
      </c>
      <c r="T60" s="841">
        <v>0</v>
      </c>
      <c r="U60" s="461">
        <f>T60/'État des Résultats'!T14</f>
        <v>0</v>
      </c>
      <c r="W60" s="841">
        <v>0</v>
      </c>
      <c r="X60" s="461">
        <f>W60/'État des Résultats'!W14</f>
        <v>0</v>
      </c>
      <c r="Z60" s="841">
        <v>0</v>
      </c>
      <c r="AA60" s="461">
        <f>Z60/'État des Résultats'!Z14</f>
        <v>0</v>
      </c>
      <c r="AC60" s="841">
        <v>0</v>
      </c>
      <c r="AD60" s="461">
        <f>AC60/'État des Résultats'!AC14</f>
        <v>0</v>
      </c>
      <c r="AF60" s="841">
        <v>0</v>
      </c>
      <c r="AG60" s="461">
        <f>AF60/'État des Résultats'!AF14</f>
        <v>0</v>
      </c>
      <c r="AI60" s="841">
        <v>0</v>
      </c>
      <c r="AJ60" s="461">
        <f>AI60/'État des Résultats'!AI14</f>
        <v>0</v>
      </c>
      <c r="AK60" s="200"/>
      <c r="AL60" s="841">
        <v>0</v>
      </c>
      <c r="AM60" s="461">
        <f>AL60/'État des Résultats'!AL14</f>
        <v>0</v>
      </c>
      <c r="AP60" s="830">
        <f>SUM(+$AL60+$AI60+$AF60+$AC60+$Z60+$W60+$T60+$Q60+$N60+$K60+$H60+$E60)</f>
        <v>0</v>
      </c>
      <c r="AQ60" s="458">
        <f>AP60/'État des Résultats'!AP14</f>
        <v>0</v>
      </c>
      <c r="AR60" s="209"/>
      <c r="AS60" s="209"/>
      <c r="AT60" s="209"/>
      <c r="AU60" s="209"/>
      <c r="AV60" s="209"/>
      <c r="AW60" s="209"/>
      <c r="AX60" s="209"/>
      <c r="AY60" s="209"/>
      <c r="AZ60" s="209"/>
      <c r="BA60" s="209"/>
    </row>
    <row r="61" spans="2:53" x14ac:dyDescent="0.15">
      <c r="B61" s="190">
        <f>B55</f>
        <v>6205</v>
      </c>
      <c r="C61" s="392" t="str">
        <f>' Total des coûts de MO'!C27</f>
        <v>Bénéfices gouvernementaux</v>
      </c>
      <c r="D61" s="190"/>
      <c r="E61" s="837">
        <f>+E60*$H$76</f>
        <v>0</v>
      </c>
      <c r="F61" s="413">
        <f>E61/'État des Résultats'!E14</f>
        <v>0</v>
      </c>
      <c r="H61" s="837">
        <f>+H60*$H$76</f>
        <v>0</v>
      </c>
      <c r="I61" s="413">
        <f>H61/'État des Résultats'!H14</f>
        <v>0</v>
      </c>
      <c r="K61" s="837">
        <f>+K60*$H$76</f>
        <v>0</v>
      </c>
      <c r="L61" s="413">
        <f>K61/'État des Résultats'!K14</f>
        <v>0</v>
      </c>
      <c r="N61" s="837">
        <f>+N60*$H$76</f>
        <v>0</v>
      </c>
      <c r="O61" s="413">
        <f>N61/'État des Résultats'!N14</f>
        <v>0</v>
      </c>
      <c r="Q61" s="837">
        <f>+Q60*$H$76</f>
        <v>0</v>
      </c>
      <c r="R61" s="413">
        <f>Q61/'État des Résultats'!Q14</f>
        <v>0</v>
      </c>
      <c r="T61" s="837">
        <f>+T60*$H$76</f>
        <v>0</v>
      </c>
      <c r="U61" s="413">
        <f>T61/'État des Résultats'!T14</f>
        <v>0</v>
      </c>
      <c r="W61" s="837">
        <f>+W60*$H$76</f>
        <v>0</v>
      </c>
      <c r="X61" s="413">
        <f>W61/'État des Résultats'!W14</f>
        <v>0</v>
      </c>
      <c r="Z61" s="837">
        <f>+Z60*$H$76</f>
        <v>0</v>
      </c>
      <c r="AA61" s="413">
        <f>Z61/'État des Résultats'!Z14</f>
        <v>0</v>
      </c>
      <c r="AC61" s="837">
        <f>+AC60*$H$76</f>
        <v>0</v>
      </c>
      <c r="AD61" s="413">
        <f>AC61/'État des Résultats'!AC14</f>
        <v>0</v>
      </c>
      <c r="AF61" s="837">
        <f>+AF60*$H$76</f>
        <v>0</v>
      </c>
      <c r="AG61" s="413">
        <f>AF61/'État des Résultats'!AF14</f>
        <v>0</v>
      </c>
      <c r="AI61" s="837">
        <f>+AI60*$H$76</f>
        <v>0</v>
      </c>
      <c r="AJ61" s="413">
        <f>AI61/'État des Résultats'!AI14</f>
        <v>0</v>
      </c>
      <c r="AK61" s="200"/>
      <c r="AL61" s="837">
        <f>+AL60*$H$76</f>
        <v>0</v>
      </c>
      <c r="AM61" s="413">
        <f>AL61/'État des Résultats'!AL14</f>
        <v>0</v>
      </c>
      <c r="AP61" s="830">
        <f>SUM(+$AL61+$AI61+$AF61+$AC61+$Z61+$W61+$T61+$Q61+$N61+$K61+$H61+$E61)</f>
        <v>0</v>
      </c>
      <c r="AQ61" s="458">
        <f>AP61/'État des Résultats'!AP14</f>
        <v>0</v>
      </c>
      <c r="AR61" s="209"/>
      <c r="AS61" s="209"/>
      <c r="AT61" s="209"/>
      <c r="AU61" s="209"/>
      <c r="AV61" s="209"/>
      <c r="AW61" s="209"/>
      <c r="AX61" s="209"/>
      <c r="AY61" s="209"/>
      <c r="AZ61" s="209"/>
      <c r="BA61" s="209"/>
    </row>
    <row r="62" spans="2:53" ht="14" thickBot="1" x14ac:dyDescent="0.2">
      <c r="B62" s="190">
        <f>B56</f>
        <v>6245</v>
      </c>
      <c r="C62" s="392" t="str">
        <f>' Total des coûts de MO'!C31</f>
        <v>CSST et CNT</v>
      </c>
      <c r="D62" s="190"/>
      <c r="E62" s="837">
        <f>(E60)*$F$72</f>
        <v>0</v>
      </c>
      <c r="F62" s="414">
        <f>E62/'État des Résultats'!E14</f>
        <v>0</v>
      </c>
      <c r="H62" s="837">
        <f>(H60)*$F$72</f>
        <v>0</v>
      </c>
      <c r="I62" s="414">
        <f>H62/'État des Résultats'!H14</f>
        <v>0</v>
      </c>
      <c r="K62" s="837">
        <f>(K60)*$F$72</f>
        <v>0</v>
      </c>
      <c r="L62" s="414">
        <f>K62/'État des Résultats'!K14</f>
        <v>0</v>
      </c>
      <c r="N62" s="837">
        <f>(N60)*$F$72</f>
        <v>0</v>
      </c>
      <c r="O62" s="414">
        <f>N62/'État des Résultats'!N14</f>
        <v>0</v>
      </c>
      <c r="Q62" s="837">
        <f>(Q60)*$F$72</f>
        <v>0</v>
      </c>
      <c r="R62" s="414">
        <f>Q62/'État des Résultats'!Q14</f>
        <v>0</v>
      </c>
      <c r="T62" s="837">
        <f>(T60)*$F$72</f>
        <v>0</v>
      </c>
      <c r="U62" s="414">
        <f>T62/'État des Résultats'!T14</f>
        <v>0</v>
      </c>
      <c r="W62" s="837">
        <f>(W60)*$F$72</f>
        <v>0</v>
      </c>
      <c r="X62" s="414">
        <f>W62/'État des Résultats'!W14</f>
        <v>0</v>
      </c>
      <c r="Z62" s="837">
        <f>(Z60)*$F$72</f>
        <v>0</v>
      </c>
      <c r="AA62" s="414">
        <f>Z62/'État des Résultats'!Z14</f>
        <v>0</v>
      </c>
      <c r="AC62" s="837">
        <f>(AC60)*$F$72</f>
        <v>0</v>
      </c>
      <c r="AD62" s="414">
        <f>AC62/'État des Résultats'!AC14</f>
        <v>0</v>
      </c>
      <c r="AF62" s="837">
        <f>(AF60)*$F$72</f>
        <v>0</v>
      </c>
      <c r="AG62" s="414">
        <f>AF62/'État des Résultats'!AF14</f>
        <v>0</v>
      </c>
      <c r="AI62" s="837">
        <f>(AI60)*$F$72</f>
        <v>0</v>
      </c>
      <c r="AJ62" s="414">
        <f>AI62/'État des Résultats'!AI14</f>
        <v>0</v>
      </c>
      <c r="AK62" s="200"/>
      <c r="AL62" s="837">
        <f>(AL60)*$F$72</f>
        <v>0</v>
      </c>
      <c r="AM62" s="414">
        <f>AL62/'État des Résultats'!AL14</f>
        <v>0</v>
      </c>
      <c r="AP62" s="859">
        <f>SUM(+$AL62+$AI62+$AF62+$AC62+$Z62+$W62+$T62+$Q62+$N62+$K62+$H62+$E62)</f>
        <v>0</v>
      </c>
      <c r="AQ62" s="458">
        <f>AP62/'État des Résultats'!AP14</f>
        <v>0</v>
      </c>
      <c r="AR62" s="209"/>
      <c r="AS62" s="209"/>
      <c r="AT62" s="209"/>
      <c r="AU62" s="209"/>
      <c r="AV62" s="209"/>
      <c r="AW62" s="209"/>
      <c r="AX62" s="209"/>
      <c r="AY62" s="209"/>
      <c r="AZ62" s="209"/>
      <c r="BA62" s="209"/>
    </row>
    <row r="63" spans="2:53" ht="14" thickBot="1" x14ac:dyDescent="0.2">
      <c r="B63" s="395"/>
      <c r="C63" s="396" t="s">
        <v>225</v>
      </c>
      <c r="D63" s="397"/>
      <c r="E63" s="842">
        <f>SUM(E60:E62)</f>
        <v>0</v>
      </c>
      <c r="F63" s="400">
        <f>SUM(F60:F62)</f>
        <v>0</v>
      </c>
      <c r="G63" s="213"/>
      <c r="H63" s="842">
        <f>SUM(H60:H62)</f>
        <v>0</v>
      </c>
      <c r="I63" s="400">
        <f>SUM(I60:I62)</f>
        <v>0</v>
      </c>
      <c r="J63" s="213"/>
      <c r="K63" s="842">
        <f>SUM(K60:K62)</f>
        <v>0</v>
      </c>
      <c r="L63" s="400">
        <f>SUM(L60:L62)</f>
        <v>0</v>
      </c>
      <c r="M63" s="213"/>
      <c r="N63" s="842">
        <f>SUM(N60:N62)</f>
        <v>0</v>
      </c>
      <c r="O63" s="400">
        <f>SUM(O60:O62)</f>
        <v>0</v>
      </c>
      <c r="P63" s="213"/>
      <c r="Q63" s="842">
        <f>SUM(Q60:Q62)</f>
        <v>0</v>
      </c>
      <c r="R63" s="400">
        <f>SUM(R60:R62)</f>
        <v>0</v>
      </c>
      <c r="S63" s="213"/>
      <c r="T63" s="842">
        <f>SUM(T60:T62)</f>
        <v>0</v>
      </c>
      <c r="U63" s="400">
        <f>SUM(U60:U62)</f>
        <v>0</v>
      </c>
      <c r="V63" s="213"/>
      <c r="W63" s="842">
        <f>SUM(W60:W62)</f>
        <v>0</v>
      </c>
      <c r="X63" s="400">
        <f>SUM(X60:X62)</f>
        <v>0</v>
      </c>
      <c r="Y63" s="213"/>
      <c r="Z63" s="842">
        <f>SUM(Z60:Z62)</f>
        <v>0</v>
      </c>
      <c r="AA63" s="400">
        <f>SUM(AA60:AA62)</f>
        <v>0</v>
      </c>
      <c r="AB63" s="213"/>
      <c r="AC63" s="842">
        <f>SUM(AC60:AC62)</f>
        <v>0</v>
      </c>
      <c r="AD63" s="400">
        <f>SUM(AD60:AD62)</f>
        <v>0</v>
      </c>
      <c r="AE63" s="213"/>
      <c r="AF63" s="842">
        <f>SUM(AF60:AF62)</f>
        <v>0</v>
      </c>
      <c r="AG63" s="400">
        <f>SUM(AG60:AG62)</f>
        <v>0</v>
      </c>
      <c r="AH63" s="213"/>
      <c r="AI63" s="842">
        <f>SUM(AI60:AI62)</f>
        <v>0</v>
      </c>
      <c r="AJ63" s="400">
        <f>SUM(AJ60:AJ62)</f>
        <v>0</v>
      </c>
      <c r="AK63" s="399"/>
      <c r="AL63" s="842">
        <f>SUM(AL60:AL62)</f>
        <v>0</v>
      </c>
      <c r="AM63" s="400">
        <f>SUM(AM60:AM62)</f>
        <v>0</v>
      </c>
      <c r="AN63" s="213"/>
      <c r="AO63" s="213"/>
      <c r="AP63" s="858">
        <f>SUM(+$AL63+$AI63+$AF63+$AC63+$Z63+$W63+$T63+$Q63+$N63+$K63+$H63+$E63)</f>
        <v>0</v>
      </c>
      <c r="AQ63" s="415">
        <f>AP63/'État des Résultats'!AP14</f>
        <v>0</v>
      </c>
      <c r="AR63" s="209"/>
      <c r="AS63" s="209"/>
      <c r="AT63" s="209"/>
      <c r="AU63" s="209"/>
      <c r="AV63" s="209"/>
      <c r="AW63" s="209"/>
      <c r="AX63" s="209"/>
      <c r="AY63" s="209"/>
      <c r="AZ63" s="209"/>
      <c r="BA63" s="209"/>
    </row>
    <row r="64" spans="2:53" ht="14" thickBot="1" x14ac:dyDescent="0.2">
      <c r="B64" s="488"/>
      <c r="C64" s="488"/>
      <c r="D64" s="488"/>
      <c r="E64" s="848"/>
      <c r="F64" s="489"/>
      <c r="G64" s="488"/>
      <c r="H64" s="848"/>
      <c r="I64" s="489"/>
      <c r="J64" s="488"/>
      <c r="K64" s="848"/>
      <c r="L64" s="489"/>
      <c r="M64" s="488"/>
      <c r="N64" s="848"/>
      <c r="O64" s="489"/>
      <c r="P64" s="488"/>
      <c r="Q64" s="848"/>
      <c r="R64" s="489"/>
      <c r="S64" s="488"/>
      <c r="T64" s="848"/>
      <c r="U64" s="489"/>
      <c r="V64" s="488"/>
      <c r="W64" s="848"/>
      <c r="X64" s="489"/>
      <c r="Y64" s="488"/>
      <c r="Z64" s="848"/>
      <c r="AA64" s="489"/>
      <c r="AB64" s="488"/>
      <c r="AC64" s="848"/>
      <c r="AD64" s="489"/>
      <c r="AE64" s="488"/>
      <c r="AF64" s="848"/>
      <c r="AG64" s="489"/>
      <c r="AH64" s="488"/>
      <c r="AI64" s="848"/>
      <c r="AJ64" s="489"/>
      <c r="AK64" s="488"/>
      <c r="AL64" s="848"/>
      <c r="AM64" s="489"/>
      <c r="AN64" s="488"/>
      <c r="AO64" s="488"/>
      <c r="AP64" s="860"/>
      <c r="AQ64" s="491"/>
      <c r="AR64" s="209"/>
      <c r="AS64" s="209"/>
      <c r="AT64" s="209"/>
      <c r="AU64" s="209"/>
      <c r="AV64" s="209"/>
      <c r="AW64" s="209"/>
      <c r="AX64" s="209"/>
    </row>
    <row r="65" spans="2:47" ht="15" thickTop="1" thickBot="1" x14ac:dyDescent="0.2">
      <c r="B65" s="497"/>
      <c r="C65" s="498" t="str">
        <f>' Total des coûts de MO'!C23</f>
        <v>Total des salaires</v>
      </c>
      <c r="D65" s="190"/>
      <c r="E65" s="840"/>
      <c r="F65" s="499"/>
      <c r="H65" s="840"/>
      <c r="I65" s="499"/>
      <c r="K65" s="840"/>
      <c r="L65" s="499"/>
      <c r="N65" s="840"/>
      <c r="O65" s="499"/>
      <c r="Q65" s="840"/>
      <c r="R65" s="499"/>
      <c r="T65" s="840"/>
      <c r="U65" s="499"/>
      <c r="W65" s="840"/>
      <c r="X65" s="499"/>
      <c r="Z65" s="840"/>
      <c r="AA65" s="499"/>
      <c r="AC65" s="840"/>
      <c r="AD65" s="499"/>
      <c r="AF65" s="840"/>
      <c r="AG65" s="499"/>
      <c r="AI65" s="840"/>
      <c r="AJ65" s="499"/>
      <c r="AK65" s="200"/>
      <c r="AL65" s="840"/>
      <c r="AM65" s="499"/>
      <c r="AP65" s="855"/>
      <c r="AQ65" s="499"/>
    </row>
    <row r="66" spans="2:47" ht="14" thickTop="1" x14ac:dyDescent="0.15">
      <c r="B66" s="193">
        <f>' Total des coûts de MO'!B11</f>
        <v>6100</v>
      </c>
      <c r="C66" s="495" t="str">
        <f>' Total des coûts de MO'!C11</f>
        <v>Salaires</v>
      </c>
      <c r="D66" s="190"/>
      <c r="E66" s="849">
        <f>+E12+E18+E24+E30+E36+E42+E48+E54+E60</f>
        <v>9756</v>
      </c>
      <c r="F66" s="459">
        <f>E66/'État des Résultats'!E14</f>
        <v>0.26733649981731822</v>
      </c>
      <c r="H66" s="849">
        <f>+H12+H18+H24+H30+H36+H42+H48+H54+H60</f>
        <v>9756</v>
      </c>
      <c r="I66" s="459">
        <f>H66/'État des Résultats'!H14</f>
        <v>0.27581072644387639</v>
      </c>
      <c r="K66" s="849">
        <f>+K12+K18+K24+K30+K36+K42+K48+K54+K60</f>
        <v>9756</v>
      </c>
      <c r="L66" s="459">
        <f>K66/'État des Résultats'!K14</f>
        <v>0.24751213014936732</v>
      </c>
      <c r="N66" s="849">
        <f>+N12+N18+N24+N30+N36+N42+N48+N54+N60</f>
        <v>9756</v>
      </c>
      <c r="O66" s="459">
        <f>N66/'État des Résultats'!N14</f>
        <v>0.24465690730698098</v>
      </c>
      <c r="Q66" s="849">
        <f>+Q12+Q18+Q24+Q30+Q36+Q42+Q48+Q54+Q60</f>
        <v>9756</v>
      </c>
      <c r="R66" s="459">
        <f>Q66/'État des Résultats'!Q14</f>
        <v>0.2272360248447205</v>
      </c>
      <c r="T66" s="849">
        <f>+T12+T18+T24+T30+T36+T42+T48+T54+T60</f>
        <v>9756</v>
      </c>
      <c r="U66" s="459">
        <f>T66/'État des Résultats'!T14</f>
        <v>0.22111585388886787</v>
      </c>
      <c r="W66" s="849">
        <f>+W12+W18+W24+W30+W36+W42+W48+W54+W60</f>
        <v>9756</v>
      </c>
      <c r="X66" s="459">
        <f>W66/'État des Résultats'!W14</f>
        <v>0.21328669417648183</v>
      </c>
      <c r="Z66" s="849">
        <f>+Z12+Z18+Z24+Z30+Z36+Z42+Z48+Z54+Z60</f>
        <v>9756</v>
      </c>
      <c r="AA66" s="459">
        <f>Z66/'État des Résultats'!Z14</f>
        <v>0.21050814543100657</v>
      </c>
      <c r="AC66" s="849">
        <f>+AC12+AC18+AC24+AC30+AC36+AC42+AC48+AC54+AC60</f>
        <v>9756</v>
      </c>
      <c r="AD66" s="459">
        <f>AC66/'État des Résultats'!AC14</f>
        <v>0.23021650640080232</v>
      </c>
      <c r="AF66" s="849">
        <f>+AF12+AF18+AF24+AF30+AF36+AF42+AF48+AF54+AF60</f>
        <v>9756</v>
      </c>
      <c r="AG66" s="459">
        <f>AF66/'État des Résultats'!AF14</f>
        <v>0.23000844810310614</v>
      </c>
      <c r="AI66" s="849">
        <f>+AI12+AI18+AI24+AI30+AI36+AI42+AI48+AI54+AI60</f>
        <v>9756</v>
      </c>
      <c r="AJ66" s="459">
        <f>AI66/'État des Résultats'!AI14</f>
        <v>0.24745196677305487</v>
      </c>
      <c r="AK66" s="200"/>
      <c r="AL66" s="849">
        <f>+AL12+AL18+AL24+AL30+AL36+AL42+AL48+AL54+AL60</f>
        <v>9756</v>
      </c>
      <c r="AM66" s="459">
        <f>AL66/'État des Résultats'!AL14</f>
        <v>0.22266347141389936</v>
      </c>
      <c r="AP66" s="830">
        <f>SUM(+$AL66+$AI66+$AF66+$AC66+$Z66+$W66+$T66+$Q66+$N66+$K66+$H66+$E66)</f>
        <v>117072</v>
      </c>
      <c r="AQ66" s="459">
        <f>AP66/'État des Résultats'!AP14</f>
        <v>0.23492709030100337</v>
      </c>
    </row>
    <row r="67" spans="2:47" x14ac:dyDescent="0.15">
      <c r="B67" s="193">
        <f>B61</f>
        <v>6205</v>
      </c>
      <c r="C67" s="495" t="str">
        <f>' Total des coûts de MO'!C27</f>
        <v>Bénéfices gouvernementaux</v>
      </c>
      <c r="D67" s="190"/>
      <c r="E67" s="849">
        <f>+E13+E19+E25+E31+E37+E43+E49+E55+E61</f>
        <v>97.560000000000031</v>
      </c>
      <c r="F67" s="496">
        <f>E67/'État des Résultats'!E14</f>
        <v>2.6733649981731831E-3</v>
      </c>
      <c r="H67" s="849">
        <f>+H13+H19+H25+H31+H37+H43+H49+H55+H61</f>
        <v>97.560000000000031</v>
      </c>
      <c r="I67" s="496">
        <f>H67/'État des Résultats'!H14</f>
        <v>2.7581072644387648E-3</v>
      </c>
      <c r="K67" s="849">
        <f>+K13+K19+K25+K31+K37+K43+K49+K55+K61</f>
        <v>97.560000000000031</v>
      </c>
      <c r="L67" s="496">
        <f>K67/'État des Résultats'!K14</f>
        <v>2.475121301493674E-3</v>
      </c>
      <c r="N67" s="849">
        <f>+N13+N19+N25+N31+N37+N43+N49+N55+N61</f>
        <v>97.560000000000031</v>
      </c>
      <c r="O67" s="496">
        <f>N67/'État des Résultats'!N14</f>
        <v>2.4465690730698106E-3</v>
      </c>
      <c r="Q67" s="849">
        <f>+Q13+Q19+Q25+Q31+Q37+Q43+Q49+Q55+Q61</f>
        <v>97.560000000000031</v>
      </c>
      <c r="R67" s="496">
        <f>Q67/'État des Résultats'!Q14</f>
        <v>2.2723602484472057E-3</v>
      </c>
      <c r="T67" s="849">
        <f>+T13+T19+T25+T31+T37+T43+T49+T55+T61</f>
        <v>97.560000000000031</v>
      </c>
      <c r="U67" s="496">
        <f>T67/'État des Résultats'!T14</f>
        <v>2.2111585388886793E-3</v>
      </c>
      <c r="W67" s="849">
        <f>+W13+W19+W25+W31+W37+W43+W49+W55+W61</f>
        <v>97.560000000000031</v>
      </c>
      <c r="X67" s="496">
        <f>W67/'État des Résultats'!W14</f>
        <v>2.1328669417648191E-3</v>
      </c>
      <c r="Z67" s="849">
        <f>+Z13+Z19+Z25+Z31+Z37+Z43+Z49+Z55+Z61</f>
        <v>97.560000000000031</v>
      </c>
      <c r="AA67" s="496">
        <f>Z67/'État des Résultats'!Z14</f>
        <v>2.1050814543100665E-3</v>
      </c>
      <c r="AC67" s="849">
        <f>+AC13+AC19+AC25+AC31+AC37+AC43+AC49+AC55+AC61</f>
        <v>97.560000000000031</v>
      </c>
      <c r="AD67" s="496">
        <f>AC67/'État des Résultats'!AC14</f>
        <v>2.3021650640080238E-3</v>
      </c>
      <c r="AF67" s="849">
        <f>+AF13+AF19+AF25+AF31+AF37+AF43+AF49+AF55+AF61</f>
        <v>97.560000000000031</v>
      </c>
      <c r="AG67" s="496">
        <f>AF67/'État des Résultats'!AF14</f>
        <v>2.3000844810310622E-3</v>
      </c>
      <c r="AI67" s="849">
        <f>+AI13+AI19+AI25+AI31+AI37+AI43+AI49+AI55+AI61</f>
        <v>97.560000000000031</v>
      </c>
      <c r="AJ67" s="496">
        <f>AI67/'État des Résultats'!AI14</f>
        <v>2.4745196677305493E-3</v>
      </c>
      <c r="AK67" s="200"/>
      <c r="AL67" s="849">
        <f>+AL13+AL19+AL25+AL31+AL37+AL43+AL49+AL55+AL61</f>
        <v>97.560000000000031</v>
      </c>
      <c r="AM67" s="496">
        <f>AL67/'État des Résultats'!AL14</f>
        <v>2.2266347141389944E-3</v>
      </c>
      <c r="AP67" s="830">
        <f>SUM(+$AL67+$AI67+$AF67+$AC67+$Z67+$W67+$T67+$Q67+$N67+$K67+$H67+$E67)</f>
        <v>1170.7200000000005</v>
      </c>
      <c r="AQ67" s="459">
        <f>AP67/'État des Résultats'!AP14</f>
        <v>2.3492709030100345E-3</v>
      </c>
    </row>
    <row r="68" spans="2:47" ht="14" thickBot="1" x14ac:dyDescent="0.2">
      <c r="B68" s="193">
        <f>B62</f>
        <v>6245</v>
      </c>
      <c r="C68" s="495" t="str">
        <f>' Total des coûts de MO'!C31</f>
        <v>CSST et CNT</v>
      </c>
      <c r="D68" s="190"/>
      <c r="E68" s="849">
        <f>+E14+E20+E26+E32+E38+E44+E50+E56+E62</f>
        <v>97.560000000000031</v>
      </c>
      <c r="F68" s="496">
        <f>E68/'État des Résultats'!E14</f>
        <v>2.6733649981731831E-3</v>
      </c>
      <c r="H68" s="849">
        <f>+H14+H20+H26+H32+H38+H44+H50+H56+H62</f>
        <v>97.560000000000031</v>
      </c>
      <c r="I68" s="496">
        <f>H68/'État des Résultats'!H14</f>
        <v>2.7581072644387648E-3</v>
      </c>
      <c r="K68" s="849">
        <f>+K14+K20+K26+K32+K38+K44+K50+K56+K62</f>
        <v>97.560000000000031</v>
      </c>
      <c r="L68" s="496">
        <f>K68/'État des Résultats'!K14</f>
        <v>2.475121301493674E-3</v>
      </c>
      <c r="N68" s="849">
        <f>+N14+N20+N26+N32+N38+N44+N50+N56+N62</f>
        <v>97.560000000000031</v>
      </c>
      <c r="O68" s="496">
        <f>N68/'État des Résultats'!N14</f>
        <v>2.4465690730698106E-3</v>
      </c>
      <c r="Q68" s="849">
        <f>+Q14+Q20+Q26+Q32+Q38+Q44+Q50+Q56+Q62</f>
        <v>97.560000000000031</v>
      </c>
      <c r="R68" s="496">
        <f>Q68/'État des Résultats'!Q14</f>
        <v>2.2723602484472057E-3</v>
      </c>
      <c r="T68" s="849">
        <f>+T14+T20+T26+T32+T38+T44+T50+T56+T62</f>
        <v>97.560000000000031</v>
      </c>
      <c r="U68" s="496">
        <f>T68/'État des Résultats'!T14</f>
        <v>2.2111585388886793E-3</v>
      </c>
      <c r="W68" s="849">
        <f>+W14+W20+W26+W32+W38+W44+W50+W56+W62</f>
        <v>97.560000000000031</v>
      </c>
      <c r="X68" s="496">
        <f>W68/'État des Résultats'!W14</f>
        <v>2.1328669417648191E-3</v>
      </c>
      <c r="Z68" s="849">
        <f>+Z14+Z20+Z26+Z32+Z38+Z44+Z50+Z56+Z62</f>
        <v>97.560000000000031</v>
      </c>
      <c r="AA68" s="496">
        <f>Z68/'État des Résultats'!Z14</f>
        <v>2.1050814543100665E-3</v>
      </c>
      <c r="AC68" s="849">
        <f>+AC14+AC20+AC26+AC32+AC38+AC44+AC50+AC56+AC62</f>
        <v>97.560000000000031</v>
      </c>
      <c r="AD68" s="496">
        <f>AC68/'État des Résultats'!AC14</f>
        <v>2.3021650640080238E-3</v>
      </c>
      <c r="AF68" s="849">
        <f>+AF14+AF20+AF26+AF32+AF38+AF44+AF50+AF56+AF62</f>
        <v>97.560000000000031</v>
      </c>
      <c r="AG68" s="496">
        <f>AF68/'État des Résultats'!AF14</f>
        <v>2.3000844810310622E-3</v>
      </c>
      <c r="AI68" s="849">
        <f>+AI14+AI20+AI26+AI32+AI38+AI44+AI50+AI56+AI62</f>
        <v>97.560000000000031</v>
      </c>
      <c r="AJ68" s="496">
        <f>AI68/'État des Résultats'!AI14</f>
        <v>2.4745196677305493E-3</v>
      </c>
      <c r="AK68" s="200"/>
      <c r="AL68" s="849">
        <f>+AL14+AL20+AL26+AL32+AL38+AL44+AL50+AL56+AL62</f>
        <v>97.560000000000031</v>
      </c>
      <c r="AM68" s="496">
        <f>AL68/'État des Résultats'!AL14</f>
        <v>2.2266347141389944E-3</v>
      </c>
      <c r="AP68" s="830">
        <f>SUM(+$AL68+$AI68+$AF68+$AC68+$Z68+$W68+$T68+$Q68+$N68+$K68+$H68+$E68)</f>
        <v>1170.7200000000005</v>
      </c>
      <c r="AQ68" s="459">
        <f>AP68/'État des Résultats'!AP14</f>
        <v>2.3492709030100345E-3</v>
      </c>
    </row>
    <row r="69" spans="2:47" ht="15" thickTop="1" thickBot="1" x14ac:dyDescent="0.2">
      <c r="B69" s="492"/>
      <c r="C69" s="493" t="s">
        <v>231</v>
      </c>
      <c r="D69" s="231"/>
      <c r="E69" s="850">
        <f>SUM(E66:E68)</f>
        <v>9951.119999999999</v>
      </c>
      <c r="F69" s="494">
        <f>+SUM(F66:F68)</f>
        <v>0.27268322981366455</v>
      </c>
      <c r="G69" s="251"/>
      <c r="H69" s="850">
        <f>SUM(H66:H68)</f>
        <v>9951.119999999999</v>
      </c>
      <c r="I69" s="494">
        <f>+SUM(I66:I68)</f>
        <v>0.2813269409727539</v>
      </c>
      <c r="J69" s="251"/>
      <c r="K69" s="850">
        <f>SUM(K66:K68)</f>
        <v>9951.119999999999</v>
      </c>
      <c r="L69" s="494">
        <f>+SUM(L66:L68)</f>
        <v>0.25246237275235467</v>
      </c>
      <c r="M69" s="251"/>
      <c r="N69" s="850">
        <f>SUM(N66:N68)</f>
        <v>9951.119999999999</v>
      </c>
      <c r="O69" s="494">
        <f>+SUM(O66:O68)</f>
        <v>0.24955004545312059</v>
      </c>
      <c r="P69" s="251"/>
      <c r="Q69" s="850">
        <f>SUM(Q66:Q68)</f>
        <v>9951.119999999999</v>
      </c>
      <c r="R69" s="494">
        <f>+SUM(R66:R68)</f>
        <v>0.23178074534161491</v>
      </c>
      <c r="S69" s="251"/>
      <c r="T69" s="850">
        <f>SUM(T66:T68)</f>
        <v>9951.119999999999</v>
      </c>
      <c r="U69" s="494">
        <f>+SUM(U66:U68)</f>
        <v>0.22553817096664522</v>
      </c>
      <c r="V69" s="251"/>
      <c r="W69" s="850">
        <f>SUM(W66:W68)</f>
        <v>9951.119999999999</v>
      </c>
      <c r="X69" s="494">
        <f>+SUM(X66:X68)</f>
        <v>0.21755242806001146</v>
      </c>
      <c r="Y69" s="251"/>
      <c r="Z69" s="850">
        <f>SUM(Z66:Z68)</f>
        <v>9951.119999999999</v>
      </c>
      <c r="AA69" s="494">
        <f>+SUM(AA66:AA68)</f>
        <v>0.21471830833962671</v>
      </c>
      <c r="AB69" s="251"/>
      <c r="AC69" s="850">
        <f>SUM(AC66:AC68)</f>
        <v>9951.119999999999</v>
      </c>
      <c r="AD69" s="494">
        <f>+SUM(AD66:AD68)</f>
        <v>0.23482083652881836</v>
      </c>
      <c r="AE69" s="251"/>
      <c r="AF69" s="850">
        <f>SUM(AF66:AF68)</f>
        <v>9951.119999999999</v>
      </c>
      <c r="AG69" s="494">
        <f>+SUM(AG66:AG68)</f>
        <v>0.23460861706516825</v>
      </c>
      <c r="AH69" s="251"/>
      <c r="AI69" s="850">
        <f>SUM(AI66:AI68)</f>
        <v>9951.119999999999</v>
      </c>
      <c r="AJ69" s="494">
        <f>+SUM(AJ66:AJ68)</f>
        <v>0.25240100610851596</v>
      </c>
      <c r="AK69" s="231"/>
      <c r="AL69" s="850">
        <f>SUM(AL66:AL68)</f>
        <v>9951.119999999999</v>
      </c>
      <c r="AM69" s="494">
        <f>+SUM(AM66:AM68)</f>
        <v>0.22711674084217737</v>
      </c>
      <c r="AN69" s="251"/>
      <c r="AO69" s="251"/>
      <c r="AP69" s="861">
        <f>+SUM(AP66:AP68)</f>
        <v>119413.44</v>
      </c>
      <c r="AQ69" s="494">
        <f>AP69/'État des Résultats'!AP14</f>
        <v>0.23962563210702342</v>
      </c>
      <c r="AR69" s="251"/>
      <c r="AS69" s="251"/>
      <c r="AT69" s="251"/>
      <c r="AU69" s="251"/>
    </row>
    <row r="70" spans="2:47" ht="15" thickTop="1" thickBot="1" x14ac:dyDescent="0.2"/>
    <row r="71" spans="2:47" ht="15" thickTop="1" thickBot="1" x14ac:dyDescent="0.2">
      <c r="C71" s="614"/>
      <c r="D71" s="615"/>
      <c r="E71" s="615"/>
      <c r="F71" s="615"/>
      <c r="G71" s="615"/>
      <c r="H71" s="615"/>
      <c r="I71" s="616"/>
      <c r="K71" s="315" t="s">
        <v>2</v>
      </c>
    </row>
    <row r="72" spans="2:47" ht="15" thickTop="1" thickBot="1" x14ac:dyDescent="0.2">
      <c r="C72" s="1270" t="s">
        <v>211</v>
      </c>
      <c r="D72" s="1271"/>
      <c r="E72" s="1271"/>
      <c r="F72" s="421">
        <v>0.01</v>
      </c>
      <c r="G72" s="617"/>
      <c r="H72" s="617"/>
      <c r="I72" s="495"/>
      <c r="Z72" s="161" t="s">
        <v>2</v>
      </c>
    </row>
    <row r="73" spans="2:47" ht="14" thickTop="1" x14ac:dyDescent="0.15">
      <c r="C73" s="193"/>
      <c r="D73" s="617"/>
      <c r="E73" s="617"/>
      <c r="F73" s="617"/>
      <c r="G73" s="617"/>
      <c r="H73" s="617"/>
      <c r="I73" s="495"/>
    </row>
    <row r="74" spans="2:47" ht="14" thickBot="1" x14ac:dyDescent="0.2">
      <c r="C74" s="193"/>
      <c r="D74" s="617"/>
      <c r="E74" s="617"/>
      <c r="F74" s="617"/>
      <c r="G74" s="617"/>
      <c r="H74" s="617"/>
      <c r="I74" s="495"/>
    </row>
    <row r="75" spans="2:47" ht="14" customHeight="1" thickTop="1" thickBot="1" x14ac:dyDescent="0.2">
      <c r="C75" s="1270" t="s">
        <v>243</v>
      </c>
      <c r="D75" s="1271"/>
      <c r="E75" s="1271"/>
      <c r="F75" s="1271"/>
      <c r="G75" s="618"/>
      <c r="H75" s="421">
        <v>0.01</v>
      </c>
      <c r="I75" s="495"/>
    </row>
    <row r="76" spans="2:47" ht="15" thickTop="1" thickBot="1" x14ac:dyDescent="0.2">
      <c r="C76" s="1270" t="s">
        <v>244</v>
      </c>
      <c r="D76" s="1271"/>
      <c r="E76" s="1271"/>
      <c r="F76" s="1271"/>
      <c r="G76" s="617"/>
      <c r="H76" s="421">
        <v>0.01</v>
      </c>
      <c r="I76" s="495"/>
    </row>
    <row r="77" spans="2:47" ht="14" thickTop="1" x14ac:dyDescent="0.15">
      <c r="C77" s="193"/>
      <c r="D77" s="617"/>
      <c r="E77" s="617"/>
      <c r="F77" s="617"/>
      <c r="G77" s="617"/>
      <c r="H77" s="617"/>
      <c r="I77" s="495"/>
    </row>
    <row r="78" spans="2:47" ht="14" thickBot="1" x14ac:dyDescent="0.2">
      <c r="C78" s="619"/>
      <c r="D78" s="620"/>
      <c r="E78" s="620"/>
      <c r="F78" s="620"/>
      <c r="G78" s="620"/>
      <c r="H78" s="620"/>
      <c r="I78" s="621"/>
    </row>
    <row r="79" spans="2:47" ht="14" thickTop="1" x14ac:dyDescent="0.15"/>
  </sheetData>
  <sheetProtection algorithmName="SHA-512" hashValue="chxIwRwQWELc9XXWdyhiQSOOEQztbk70cpYC4dawADgD0fvU56/I8x4DASSnuU+LKHq1YnqK2llSVBA2Wfqy9A==" saltValue="Lk+HScckIXRE4yYw9+SOVw==" spinCount="100000" sheet="1" objects="1" scenarios="1"/>
  <mergeCells count="12">
    <mergeCell ref="C76:F76"/>
    <mergeCell ref="B2:C2"/>
    <mergeCell ref="B3:C3"/>
    <mergeCell ref="B4:C4"/>
    <mergeCell ref="B6:C6"/>
    <mergeCell ref="B7:C7"/>
    <mergeCell ref="B8:C8"/>
    <mergeCell ref="AS2:AS8"/>
    <mergeCell ref="BC2:BC8"/>
    <mergeCell ref="B9:C9"/>
    <mergeCell ref="C72:E72"/>
    <mergeCell ref="C75:F75"/>
  </mergeCells>
  <pageMargins left="0.75000000000000011" right="0.75000000000000011" top="1" bottom="1" header="0.49" footer="0.49"/>
  <pageSetup paperSize="5" scale="44" fitToHeight="2" orientation="landscape"/>
  <headerFooter>
    <oddFooter>&amp;C&amp;K000000Budget et indicateurs de performance (430-763-Me)</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82" t="str">
        <f>'État des Résultats'!C2</f>
        <v>Chez Les Petites Gâteries &amp; Cie.</v>
      </c>
      <c r="C2" s="1283"/>
      <c r="AS2" s="1240" t="s">
        <v>42</v>
      </c>
      <c r="AT2" s="367"/>
      <c r="AU2" s="367"/>
      <c r="AV2" s="367"/>
      <c r="AW2" s="367"/>
      <c r="AX2" s="367"/>
      <c r="AY2" s="367"/>
      <c r="AZ2" s="367"/>
      <c r="BA2" s="367"/>
      <c r="BB2" s="367"/>
      <c r="BC2" s="1243" t="s">
        <v>43</v>
      </c>
    </row>
    <row r="3" spans="2:56" ht="20" customHeight="1" x14ac:dyDescent="0.2">
      <c r="B3" s="1284" t="str">
        <f>'État des Résultats'!C3</f>
        <v xml:space="preserve">États des résultats </v>
      </c>
      <c r="C3" s="1285"/>
      <c r="AS3" s="1241"/>
      <c r="AT3" s="368"/>
      <c r="AU3" s="368"/>
      <c r="AV3" s="368"/>
      <c r="AW3" s="368"/>
      <c r="AX3" s="368"/>
      <c r="AY3" s="368"/>
      <c r="AZ3" s="368"/>
      <c r="BA3" s="368"/>
      <c r="BB3" s="368"/>
      <c r="BC3" s="1244"/>
    </row>
    <row r="4" spans="2:56" ht="20" customHeight="1" thickBot="1" x14ac:dyDescent="0.3">
      <c r="B4" s="1286" t="str">
        <f>'État des Résultats'!C4</f>
        <v>Pour la période du 1er janvier 2021 au 31 décembre 2021</v>
      </c>
      <c r="C4" s="1287"/>
      <c r="AS4" s="1241"/>
      <c r="AT4" s="369" t="str">
        <f>'Formule pour le calcul D'!BA103</f>
        <v>Coût annuel</v>
      </c>
      <c r="AU4" s="369" t="s">
        <v>44</v>
      </c>
      <c r="AV4" s="369" t="str">
        <f>'Formule pour le calcul D'!BC103</f>
        <v>Achalandage annuelle</v>
      </c>
      <c r="AW4" s="369" t="s">
        <v>45</v>
      </c>
      <c r="AX4" s="369" t="s">
        <v>46</v>
      </c>
      <c r="AY4" s="369" t="str">
        <f>'Formule pour le calcul D'!BF103</f>
        <v>Um/A</v>
      </c>
      <c r="AZ4" s="369" t="s">
        <v>45</v>
      </c>
      <c r="BA4" s="369" t="str">
        <f>'Formule pour le calcul D'!BH103</f>
        <v>CmO</v>
      </c>
      <c r="BB4" s="369" t="s">
        <v>49</v>
      </c>
      <c r="BC4" s="1244"/>
    </row>
    <row r="5" spans="2:56" ht="21" thickTop="1" thickBot="1" x14ac:dyDescent="0.3">
      <c r="AS5" s="1241"/>
      <c r="AT5" s="370" t="s">
        <v>2</v>
      </c>
      <c r="AU5" s="371"/>
      <c r="AV5" s="370"/>
      <c r="AW5" s="371"/>
      <c r="AX5" s="371"/>
      <c r="AY5" s="371"/>
      <c r="AZ5" s="371"/>
      <c r="BA5" s="371"/>
      <c r="BB5" s="371"/>
      <c r="BC5" s="1244"/>
    </row>
    <row r="6" spans="2:56" ht="27" thickTop="1" x14ac:dyDescent="0.3">
      <c r="B6" s="1258" t="str">
        <f>'État des Résultats'!C6</f>
        <v>Nb de places</v>
      </c>
      <c r="C6" s="1288"/>
      <c r="E6" s="638" t="str">
        <f>'Coût marchandises vendues'!D6</f>
        <v>Coût / place / jour</v>
      </c>
      <c r="F6" s="639">
        <f>+E26/$B$7/'Calendrier 2021'!D8</f>
        <v>6.4516129032258063E-2</v>
      </c>
      <c r="G6" s="170"/>
      <c r="H6" s="638" t="str">
        <f>+E6</f>
        <v>Coût / place / jour</v>
      </c>
      <c r="I6" s="639">
        <f>+H26/$B$7/'Calendrier 2021'!E8</f>
        <v>7.1428571428571425E-2</v>
      </c>
      <c r="J6" s="170"/>
      <c r="K6" s="638" t="str">
        <f>+H6</f>
        <v>Coût / place / jour</v>
      </c>
      <c r="L6" s="639">
        <f>+K26/$B$7/'Calendrier 2021'!F8</f>
        <v>6.4516129032258063E-2</v>
      </c>
      <c r="M6" s="170"/>
      <c r="N6" s="638" t="str">
        <f>+K6</f>
        <v>Coût / place / jour</v>
      </c>
      <c r="O6" s="639">
        <f>+N26/$B$7/'Calendrier 2021'!G8</f>
        <v>6.6666666666666666E-2</v>
      </c>
      <c r="P6" s="423"/>
      <c r="Q6" s="638" t="str">
        <f>+N6</f>
        <v>Coût / place / jour</v>
      </c>
      <c r="R6" s="639">
        <f>+Q26/$B$7/'Calendrier 2021'!H8</f>
        <v>6.4516129032258063E-2</v>
      </c>
      <c r="S6" s="423"/>
      <c r="T6" s="638" t="str">
        <f>+Q6</f>
        <v>Coût / place / jour</v>
      </c>
      <c r="U6" s="639">
        <f>+T26/$B$7/'Calendrier 2021'!I8</f>
        <v>6.6666666666666666E-2</v>
      </c>
      <c r="V6" s="170"/>
      <c r="W6" s="638" t="str">
        <f>+T6</f>
        <v>Coût / place / jour</v>
      </c>
      <c r="X6" s="639">
        <f>+W26/$B$7/'Calendrier 2021'!J8</f>
        <v>6.4516129032258063E-2</v>
      </c>
      <c r="Y6" s="170"/>
      <c r="Z6" s="638" t="str">
        <f>+W6</f>
        <v>Coût / place / jour</v>
      </c>
      <c r="AA6" s="639">
        <f>+Z26/$B$7/'Calendrier 2021'!K8</f>
        <v>6.4516129032258063E-2</v>
      </c>
      <c r="AB6" s="170"/>
      <c r="AC6" s="638" t="str">
        <f>+Z6</f>
        <v>Coût / place / jour</v>
      </c>
      <c r="AD6" s="639">
        <f>+AC26/$B$7/'Calendrier 2021'!L8</f>
        <v>6.6666666666666666E-2</v>
      </c>
      <c r="AE6" s="170"/>
      <c r="AF6" s="638" t="str">
        <f>+AC6</f>
        <v>Coût / place / jour</v>
      </c>
      <c r="AG6" s="639">
        <f>+AF26/$B$7/'Calendrier 2021'!M8</f>
        <v>6.4516129032258063E-2</v>
      </c>
      <c r="AH6" s="170"/>
      <c r="AI6" s="638" t="str">
        <f>+AF6</f>
        <v>Coût / place / jour</v>
      </c>
      <c r="AJ6" s="639">
        <f>+AI26/$B$7/'Calendrier 2021'!N8</f>
        <v>6.6666666666666666E-2</v>
      </c>
      <c r="AK6" s="170"/>
      <c r="AL6" s="638" t="str">
        <f>+AI6</f>
        <v>Coût / place / jour</v>
      </c>
      <c r="AM6" s="639">
        <f>+AL26/$B$7/'Calendrier 2021'!O8</f>
        <v>6.4516129032258063E-2</v>
      </c>
      <c r="AN6" s="170"/>
      <c r="AO6" s="170"/>
      <c r="AP6" s="673" t="str">
        <f>+AL6</f>
        <v>Coût / place / jour</v>
      </c>
      <c r="AQ6" s="674">
        <f>+AP26/$B$7/'% Occupation'!P9</f>
        <v>6.575342465753424E-2</v>
      </c>
      <c r="AS6" s="1241"/>
      <c r="AT6" s="630" t="str">
        <f>'Formule pour le calcul D'!BA105</f>
        <v xml:space="preserve">C </v>
      </c>
      <c r="AU6" s="373"/>
      <c r="AV6" s="372" t="str">
        <f>'Formule pour le calcul D'!BC105</f>
        <v>A</v>
      </c>
      <c r="AW6" s="373"/>
      <c r="AX6" s="373"/>
      <c r="AY6" s="372" t="str">
        <f>AY4</f>
        <v>Um/A</v>
      </c>
      <c r="AZ6" s="373"/>
      <c r="BA6" s="372" t="str">
        <f>BA4</f>
        <v>CmO</v>
      </c>
      <c r="BB6" s="373"/>
      <c r="BC6" s="1244"/>
    </row>
    <row r="7" spans="2:56" ht="21" x14ac:dyDescent="0.25">
      <c r="B7" s="1262">
        <f>'État des Résultats'!C7</f>
        <v>1</v>
      </c>
      <c r="C7" s="1289"/>
      <c r="E7" s="425">
        <f>+E26/$AP26</f>
        <v>8.3333333333333329E-2</v>
      </c>
      <c r="F7" s="642"/>
      <c r="H7" s="425">
        <f>+H26/$AP26</f>
        <v>8.3333333333333329E-2</v>
      </c>
      <c r="I7" s="642"/>
      <c r="K7" s="425">
        <f>+K26/$AP26</f>
        <v>8.3333333333333329E-2</v>
      </c>
      <c r="L7" s="426"/>
      <c r="N7" s="425">
        <f>+N26/$AP26</f>
        <v>8.3333333333333329E-2</v>
      </c>
      <c r="O7" s="426"/>
      <c r="P7" s="643"/>
      <c r="Q7" s="425">
        <f>+Q26/$AP26</f>
        <v>8.3333333333333329E-2</v>
      </c>
      <c r="R7" s="426"/>
      <c r="S7" s="643"/>
      <c r="T7" s="425">
        <f>+T26/$AP26</f>
        <v>8.3333333333333329E-2</v>
      </c>
      <c r="U7" s="426"/>
      <c r="W7" s="425">
        <f>+W26/$AP26</f>
        <v>8.3333333333333329E-2</v>
      </c>
      <c r="X7" s="426"/>
      <c r="Z7" s="425">
        <f>+Z26/$AP26</f>
        <v>8.3333333333333329E-2</v>
      </c>
      <c r="AA7" s="426"/>
      <c r="AC7" s="425">
        <f>+AC26/$AP26</f>
        <v>8.3333333333333329E-2</v>
      </c>
      <c r="AD7" s="426"/>
      <c r="AF7" s="425">
        <f>+AF26/$AP26</f>
        <v>8.3333333333333329E-2</v>
      </c>
      <c r="AG7" s="426"/>
      <c r="AI7" s="425">
        <f>+AI26/$AP26</f>
        <v>8.3333333333333329E-2</v>
      </c>
      <c r="AJ7" s="426"/>
      <c r="AL7" s="425">
        <f>+AL26/$AP26</f>
        <v>8.3333333333333329E-2</v>
      </c>
      <c r="AM7" s="426"/>
      <c r="AP7" s="675">
        <f>+AP26/$AP26</f>
        <v>1</v>
      </c>
      <c r="AQ7" s="676" t="s">
        <v>136</v>
      </c>
      <c r="AS7" s="1241"/>
      <c r="AT7" s="631">
        <f>AP26</f>
        <v>24</v>
      </c>
      <c r="AU7" s="369" t="s">
        <v>44</v>
      </c>
      <c r="AV7" s="632">
        <f>'Formule pour le calcul D'!G114</f>
        <v>52000</v>
      </c>
      <c r="AW7" s="369" t="s">
        <v>45</v>
      </c>
      <c r="AX7" s="369" t="s">
        <v>46</v>
      </c>
      <c r="AY7" s="633">
        <f>'Formule pour le calcul D'!J106</f>
        <v>2</v>
      </c>
      <c r="AZ7" s="369" t="s">
        <v>45</v>
      </c>
      <c r="BA7" s="634">
        <f>AT7/AV7/AY7</f>
        <v>2.3076923076923076E-4</v>
      </c>
      <c r="BB7" s="369" t="s">
        <v>49</v>
      </c>
      <c r="BC7" s="1244"/>
    </row>
    <row r="8" spans="2:56" ht="17" thickBot="1" x14ac:dyDescent="0.25">
      <c r="B8" s="1262" t="s">
        <v>259</v>
      </c>
      <c r="C8" s="1289"/>
      <c r="E8" s="647" t="str">
        <f>'État des Résultats'!E8</f>
        <v>Pér.01</v>
      </c>
      <c r="F8" s="646" t="str">
        <f>'État des Résultats'!F8</f>
        <v>(%)</v>
      </c>
      <c r="G8" s="383"/>
      <c r="H8" s="647" t="str">
        <f>'État des Résultats'!H8</f>
        <v>Pér.02</v>
      </c>
      <c r="I8" s="646" t="str">
        <f>F8</f>
        <v>(%)</v>
      </c>
      <c r="J8" s="383"/>
      <c r="K8" s="647" t="str">
        <f>'État des Résultats'!K8</f>
        <v>Pér.03</v>
      </c>
      <c r="L8" s="646" t="str">
        <f>I8</f>
        <v>(%)</v>
      </c>
      <c r="M8" s="383"/>
      <c r="N8" s="647" t="str">
        <f>'État des Résultats'!N8</f>
        <v>Pér.04</v>
      </c>
      <c r="O8" s="646" t="str">
        <f>L8</f>
        <v>(%)</v>
      </c>
      <c r="P8" s="427"/>
      <c r="Q8" s="647" t="str">
        <f>'État des Résultats'!Q8</f>
        <v>Pér.05</v>
      </c>
      <c r="R8" s="646" t="str">
        <f>O8</f>
        <v>(%)</v>
      </c>
      <c r="S8" s="427"/>
      <c r="T8" s="647" t="str">
        <f>'État des Résultats'!T8</f>
        <v>Pér.06</v>
      </c>
      <c r="U8" s="646" t="str">
        <f>R8</f>
        <v>(%)</v>
      </c>
      <c r="V8" s="383"/>
      <c r="W8" s="647" t="str">
        <f>'État des Résultats'!W8</f>
        <v>Pér.07</v>
      </c>
      <c r="X8" s="646" t="str">
        <f>U8</f>
        <v>(%)</v>
      </c>
      <c r="Y8" s="383"/>
      <c r="Z8" s="647" t="str">
        <f>'État des Résultats'!Z8</f>
        <v>Pér.08</v>
      </c>
      <c r="AA8" s="646" t="str">
        <f>X8</f>
        <v>(%)</v>
      </c>
      <c r="AB8" s="383"/>
      <c r="AC8" s="647" t="str">
        <f>'État des Résultats'!AC8</f>
        <v>Pér.09</v>
      </c>
      <c r="AD8" s="646" t="str">
        <f>AA8</f>
        <v>(%)</v>
      </c>
      <c r="AE8" s="383"/>
      <c r="AF8" s="647" t="str">
        <f>'État des Résultats'!AF8</f>
        <v>Pér.10</v>
      </c>
      <c r="AG8" s="646" t="str">
        <f>AD8</f>
        <v>(%)</v>
      </c>
      <c r="AH8" s="383"/>
      <c r="AI8" s="647" t="str">
        <f>'État des Résultats'!AI8</f>
        <v>Pér.11</v>
      </c>
      <c r="AJ8" s="646" t="str">
        <f>AG8</f>
        <v>(%)</v>
      </c>
      <c r="AK8" s="383"/>
      <c r="AL8" s="647" t="str">
        <f>'État des Résultats'!AL8</f>
        <v>Pér.12</v>
      </c>
      <c r="AM8" s="646" t="str">
        <f>AJ8</f>
        <v>(%)</v>
      </c>
      <c r="AN8" s="648" t="s">
        <v>2</v>
      </c>
      <c r="AO8" s="383"/>
      <c r="AP8" s="677" t="str">
        <f>'État des Résultats'!AS8</f>
        <v>Total</v>
      </c>
      <c r="AQ8" s="678" t="str">
        <f>AM8</f>
        <v>(%)</v>
      </c>
      <c r="AS8" s="1242"/>
      <c r="AT8" s="374"/>
      <c r="AU8" s="374"/>
      <c r="AV8" s="374"/>
      <c r="AW8" s="374"/>
      <c r="AX8" s="374"/>
      <c r="AY8" s="374"/>
      <c r="AZ8" s="374"/>
      <c r="BA8" s="374"/>
      <c r="BB8" s="374"/>
      <c r="BC8" s="1245"/>
    </row>
    <row r="9" spans="2:56" ht="15" thickTop="1" thickBot="1" x14ac:dyDescent="0.2">
      <c r="B9" s="1246">
        <f>E26/B7</f>
        <v>2</v>
      </c>
      <c r="C9" s="1281"/>
      <c r="E9" s="665" t="str">
        <f>'État des Résultats'!E9</f>
        <v>Janvier 2021</v>
      </c>
      <c r="F9" s="666"/>
      <c r="G9" s="293"/>
      <c r="H9" s="667" t="str">
        <f>'État des Résultats'!H9</f>
        <v>Février 2021</v>
      </c>
      <c r="I9" s="668"/>
      <c r="J9" s="293"/>
      <c r="K9" s="667" t="str">
        <f>'État des Résultats'!K9</f>
        <v>Mars 2021</v>
      </c>
      <c r="L9" s="668"/>
      <c r="M9" s="293"/>
      <c r="N9" s="665" t="str">
        <f>'État des Résultats'!N9</f>
        <v>Avril 2021</v>
      </c>
      <c r="O9" s="666"/>
      <c r="P9" s="669"/>
      <c r="Q9" s="665" t="str">
        <f>'État des Résultats'!Q9</f>
        <v>Mai 2021</v>
      </c>
      <c r="R9" s="666"/>
      <c r="S9" s="669"/>
      <c r="T9" s="667" t="str">
        <f>'État des Résultats'!T9</f>
        <v>Juin 2021</v>
      </c>
      <c r="U9" s="668"/>
      <c r="V9" s="293"/>
      <c r="W9" s="667" t="str">
        <f>'État des Résultats'!W9</f>
        <v>Juillet 2021</v>
      </c>
      <c r="X9" s="668"/>
      <c r="Y9" s="293"/>
      <c r="Z9" s="667" t="str">
        <f>'État des Résultats'!Z9</f>
        <v>Août 2021</v>
      </c>
      <c r="AA9" s="668"/>
      <c r="AB9" s="293"/>
      <c r="AC9" s="667" t="str">
        <f>'État des Résultats'!AC9</f>
        <v>Septembre 2021</v>
      </c>
      <c r="AD9" s="668"/>
      <c r="AE9" s="293"/>
      <c r="AF9" s="667" t="str">
        <f>'État des Résultats'!AF9</f>
        <v>Octobre 2021</v>
      </c>
      <c r="AG9" s="668"/>
      <c r="AH9" s="293"/>
      <c r="AI9" s="667" t="str">
        <f>'État des Résultats'!AI9</f>
        <v>Novembre 2021</v>
      </c>
      <c r="AJ9" s="668"/>
      <c r="AK9" s="293"/>
      <c r="AL9" s="667" t="str">
        <f>'État des Résultats'!AL9</f>
        <v>Décembre 2021</v>
      </c>
      <c r="AM9" s="668"/>
      <c r="AN9" s="293"/>
      <c r="AO9" s="293"/>
      <c r="AP9" s="679" t="str">
        <f>'État des Résultats'!AP9</f>
        <v>Année</v>
      </c>
      <c r="AQ9" s="680"/>
      <c r="AR9" s="672"/>
      <c r="AS9" s="672"/>
      <c r="AT9" s="329"/>
      <c r="AU9" s="329"/>
      <c r="AV9" s="329"/>
      <c r="AW9" s="650"/>
      <c r="AX9" s="650"/>
      <c r="AY9" s="650"/>
      <c r="AZ9" s="650"/>
    </row>
    <row r="10" spans="2:56" ht="15" thickTop="1" thickBot="1" x14ac:dyDescent="0.2">
      <c r="D10" s="251"/>
      <c r="G10" s="389"/>
      <c r="J10" s="389"/>
      <c r="M10" s="389"/>
      <c r="P10" s="434"/>
      <c r="S10" s="434"/>
      <c r="V10" s="389"/>
      <c r="Y10" s="187"/>
      <c r="AB10" s="389"/>
      <c r="AE10" s="389"/>
      <c r="AH10" s="389"/>
      <c r="AK10" s="389"/>
      <c r="AN10" s="389"/>
      <c r="AO10" s="389"/>
      <c r="AR10" s="170"/>
      <c r="AS10" s="170"/>
      <c r="AT10" s="170"/>
    </row>
    <row r="11" spans="2:56" ht="20" customHeight="1" thickTop="1" x14ac:dyDescent="0.2">
      <c r="B11" s="651"/>
      <c r="C11" s="692" t="s">
        <v>245</v>
      </c>
      <c r="E11" s="651"/>
      <c r="F11" s="652"/>
      <c r="H11" s="651"/>
      <c r="I11" s="652"/>
      <c r="K11" s="651"/>
      <c r="L11" s="652"/>
      <c r="N11" s="651"/>
      <c r="O11" s="652"/>
      <c r="Q11" s="651"/>
      <c r="R11" s="652"/>
      <c r="T11" s="651"/>
      <c r="U11" s="652"/>
      <c r="W11" s="651"/>
      <c r="X11" s="652"/>
      <c r="Z11" s="651"/>
      <c r="AA11" s="652"/>
      <c r="AC11" s="651"/>
      <c r="AD11" s="652"/>
      <c r="AF11" s="651"/>
      <c r="AG11" s="652"/>
      <c r="AI11" s="651"/>
      <c r="AJ11" s="652"/>
      <c r="AL11" s="651"/>
      <c r="AM11" s="652"/>
      <c r="AP11" s="614"/>
      <c r="AQ11" s="616"/>
      <c r="AR11" s="187"/>
      <c r="AS11" s="187"/>
      <c r="AT11" s="187"/>
      <c r="AU11" s="187"/>
      <c r="AV11" s="187"/>
      <c r="AW11" s="187"/>
      <c r="AX11" s="187"/>
      <c r="AY11" s="187"/>
      <c r="AZ11" s="187"/>
      <c r="BA11" s="187"/>
      <c r="BB11" s="187"/>
      <c r="BC11" s="187"/>
      <c r="BD11" s="187"/>
    </row>
    <row r="12" spans="2:56" x14ac:dyDescent="0.15">
      <c r="B12" s="190"/>
      <c r="C12" s="653"/>
      <c r="E12" s="190"/>
      <c r="F12" s="392"/>
      <c r="H12" s="190"/>
      <c r="I12" s="392"/>
      <c r="K12" s="190"/>
      <c r="L12" s="392"/>
      <c r="N12" s="190"/>
      <c r="O12" s="392"/>
      <c r="Q12" s="190"/>
      <c r="R12" s="392"/>
      <c r="T12" s="190"/>
      <c r="U12" s="392"/>
      <c r="W12" s="190"/>
      <c r="X12" s="392"/>
      <c r="Z12" s="190"/>
      <c r="AA12" s="392"/>
      <c r="AC12" s="190"/>
      <c r="AD12" s="392"/>
      <c r="AF12" s="190"/>
      <c r="AG12" s="392"/>
      <c r="AI12" s="190"/>
      <c r="AJ12" s="392"/>
      <c r="AL12" s="190"/>
      <c r="AM12" s="191"/>
      <c r="AP12" s="193"/>
      <c r="AQ12" s="495"/>
      <c r="AR12" s="187"/>
      <c r="AS12" s="187"/>
      <c r="AT12" s="187"/>
      <c r="AU12" s="187"/>
      <c r="AV12" s="187"/>
      <c r="AW12" s="187"/>
      <c r="AX12" s="187"/>
      <c r="AY12" s="187"/>
      <c r="AZ12" s="187"/>
      <c r="BA12" s="187"/>
      <c r="BB12" s="187"/>
      <c r="BC12" s="187"/>
      <c r="BD12" s="187"/>
    </row>
    <row r="13" spans="2:56" x14ac:dyDescent="0.15">
      <c r="B13" s="654">
        <v>7305</v>
      </c>
      <c r="C13" s="392" t="s">
        <v>246</v>
      </c>
      <c r="E13" s="812">
        <v>1</v>
      </c>
      <c r="F13" s="655">
        <f>E13/'État des Résultats'!E14</f>
        <v>2.7402265253927655E-5</v>
      </c>
      <c r="H13" s="812">
        <f>+E13</f>
        <v>1</v>
      </c>
      <c r="I13" s="655">
        <f>H13/'État des Résultats'!H14</f>
        <v>2.8270882169319025E-5</v>
      </c>
      <c r="K13" s="812">
        <f>+H13</f>
        <v>1</v>
      </c>
      <c r="L13" s="655">
        <f>K13/'État des Résultats'!K14</f>
        <v>2.537024704278058E-5</v>
      </c>
      <c r="N13" s="812">
        <f>+K13</f>
        <v>1</v>
      </c>
      <c r="O13" s="655">
        <f>N13/'État des Résultats'!N14</f>
        <v>2.5077583774803299E-5</v>
      </c>
      <c r="Q13" s="812">
        <f>+N13</f>
        <v>1</v>
      </c>
      <c r="R13" s="655">
        <f>Q13/'État des Résultats'!Q14</f>
        <v>2.3291925465838507E-5</v>
      </c>
      <c r="T13" s="812">
        <f>+Q13</f>
        <v>1</v>
      </c>
      <c r="U13" s="655">
        <f>T13/'État des Résultats'!T14</f>
        <v>2.2664601669625653E-5</v>
      </c>
      <c r="W13" s="812">
        <f>+T13</f>
        <v>1</v>
      </c>
      <c r="X13" s="655">
        <f>W13/'État des Résultats'!W14</f>
        <v>2.1862104774137129E-5</v>
      </c>
      <c r="Z13" s="812">
        <f>+W13</f>
        <v>1</v>
      </c>
      <c r="AA13" s="655">
        <f>Z13/'État des Résultats'!Z14</f>
        <v>2.1577300679684971E-5</v>
      </c>
      <c r="AC13" s="812">
        <f>+Z13</f>
        <v>1</v>
      </c>
      <c r="AD13" s="655">
        <f>AC13/'État des Résultats'!AC14</f>
        <v>2.359742788036104E-5</v>
      </c>
      <c r="AF13" s="812">
        <f>+AC13</f>
        <v>1</v>
      </c>
      <c r="AG13" s="655">
        <f>AF13/'État des Résultats'!AF14</f>
        <v>2.3576101691585294E-5</v>
      </c>
      <c r="AI13" s="812">
        <f>+AF13</f>
        <v>1</v>
      </c>
      <c r="AJ13" s="655">
        <f>AI13/'État des Résultats'!AI14</f>
        <v>2.5364080235040474E-5</v>
      </c>
      <c r="AL13" s="812">
        <f>+AI13</f>
        <v>1</v>
      </c>
      <c r="AM13" s="655">
        <f>AL13/'État des Résultats'!AL14</f>
        <v>2.2823234052265207E-5</v>
      </c>
      <c r="AP13" s="815">
        <f>SUM(+$AL13+$AI13+$AF13+$AC13+$Z13+$W13+$T13+$Q13+$N13+$K13+$H13+$E13)</f>
        <v>12</v>
      </c>
      <c r="AQ13" s="657">
        <f>AP13/'État des Résultats'!$AP$14</f>
        <v>2.408026755852843E-5</v>
      </c>
    </row>
    <row r="14" spans="2:56" x14ac:dyDescent="0.15">
      <c r="B14" s="654">
        <v>7310</v>
      </c>
      <c r="C14" s="392" t="s">
        <v>247</v>
      </c>
      <c r="E14" s="812">
        <v>0</v>
      </c>
      <c r="F14" s="658">
        <f>E14/'État des Résultats'!E14</f>
        <v>0</v>
      </c>
      <c r="H14" s="812">
        <v>0</v>
      </c>
      <c r="I14" s="658">
        <f>H14/'État des Résultats'!H14</f>
        <v>0</v>
      </c>
      <c r="K14" s="812">
        <v>0</v>
      </c>
      <c r="L14" s="658">
        <f>K14/'État des Résultats'!K14</f>
        <v>0</v>
      </c>
      <c r="N14" s="812">
        <v>0</v>
      </c>
      <c r="O14" s="658">
        <f>N14/'État des Résultats'!N14</f>
        <v>0</v>
      </c>
      <c r="Q14" s="812">
        <v>0</v>
      </c>
      <c r="R14" s="658">
        <f>Q14/'État des Résultats'!Q14</f>
        <v>0</v>
      </c>
      <c r="T14" s="812">
        <v>0</v>
      </c>
      <c r="U14" s="658">
        <f>T14/'État des Résultats'!T14</f>
        <v>0</v>
      </c>
      <c r="W14" s="812">
        <v>0</v>
      </c>
      <c r="X14" s="658">
        <f>W14/'État des Résultats'!W14</f>
        <v>0</v>
      </c>
      <c r="Z14" s="812">
        <v>0</v>
      </c>
      <c r="AA14" s="658">
        <f>Z14/'État des Résultats'!Z14</f>
        <v>0</v>
      </c>
      <c r="AC14" s="812">
        <v>0</v>
      </c>
      <c r="AD14" s="658">
        <f>AC14/'État des Résultats'!AC14</f>
        <v>0</v>
      </c>
      <c r="AF14" s="812">
        <v>0</v>
      </c>
      <c r="AG14" s="658">
        <f>AF14/'État des Résultats'!AF14</f>
        <v>0</v>
      </c>
      <c r="AI14" s="812">
        <v>0</v>
      </c>
      <c r="AJ14" s="658">
        <f>AI14/'État des Résultats'!AI14</f>
        <v>0</v>
      </c>
      <c r="AL14" s="812">
        <v>0</v>
      </c>
      <c r="AM14" s="658">
        <f>AL14/'État des Résultats'!AL14</f>
        <v>0</v>
      </c>
      <c r="AP14" s="815">
        <f>SUM(+$AL14+$AI14+$AF14+$AC14+$Z14+$W14+$T14+$Q14+$N14+$K14+$H14+$E14)</f>
        <v>0</v>
      </c>
      <c r="AQ14" s="657">
        <f>AP14/'État des Résultats'!$AP$14</f>
        <v>0</v>
      </c>
    </row>
    <row r="15" spans="2:56" x14ac:dyDescent="0.15">
      <c r="B15" s="654">
        <v>7315</v>
      </c>
      <c r="C15" s="392" t="s">
        <v>248</v>
      </c>
      <c r="E15" s="812">
        <v>0</v>
      </c>
      <c r="F15" s="658">
        <f>E15/'État des Résultats'!E14</f>
        <v>0</v>
      </c>
      <c r="G15" s="659" t="s">
        <v>2</v>
      </c>
      <c r="H15" s="812">
        <v>0</v>
      </c>
      <c r="I15" s="658">
        <f>H15/'État des Résultats'!H14</f>
        <v>0</v>
      </c>
      <c r="K15" s="812">
        <v>0</v>
      </c>
      <c r="L15" s="658">
        <f>K15/'État des Résultats'!K14</f>
        <v>0</v>
      </c>
      <c r="N15" s="812">
        <v>0</v>
      </c>
      <c r="O15" s="658">
        <f>N15/'État des Résultats'!N14</f>
        <v>0</v>
      </c>
      <c r="Q15" s="812">
        <v>0</v>
      </c>
      <c r="R15" s="658">
        <f>Q15/'État des Résultats'!Q14</f>
        <v>0</v>
      </c>
      <c r="T15" s="812">
        <v>0</v>
      </c>
      <c r="U15" s="658">
        <f>T15/'État des Résultats'!T14</f>
        <v>0</v>
      </c>
      <c r="W15" s="812">
        <v>0</v>
      </c>
      <c r="X15" s="658">
        <f>W15/'État des Résultats'!W14</f>
        <v>0</v>
      </c>
      <c r="Z15" s="812">
        <v>0</v>
      </c>
      <c r="AA15" s="658">
        <f>Z15/'État des Résultats'!Z14</f>
        <v>0</v>
      </c>
      <c r="AC15" s="812">
        <v>0</v>
      </c>
      <c r="AD15" s="658">
        <f>AC15/'État des Résultats'!AC14</f>
        <v>0</v>
      </c>
      <c r="AF15" s="812">
        <v>0</v>
      </c>
      <c r="AG15" s="658">
        <f>AF15/'État des Résultats'!AF14</f>
        <v>0</v>
      </c>
      <c r="AI15" s="812">
        <v>0</v>
      </c>
      <c r="AJ15" s="658">
        <f>AI15/'État des Résultats'!AI14</f>
        <v>0</v>
      </c>
      <c r="AL15" s="812">
        <v>0</v>
      </c>
      <c r="AM15" s="658">
        <f>AL15/'État des Résultats'!AL14</f>
        <v>0</v>
      </c>
      <c r="AP15" s="815">
        <f t="shared" ref="AP15:AP24" si="0">SUM(+$AL15+$AI15+$AF15+$AC15+$Z15+$W15+$T15+$Q15+$N15+$K15+$H15+$E15)</f>
        <v>0</v>
      </c>
      <c r="AQ15" s="657">
        <f>AP15/'État des Résultats'!$AP$14</f>
        <v>0</v>
      </c>
    </row>
    <row r="16" spans="2:56" x14ac:dyDescent="0.15">
      <c r="B16" s="654">
        <v>7320</v>
      </c>
      <c r="C16" s="392" t="s">
        <v>249</v>
      </c>
      <c r="E16" s="812">
        <v>0</v>
      </c>
      <c r="F16" s="658">
        <f>E16/'État des Résultats'!E14</f>
        <v>0</v>
      </c>
      <c r="H16" s="812">
        <v>0</v>
      </c>
      <c r="I16" s="658">
        <f>H16/'État des Résultats'!H14</f>
        <v>0</v>
      </c>
      <c r="K16" s="812">
        <v>0</v>
      </c>
      <c r="L16" s="658">
        <f>K16/'État des Résultats'!K14</f>
        <v>0</v>
      </c>
      <c r="N16" s="812">
        <v>0</v>
      </c>
      <c r="O16" s="658">
        <f>N16/'État des Résultats'!N14</f>
        <v>0</v>
      </c>
      <c r="Q16" s="812">
        <v>0</v>
      </c>
      <c r="R16" s="658">
        <f>Q16/'État des Résultats'!Q14</f>
        <v>0</v>
      </c>
      <c r="T16" s="812">
        <v>0</v>
      </c>
      <c r="U16" s="658">
        <f>T16/'État des Résultats'!T14</f>
        <v>0</v>
      </c>
      <c r="W16" s="812">
        <v>0</v>
      </c>
      <c r="X16" s="658">
        <f>W16/'État des Résultats'!W14</f>
        <v>0</v>
      </c>
      <c r="Z16" s="812">
        <v>0</v>
      </c>
      <c r="AA16" s="658">
        <f>Z16/'État des Résultats'!Z14</f>
        <v>0</v>
      </c>
      <c r="AC16" s="812">
        <v>0</v>
      </c>
      <c r="AD16" s="658">
        <f>AC16/'État des Résultats'!AC14</f>
        <v>0</v>
      </c>
      <c r="AF16" s="812">
        <v>0</v>
      </c>
      <c r="AG16" s="658">
        <f>AF16/'État des Résultats'!AF14</f>
        <v>0</v>
      </c>
      <c r="AI16" s="812">
        <v>0</v>
      </c>
      <c r="AJ16" s="658">
        <f>AI16/'État des Résultats'!AI14</f>
        <v>0</v>
      </c>
      <c r="AL16" s="812">
        <v>0</v>
      </c>
      <c r="AM16" s="658">
        <f>AL16/'État des Résultats'!AL14</f>
        <v>0</v>
      </c>
      <c r="AP16" s="815">
        <f t="shared" si="0"/>
        <v>0</v>
      </c>
      <c r="AQ16" s="657">
        <f>AP16/'État des Résultats'!$AP$14</f>
        <v>0</v>
      </c>
    </row>
    <row r="17" spans="2:47" x14ac:dyDescent="0.15">
      <c r="B17" s="654">
        <v>7325</v>
      </c>
      <c r="C17" s="392" t="s">
        <v>250</v>
      </c>
      <c r="E17" s="812">
        <v>0</v>
      </c>
      <c r="F17" s="658">
        <f>E17/'État des Résultats'!E14</f>
        <v>0</v>
      </c>
      <c r="H17" s="812">
        <v>0</v>
      </c>
      <c r="I17" s="658">
        <f>H17/'État des Résultats'!H14</f>
        <v>0</v>
      </c>
      <c r="K17" s="812">
        <v>0</v>
      </c>
      <c r="L17" s="658">
        <f>K17/'État des Résultats'!K14</f>
        <v>0</v>
      </c>
      <c r="N17" s="812">
        <v>0</v>
      </c>
      <c r="O17" s="658">
        <f>N17/'État des Résultats'!N14</f>
        <v>0</v>
      </c>
      <c r="Q17" s="812">
        <v>0</v>
      </c>
      <c r="R17" s="658">
        <f>Q17/'État des Résultats'!Q14</f>
        <v>0</v>
      </c>
      <c r="T17" s="812">
        <v>0</v>
      </c>
      <c r="U17" s="658">
        <f>T17/'État des Résultats'!T14</f>
        <v>0</v>
      </c>
      <c r="W17" s="812">
        <v>0</v>
      </c>
      <c r="X17" s="658">
        <f>W17/'État des Résultats'!W14</f>
        <v>0</v>
      </c>
      <c r="Z17" s="812">
        <v>0</v>
      </c>
      <c r="AA17" s="658">
        <f>Z17/'État des Résultats'!Z14</f>
        <v>0</v>
      </c>
      <c r="AC17" s="812">
        <v>0</v>
      </c>
      <c r="AD17" s="658">
        <f>AC17/'État des Résultats'!AC14</f>
        <v>0</v>
      </c>
      <c r="AF17" s="812">
        <v>0</v>
      </c>
      <c r="AG17" s="658">
        <f>AF17/'État des Résultats'!AF14</f>
        <v>0</v>
      </c>
      <c r="AI17" s="812">
        <v>0</v>
      </c>
      <c r="AJ17" s="658">
        <f>AI17/'État des Résultats'!AI14</f>
        <v>0</v>
      </c>
      <c r="AL17" s="812">
        <v>0</v>
      </c>
      <c r="AM17" s="658">
        <f>AL17/'État des Résultats'!AL14</f>
        <v>0</v>
      </c>
      <c r="AP17" s="815">
        <f t="shared" si="0"/>
        <v>0</v>
      </c>
      <c r="AQ17" s="657">
        <f>AP17/'État des Résultats'!$AP$14</f>
        <v>0</v>
      </c>
    </row>
    <row r="18" spans="2:47" x14ac:dyDescent="0.15">
      <c r="B18" s="654">
        <v>7330</v>
      </c>
      <c r="C18" s="392" t="s">
        <v>251</v>
      </c>
      <c r="E18" s="812">
        <v>0</v>
      </c>
      <c r="F18" s="658">
        <f>E18/'État des Résultats'!E14</f>
        <v>0</v>
      </c>
      <c r="H18" s="812">
        <v>0</v>
      </c>
      <c r="I18" s="658">
        <f>H18/'État des Résultats'!H14</f>
        <v>0</v>
      </c>
      <c r="K18" s="812">
        <v>0</v>
      </c>
      <c r="L18" s="658">
        <f>K18/'État des Résultats'!K14</f>
        <v>0</v>
      </c>
      <c r="N18" s="812">
        <v>0</v>
      </c>
      <c r="O18" s="658">
        <f>N18/'État des Résultats'!N14</f>
        <v>0</v>
      </c>
      <c r="Q18" s="812">
        <v>0</v>
      </c>
      <c r="R18" s="658">
        <f>Q18/'État des Résultats'!Q14</f>
        <v>0</v>
      </c>
      <c r="T18" s="812">
        <v>0</v>
      </c>
      <c r="U18" s="658">
        <f>T18/'État des Résultats'!T14</f>
        <v>0</v>
      </c>
      <c r="W18" s="812">
        <v>0</v>
      </c>
      <c r="X18" s="658">
        <f>W18/'État des Résultats'!W14</f>
        <v>0</v>
      </c>
      <c r="Z18" s="812">
        <v>0</v>
      </c>
      <c r="AA18" s="658">
        <f>Z18/'État des Résultats'!Z14</f>
        <v>0</v>
      </c>
      <c r="AC18" s="812">
        <v>0</v>
      </c>
      <c r="AD18" s="658">
        <f>AC18/'État des Résultats'!AC14</f>
        <v>0</v>
      </c>
      <c r="AF18" s="812">
        <v>0</v>
      </c>
      <c r="AG18" s="658">
        <f>AF18/'État des Résultats'!AF14</f>
        <v>0</v>
      </c>
      <c r="AI18" s="812">
        <v>0</v>
      </c>
      <c r="AJ18" s="658">
        <f>AI18/'État des Résultats'!AI14</f>
        <v>0</v>
      </c>
      <c r="AL18" s="812">
        <v>0</v>
      </c>
      <c r="AM18" s="658">
        <f>AL18/'État des Résultats'!AL14</f>
        <v>0</v>
      </c>
      <c r="AP18" s="815">
        <f t="shared" si="0"/>
        <v>0</v>
      </c>
      <c r="AQ18" s="657">
        <f>AP18/'État des Résultats'!$AP$14</f>
        <v>0</v>
      </c>
      <c r="AS18" s="209"/>
    </row>
    <row r="19" spans="2:47" x14ac:dyDescent="0.15">
      <c r="B19" s="654">
        <v>7335</v>
      </c>
      <c r="C19" s="392" t="s">
        <v>252</v>
      </c>
      <c r="E19" s="812">
        <v>0</v>
      </c>
      <c r="F19" s="658">
        <f>E19/'État des Résultats'!E14</f>
        <v>0</v>
      </c>
      <c r="H19" s="812">
        <v>0</v>
      </c>
      <c r="I19" s="658">
        <f>H19/'État des Résultats'!H14</f>
        <v>0</v>
      </c>
      <c r="K19" s="812">
        <v>0</v>
      </c>
      <c r="L19" s="658">
        <f>K19/'État des Résultats'!K14</f>
        <v>0</v>
      </c>
      <c r="N19" s="812">
        <v>0</v>
      </c>
      <c r="O19" s="658">
        <f>N19/'État des Résultats'!N14</f>
        <v>0</v>
      </c>
      <c r="Q19" s="812">
        <v>0</v>
      </c>
      <c r="R19" s="658">
        <f>Q19/'État des Résultats'!Q14</f>
        <v>0</v>
      </c>
      <c r="T19" s="812">
        <v>0</v>
      </c>
      <c r="U19" s="658">
        <f>T19/'État des Résultats'!T14</f>
        <v>0</v>
      </c>
      <c r="W19" s="812">
        <v>0</v>
      </c>
      <c r="X19" s="658">
        <f>W19/'État des Résultats'!W14</f>
        <v>0</v>
      </c>
      <c r="Z19" s="812">
        <v>0</v>
      </c>
      <c r="AA19" s="658">
        <f>Z19/'État des Résultats'!Z14</f>
        <v>0</v>
      </c>
      <c r="AC19" s="812">
        <v>0</v>
      </c>
      <c r="AD19" s="658">
        <f>AC19/'État des Résultats'!AC14</f>
        <v>0</v>
      </c>
      <c r="AF19" s="812">
        <v>0</v>
      </c>
      <c r="AG19" s="658">
        <f>AF19/'État des Résultats'!AF14</f>
        <v>0</v>
      </c>
      <c r="AI19" s="812">
        <v>0</v>
      </c>
      <c r="AJ19" s="658">
        <f>AI19/'État des Résultats'!AI14</f>
        <v>0</v>
      </c>
      <c r="AL19" s="812">
        <v>0</v>
      </c>
      <c r="AM19" s="658">
        <f>AL19/'État des Résultats'!AL14</f>
        <v>0</v>
      </c>
      <c r="AP19" s="815">
        <f t="shared" si="0"/>
        <v>0</v>
      </c>
      <c r="AQ19" s="657">
        <f>AP19/'État des Résultats'!$AP$14</f>
        <v>0</v>
      </c>
    </row>
    <row r="20" spans="2:47" x14ac:dyDescent="0.15">
      <c r="B20" s="654">
        <v>7340</v>
      </c>
      <c r="C20" s="392" t="s">
        <v>253</v>
      </c>
      <c r="E20" s="812">
        <v>0</v>
      </c>
      <c r="F20" s="658">
        <f>E20/'État des Résultats'!E14</f>
        <v>0</v>
      </c>
      <c r="H20" s="812">
        <v>0</v>
      </c>
      <c r="I20" s="658">
        <f>H20/'État des Résultats'!H14</f>
        <v>0</v>
      </c>
      <c r="K20" s="812">
        <v>0</v>
      </c>
      <c r="L20" s="658">
        <f>K20/'État des Résultats'!K14</f>
        <v>0</v>
      </c>
      <c r="N20" s="812">
        <v>0</v>
      </c>
      <c r="O20" s="658">
        <f>N20/'État des Résultats'!N14</f>
        <v>0</v>
      </c>
      <c r="Q20" s="812">
        <v>0</v>
      </c>
      <c r="R20" s="658">
        <f>Q20/'État des Résultats'!Q14</f>
        <v>0</v>
      </c>
      <c r="T20" s="812">
        <v>0</v>
      </c>
      <c r="U20" s="658">
        <f>T20/'État des Résultats'!T14</f>
        <v>0</v>
      </c>
      <c r="W20" s="812">
        <v>0</v>
      </c>
      <c r="X20" s="658">
        <f>W20/'État des Résultats'!W14</f>
        <v>0</v>
      </c>
      <c r="Z20" s="812">
        <v>0</v>
      </c>
      <c r="AA20" s="658">
        <f>Z20/'État des Résultats'!Z14</f>
        <v>0</v>
      </c>
      <c r="AC20" s="812">
        <v>0</v>
      </c>
      <c r="AD20" s="658">
        <f>AC20/'État des Résultats'!AC14</f>
        <v>0</v>
      </c>
      <c r="AF20" s="812">
        <v>0</v>
      </c>
      <c r="AG20" s="658">
        <f>AF20/'État des Résultats'!AF14</f>
        <v>0</v>
      </c>
      <c r="AI20" s="812">
        <v>0</v>
      </c>
      <c r="AJ20" s="658">
        <f>AI20/'État des Résultats'!AI14</f>
        <v>0</v>
      </c>
      <c r="AL20" s="812">
        <v>0</v>
      </c>
      <c r="AM20" s="658">
        <f>AL20/'État des Résultats'!AL14</f>
        <v>0</v>
      </c>
      <c r="AP20" s="815">
        <f t="shared" si="0"/>
        <v>0</v>
      </c>
      <c r="AQ20" s="657">
        <f>AP20/'État des Résultats'!$AP$14</f>
        <v>0</v>
      </c>
    </row>
    <row r="21" spans="2:47" x14ac:dyDescent="0.15">
      <c r="B21" s="654">
        <v>7345</v>
      </c>
      <c r="C21" s="392" t="s">
        <v>254</v>
      </c>
      <c r="E21" s="812">
        <v>0</v>
      </c>
      <c r="F21" s="658">
        <f>E21/'État des Résultats'!E14</f>
        <v>0</v>
      </c>
      <c r="H21" s="812">
        <v>0</v>
      </c>
      <c r="I21" s="658">
        <f>H21/'État des Résultats'!H14</f>
        <v>0</v>
      </c>
      <c r="K21" s="812">
        <v>0</v>
      </c>
      <c r="L21" s="658">
        <f>K21/'État des Résultats'!K14</f>
        <v>0</v>
      </c>
      <c r="N21" s="812">
        <v>0</v>
      </c>
      <c r="O21" s="658">
        <f>N21/'État des Résultats'!N14</f>
        <v>0</v>
      </c>
      <c r="Q21" s="812">
        <v>0</v>
      </c>
      <c r="R21" s="658">
        <f>Q21/'État des Résultats'!Q14</f>
        <v>0</v>
      </c>
      <c r="T21" s="812">
        <v>0</v>
      </c>
      <c r="U21" s="658">
        <f>T21/'État des Résultats'!T14</f>
        <v>0</v>
      </c>
      <c r="W21" s="812">
        <v>0</v>
      </c>
      <c r="X21" s="658">
        <f>W21/'État des Résultats'!W14</f>
        <v>0</v>
      </c>
      <c r="Z21" s="812">
        <v>0</v>
      </c>
      <c r="AA21" s="658">
        <f>Z21/'État des Résultats'!Z14</f>
        <v>0</v>
      </c>
      <c r="AC21" s="812">
        <v>0</v>
      </c>
      <c r="AD21" s="658">
        <f>AC21/'État des Résultats'!AC14</f>
        <v>0</v>
      </c>
      <c r="AF21" s="812">
        <v>0</v>
      </c>
      <c r="AG21" s="658">
        <f>AF21/'État des Résultats'!AF14</f>
        <v>0</v>
      </c>
      <c r="AI21" s="812">
        <v>0</v>
      </c>
      <c r="AJ21" s="658">
        <f>AI21/'État des Résultats'!AI14</f>
        <v>0</v>
      </c>
      <c r="AL21" s="812">
        <v>0</v>
      </c>
      <c r="AM21" s="658">
        <f>AL21/'État des Résultats'!AL14</f>
        <v>0</v>
      </c>
      <c r="AP21" s="815">
        <f t="shared" si="0"/>
        <v>0</v>
      </c>
      <c r="AQ21" s="657">
        <f>AP21/'État des Résultats'!$AP$14</f>
        <v>0</v>
      </c>
    </row>
    <row r="22" spans="2:47" x14ac:dyDescent="0.15">
      <c r="B22" s="654">
        <v>7350</v>
      </c>
      <c r="C22" s="392" t="s">
        <v>255</v>
      </c>
      <c r="E22" s="812">
        <v>0</v>
      </c>
      <c r="F22" s="658">
        <f>E22/'État des Résultats'!E14</f>
        <v>0</v>
      </c>
      <c r="H22" s="812">
        <v>0</v>
      </c>
      <c r="I22" s="658">
        <f>H22/'État des Résultats'!H14</f>
        <v>0</v>
      </c>
      <c r="K22" s="812">
        <v>0</v>
      </c>
      <c r="L22" s="658">
        <f>K22/'État des Résultats'!K14</f>
        <v>0</v>
      </c>
      <c r="N22" s="812">
        <v>0</v>
      </c>
      <c r="O22" s="658">
        <f>N22/'État des Résultats'!N14</f>
        <v>0</v>
      </c>
      <c r="Q22" s="812">
        <v>0</v>
      </c>
      <c r="R22" s="658">
        <f>Q22/'État des Résultats'!Q14</f>
        <v>0</v>
      </c>
      <c r="T22" s="812">
        <v>0</v>
      </c>
      <c r="U22" s="658">
        <f>T22/'État des Résultats'!T14</f>
        <v>0</v>
      </c>
      <c r="W22" s="812">
        <v>0</v>
      </c>
      <c r="X22" s="658">
        <f>W22/'État des Résultats'!W14</f>
        <v>0</v>
      </c>
      <c r="Z22" s="812">
        <v>0</v>
      </c>
      <c r="AA22" s="658">
        <f>Z22/'État des Résultats'!Z14</f>
        <v>0</v>
      </c>
      <c r="AC22" s="812">
        <v>0</v>
      </c>
      <c r="AD22" s="658">
        <f>AC22/'État des Résultats'!AC14</f>
        <v>0</v>
      </c>
      <c r="AF22" s="812">
        <v>0</v>
      </c>
      <c r="AG22" s="658">
        <f>AF22/'État des Résultats'!AF14</f>
        <v>0</v>
      </c>
      <c r="AI22" s="812">
        <v>0</v>
      </c>
      <c r="AJ22" s="658">
        <f>AI22/'État des Résultats'!AI14</f>
        <v>0</v>
      </c>
      <c r="AL22" s="812">
        <v>0</v>
      </c>
      <c r="AM22" s="658">
        <f>AL22/'État des Résultats'!AL14</f>
        <v>0</v>
      </c>
      <c r="AP22" s="815">
        <f t="shared" si="0"/>
        <v>0</v>
      </c>
      <c r="AQ22" s="657">
        <f>AP22/'État des Résultats'!$AP$14</f>
        <v>0</v>
      </c>
    </row>
    <row r="23" spans="2:47" x14ac:dyDescent="0.15">
      <c r="B23" s="654">
        <v>7360</v>
      </c>
      <c r="C23" s="392" t="s">
        <v>256</v>
      </c>
      <c r="E23" s="812">
        <v>0</v>
      </c>
      <c r="F23" s="658">
        <f>E23/'État des Résultats'!E14</f>
        <v>0</v>
      </c>
      <c r="H23" s="812">
        <v>0</v>
      </c>
      <c r="I23" s="658">
        <f>H23/'État des Résultats'!H14</f>
        <v>0</v>
      </c>
      <c r="K23" s="812">
        <v>0</v>
      </c>
      <c r="L23" s="658">
        <f>K23/'État des Résultats'!K14</f>
        <v>0</v>
      </c>
      <c r="N23" s="812">
        <v>0</v>
      </c>
      <c r="O23" s="658">
        <f>N23/'État des Résultats'!N14</f>
        <v>0</v>
      </c>
      <c r="Q23" s="812">
        <v>0</v>
      </c>
      <c r="R23" s="658">
        <f>Q23/'État des Résultats'!Q14</f>
        <v>0</v>
      </c>
      <c r="T23" s="812">
        <v>0</v>
      </c>
      <c r="U23" s="658">
        <f>T23/'État des Résultats'!T14</f>
        <v>0</v>
      </c>
      <c r="W23" s="812">
        <v>0</v>
      </c>
      <c r="X23" s="658">
        <f>W23/'État des Résultats'!W14</f>
        <v>0</v>
      </c>
      <c r="Z23" s="812">
        <v>0</v>
      </c>
      <c r="AA23" s="658">
        <f>Z23/'État des Résultats'!Z14</f>
        <v>0</v>
      </c>
      <c r="AC23" s="812">
        <v>0</v>
      </c>
      <c r="AD23" s="658">
        <f>AC23/'État des Résultats'!AC14</f>
        <v>0</v>
      </c>
      <c r="AF23" s="812">
        <v>0</v>
      </c>
      <c r="AG23" s="658">
        <f>AF23/'État des Résultats'!AF14</f>
        <v>0</v>
      </c>
      <c r="AI23" s="812">
        <v>0</v>
      </c>
      <c r="AJ23" s="658">
        <f>AI23/'État des Résultats'!AI14</f>
        <v>0</v>
      </c>
      <c r="AL23" s="812">
        <v>0</v>
      </c>
      <c r="AM23" s="658">
        <f>AL23/'État des Résultats'!AL14</f>
        <v>0</v>
      </c>
      <c r="AP23" s="815">
        <f t="shared" si="0"/>
        <v>0</v>
      </c>
      <c r="AQ23" s="657">
        <f>AP23/'État des Résultats'!$AP$14</f>
        <v>0</v>
      </c>
    </row>
    <row r="24" spans="2:47" x14ac:dyDescent="0.15">
      <c r="B24" s="654">
        <v>7399</v>
      </c>
      <c r="C24" s="392" t="s">
        <v>257</v>
      </c>
      <c r="E24" s="812">
        <v>1</v>
      </c>
      <c r="F24" s="658">
        <f>E24/'État des Résultats'!E14</f>
        <v>2.7402265253927655E-5</v>
      </c>
      <c r="H24" s="812">
        <v>1</v>
      </c>
      <c r="I24" s="658">
        <f>H24/'État des Résultats'!H14</f>
        <v>2.8270882169319025E-5</v>
      </c>
      <c r="K24" s="812">
        <v>1</v>
      </c>
      <c r="L24" s="658">
        <f>K24/'État des Résultats'!K14</f>
        <v>2.537024704278058E-5</v>
      </c>
      <c r="N24" s="812">
        <v>1</v>
      </c>
      <c r="O24" s="658">
        <f>N24/'État des Résultats'!N14</f>
        <v>2.5077583774803299E-5</v>
      </c>
      <c r="Q24" s="812">
        <v>1</v>
      </c>
      <c r="R24" s="658">
        <f>Q24/'État des Résultats'!Q14</f>
        <v>2.3291925465838507E-5</v>
      </c>
      <c r="T24" s="812">
        <v>1</v>
      </c>
      <c r="U24" s="658">
        <f>T24/'État des Résultats'!T14</f>
        <v>2.2664601669625653E-5</v>
      </c>
      <c r="W24" s="812">
        <v>1</v>
      </c>
      <c r="X24" s="658">
        <f>W24/'État des Résultats'!W14</f>
        <v>2.1862104774137129E-5</v>
      </c>
      <c r="Z24" s="812">
        <v>1</v>
      </c>
      <c r="AA24" s="658">
        <f>Z24/'État des Résultats'!Z14</f>
        <v>2.1577300679684971E-5</v>
      </c>
      <c r="AC24" s="812">
        <v>1</v>
      </c>
      <c r="AD24" s="658">
        <f>AC24/'État des Résultats'!AC14</f>
        <v>2.359742788036104E-5</v>
      </c>
      <c r="AF24" s="812">
        <v>1</v>
      </c>
      <c r="AG24" s="658">
        <f>AF24/'État des Résultats'!AF14</f>
        <v>2.3576101691585294E-5</v>
      </c>
      <c r="AI24" s="812">
        <v>1</v>
      </c>
      <c r="AJ24" s="658">
        <f>AI24/'État des Résultats'!AI14</f>
        <v>2.5364080235040474E-5</v>
      </c>
      <c r="AL24" s="812">
        <v>1</v>
      </c>
      <c r="AM24" s="658">
        <f>AL24/'État des Résultats'!AL14</f>
        <v>2.2823234052265207E-5</v>
      </c>
      <c r="AP24" s="815">
        <f t="shared" si="0"/>
        <v>12</v>
      </c>
      <c r="AQ24" s="657">
        <f>AP24/'État des Résultats'!$AP$14</f>
        <v>2.408026755852843E-5</v>
      </c>
    </row>
    <row r="25" spans="2:47" ht="14" thickBot="1" x14ac:dyDescent="0.2">
      <c r="B25" s="681" t="s">
        <v>2</v>
      </c>
      <c r="C25" s="682"/>
      <c r="D25" s="683"/>
      <c r="E25" s="862" t="s">
        <v>2</v>
      </c>
      <c r="F25" s="660" t="s">
        <v>2</v>
      </c>
      <c r="G25" s="683"/>
      <c r="H25" s="862" t="s">
        <v>2</v>
      </c>
      <c r="I25" s="660" t="s">
        <v>2</v>
      </c>
      <c r="J25" s="683"/>
      <c r="K25" s="862" t="s">
        <v>2</v>
      </c>
      <c r="L25" s="660" t="s">
        <v>2</v>
      </c>
      <c r="M25" s="683"/>
      <c r="N25" s="862"/>
      <c r="O25" s="660" t="s">
        <v>2</v>
      </c>
      <c r="P25" s="683"/>
      <c r="Q25" s="862" t="s">
        <v>2</v>
      </c>
      <c r="R25" s="660" t="s">
        <v>2</v>
      </c>
      <c r="S25" s="684"/>
      <c r="T25" s="862" t="s">
        <v>2</v>
      </c>
      <c r="U25" s="660" t="s">
        <v>2</v>
      </c>
      <c r="V25" s="683"/>
      <c r="W25" s="862" t="s">
        <v>2</v>
      </c>
      <c r="X25" s="660" t="s">
        <v>2</v>
      </c>
      <c r="Y25" s="683"/>
      <c r="Z25" s="862" t="s">
        <v>2</v>
      </c>
      <c r="AA25" s="660" t="s">
        <v>2</v>
      </c>
      <c r="AB25" s="683"/>
      <c r="AC25" s="862" t="s">
        <v>2</v>
      </c>
      <c r="AD25" s="660" t="s">
        <v>2</v>
      </c>
      <c r="AE25" s="683"/>
      <c r="AF25" s="862" t="s">
        <v>2</v>
      </c>
      <c r="AG25" s="660" t="str">
        <f>+AD25</f>
        <v xml:space="preserve"> </v>
      </c>
      <c r="AH25" s="683"/>
      <c r="AI25" s="862" t="s">
        <v>2</v>
      </c>
      <c r="AJ25" s="660" t="str">
        <f>+AG25</f>
        <v xml:space="preserve"> </v>
      </c>
      <c r="AK25" s="683"/>
      <c r="AL25" s="862" t="s">
        <v>2</v>
      </c>
      <c r="AM25" s="660" t="str">
        <f>+AJ25</f>
        <v xml:space="preserve"> </v>
      </c>
      <c r="AN25" s="683"/>
      <c r="AO25" s="683"/>
      <c r="AP25" s="815" t="s">
        <v>2</v>
      </c>
      <c r="AQ25" s="661" t="s">
        <v>2</v>
      </c>
      <c r="AR25" s="683"/>
    </row>
    <row r="26" spans="2:47" ht="15" thickTop="1" thickBot="1" x14ac:dyDescent="0.2">
      <c r="B26" s="470">
        <v>7300</v>
      </c>
      <c r="C26" s="471" t="s">
        <v>258</v>
      </c>
      <c r="D26" s="213"/>
      <c r="E26" s="814">
        <f>SUM(E13:E25)</f>
        <v>2</v>
      </c>
      <c r="F26" s="663">
        <f>SUM(F13:F24)</f>
        <v>5.4804530507855309E-5</v>
      </c>
      <c r="G26" s="213"/>
      <c r="H26" s="863">
        <f>SUM(H13:H25)</f>
        <v>2</v>
      </c>
      <c r="I26" s="663">
        <f>SUM(I13:I24)</f>
        <v>5.6541764338638049E-5</v>
      </c>
      <c r="J26" s="213"/>
      <c r="K26" s="814">
        <f>SUM(K13:K25)</f>
        <v>2</v>
      </c>
      <c r="L26" s="663">
        <f>SUM(L13:L24)</f>
        <v>5.074049408556116E-5</v>
      </c>
      <c r="M26" s="213"/>
      <c r="N26" s="814">
        <f>SUM(N13:N25)</f>
        <v>2</v>
      </c>
      <c r="O26" s="663">
        <f>SUM(O13:O24)</f>
        <v>5.0155167549606598E-5</v>
      </c>
      <c r="P26" s="213"/>
      <c r="Q26" s="814">
        <f>SUM(Q13:Q25)</f>
        <v>2</v>
      </c>
      <c r="R26" s="663">
        <f>SUM(R13:R24)</f>
        <v>4.6583850931677014E-5</v>
      </c>
      <c r="S26" s="213"/>
      <c r="T26" s="814">
        <f>SUM(T13:T25)</f>
        <v>2</v>
      </c>
      <c r="U26" s="663">
        <f>SUM(U13:U24)</f>
        <v>4.5329203339251306E-5</v>
      </c>
      <c r="V26" s="213"/>
      <c r="W26" s="814">
        <f>SUM(W13:W25)</f>
        <v>2</v>
      </c>
      <c r="X26" s="663">
        <f>SUM(X13:X24)</f>
        <v>4.3724209548274257E-5</v>
      </c>
      <c r="Y26" s="213"/>
      <c r="Z26" s="814">
        <f>SUM(Z13:Z25)</f>
        <v>2</v>
      </c>
      <c r="AA26" s="663">
        <f>SUM(AA13:AA24)</f>
        <v>4.3154601359369941E-5</v>
      </c>
      <c r="AB26" s="213"/>
      <c r="AC26" s="814">
        <f>SUM(AC13:AC25)</f>
        <v>2</v>
      </c>
      <c r="AD26" s="663">
        <f>SUM(AD13:AD24)</f>
        <v>4.719485576072208E-5</v>
      </c>
      <c r="AE26" s="213"/>
      <c r="AF26" s="814">
        <f>SUM(AF13:AF25)</f>
        <v>2</v>
      </c>
      <c r="AG26" s="663">
        <f>SUM(AG13:AG24)</f>
        <v>4.7152203383170587E-5</v>
      </c>
      <c r="AH26" s="213"/>
      <c r="AI26" s="814">
        <f>SUM(AI13:AI25)</f>
        <v>2</v>
      </c>
      <c r="AJ26" s="663">
        <f>SUM(AJ13:AJ24)</f>
        <v>5.0728160470080948E-5</v>
      </c>
      <c r="AK26" s="213"/>
      <c r="AL26" s="814">
        <f>SUM(AL13:AL25)</f>
        <v>2</v>
      </c>
      <c r="AM26" s="663">
        <f>SUM(AM13:AM24)</f>
        <v>4.5646468104530415E-5</v>
      </c>
      <c r="AN26" s="213"/>
      <c r="AO26" s="213"/>
      <c r="AP26" s="814">
        <f>SUM(AP13:AP25)</f>
        <v>24</v>
      </c>
      <c r="AQ26" s="663">
        <f>SUM(AQ13:AQ24)</f>
        <v>4.816053511705686E-5</v>
      </c>
      <c r="AR26" s="213"/>
      <c r="AS26" s="213"/>
      <c r="AT26" s="213"/>
      <c r="AU26" s="251"/>
    </row>
    <row r="27" spans="2:47" ht="14" thickTop="1" x14ac:dyDescent="0.15">
      <c r="L27" s="315"/>
      <c r="O27" s="315"/>
      <c r="R27" s="315"/>
      <c r="U27" s="315"/>
      <c r="X27" s="315"/>
      <c r="AA27" s="315"/>
      <c r="AD27" s="315"/>
      <c r="AG27" s="315"/>
      <c r="AJ27" s="315"/>
      <c r="AM27" s="315"/>
      <c r="AQ27" s="315"/>
    </row>
    <row r="28" spans="2:47" x14ac:dyDescent="0.15">
      <c r="R28" s="315"/>
      <c r="U28" s="315"/>
      <c r="X28" s="315"/>
      <c r="AD28" s="315"/>
      <c r="AG28" s="315"/>
      <c r="AJ28" s="315"/>
      <c r="AM28" s="315"/>
    </row>
    <row r="29" spans="2:47" x14ac:dyDescent="0.15">
      <c r="U29" s="315"/>
      <c r="AG29" s="315"/>
      <c r="AJ29" s="315"/>
      <c r="AM29" s="315"/>
    </row>
    <row r="30" spans="2:47" x14ac:dyDescent="0.15">
      <c r="C30" s="161" t="s">
        <v>2</v>
      </c>
      <c r="E30" s="161" t="s">
        <v>2</v>
      </c>
      <c r="G30" s="161" t="s">
        <v>2</v>
      </c>
      <c r="H30" s="161" t="s">
        <v>2</v>
      </c>
      <c r="U30" s="315"/>
      <c r="AG30" s="315"/>
      <c r="AJ30" s="315"/>
      <c r="AM30" s="315"/>
    </row>
    <row r="31" spans="2:47" x14ac:dyDescent="0.15">
      <c r="H31" s="161" t="s">
        <v>2</v>
      </c>
      <c r="AG31" s="315"/>
      <c r="AJ31" s="315"/>
      <c r="AM31" s="315"/>
    </row>
    <row r="32" spans="2:47" x14ac:dyDescent="0.15">
      <c r="H32" s="161" t="s">
        <v>2</v>
      </c>
      <c r="AM32" s="315"/>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664"/>
    </row>
  </sheetData>
  <sheetProtection algorithmName="SHA-512" hashValue="pfyrzo0yiCZlRxl+5SCyuKXn6VoSybM5pT5HCuGoNm3YLiooA8Nw/ohRz2xq8yQrAWK2Y5f7P4yCNwKWeFzQow==" saltValue="FNUU1cDZdt/CCnd2gMP/r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14</vt:i4>
      </vt:variant>
    </vt:vector>
  </HeadingPairs>
  <TitlesOfParts>
    <vt:vector size="36" baseType="lpstr">
      <vt:lpstr>Calendrier 2021</vt:lpstr>
      <vt:lpstr>Achalandage 2021</vt:lpstr>
      <vt:lpstr>% Occupation</vt:lpstr>
      <vt:lpstr>Formule pour le calcul D</vt:lpstr>
      <vt:lpstr>Calcul CmO et PmO</vt:lpstr>
      <vt:lpstr>Coût marchandises vendues</vt:lpstr>
      <vt:lpstr> Total des coûts de MO</vt:lpstr>
      <vt:lpstr>Salaire (planification)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vt:lpstr>
      <vt:lpstr>Frais financier</vt:lpstr>
      <vt:lpstr>Amortissement</vt:lpstr>
      <vt:lpstr>État des Résultats</vt:lpstr>
      <vt:lpstr>Bilan début-fin</vt:lpstr>
      <vt:lpstr>Tableau de trésorerie</vt:lpstr>
      <vt:lpstr>Ind. de performance</vt:lpstr>
      <vt:lpstr>Notes</vt:lpstr>
      <vt:lpstr>' Total des coûts de MO'!Zone_d_impression</vt:lpstr>
      <vt:lpstr>'Administration &amp; Frais généraux'!Zone_d_impression</vt:lpstr>
      <vt:lpstr>Amortissement!Zone_d_impression</vt:lpstr>
      <vt:lpstr>'Bilan début-fin'!Zone_d_impression</vt:lpstr>
      <vt:lpstr>'Coût d''occupation '!Zone_d_impression</vt:lpstr>
      <vt:lpstr>'Coût direct d''exploitation '!Zone_d_impression</vt:lpstr>
      <vt:lpstr>'Coût marchandises vendues'!Zone_d_impression</vt:lpstr>
      <vt:lpstr>'Entretien &amp; Réparation'!Zone_d_impression</vt:lpstr>
      <vt:lpstr>'État des Résultats'!Zone_d_impression</vt:lpstr>
      <vt:lpstr>'Frais financier'!Zone_d_impression</vt:lpstr>
      <vt:lpstr>'Mark &amp; Communication marketing'!Zone_d_impression</vt:lpstr>
      <vt:lpstr>'Musique &amp; Divertissement'!Zone_d_impression</vt:lpstr>
      <vt:lpstr>'Salaire (planification)'!Zone_d_impression</vt:lpstr>
      <vt:lpstr>'Services publics'!Zone_d_impression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2021-05-02T15:25:33Z</dcterms:modified>
</cp:coreProperties>
</file>