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showInkAnnotation="0" codeName="ThisWorkbook" autoCompressPictures="0"/>
  <mc:AlternateContent xmlns:mc="http://schemas.openxmlformats.org/markup-compatibility/2006">
    <mc:Choice Requires="x15">
      <x15ac:absPath xmlns:x15ac="http://schemas.microsoft.com/office/spreadsheetml/2010/11/ac" url="/Users/christian/Library/Mobile Documents/com~apple~CloudDocs/COURS MÉRICI/Hiver 2021/Finance gaganante (430-853-ME)/Achalandage/"/>
    </mc:Choice>
  </mc:AlternateContent>
  <xr:revisionPtr revIDLastSave="0" documentId="8_{995C4739-5065-9048-9512-C3446E2656F3}" xr6:coauthVersionLast="46" xr6:coauthVersionMax="46" xr10:uidLastSave="{00000000-0000-0000-0000-000000000000}"/>
  <bookViews>
    <workbookView xWindow="0" yWindow="460" windowWidth="38400" windowHeight="19200" tabRatio="728" firstSheet="3" activeTab="4" xr2:uid="{00000000-000D-0000-FFFF-FFFF00000000}"/>
  </bookViews>
  <sheets>
    <sheet name="Calendrier 2021" sheetId="3" r:id="rId1"/>
    <sheet name="Achalandage 2021" sheetId="1" r:id="rId2"/>
    <sheet name="% Occupation" sheetId="2" r:id="rId3"/>
    <sheet name="Formule pour le calcul D" sheetId="5" r:id="rId4"/>
    <sheet name="État des Résultats" sheetId="6"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s>
  <externalReferences>
    <externalReference r:id="rId17"/>
  </externalReferences>
  <definedNames>
    <definedName name="image1" localSheetId="6">#REF!</definedName>
    <definedName name="image1" localSheetId="1">#REF!</definedName>
    <definedName name="image1" localSheetId="13">#REF!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4">#REF!</definedName>
    <definedName name="image1" localSheetId="3">#REF!</definedName>
    <definedName name="image1" localSheetId="15">#REF!</definedName>
    <definedName name="image1" localSheetId="11">#REF!</definedName>
    <definedName name="image1" localSheetId="10">#REF!</definedName>
    <definedName name="image1" localSheetId="7">#REF!</definedName>
    <definedName name="image1" localSheetId="12">#REF!</definedName>
    <definedName name="image1">#REF!</definedName>
    <definedName name="image2" localSheetId="6">#REF!</definedName>
    <definedName name="image2" localSheetId="13">#REF!</definedName>
    <definedName name="image2" localSheetId="8">#REF!</definedName>
    <definedName name="image2" localSheetId="9">#REF!</definedName>
    <definedName name="image2" localSheetId="14">#REF!</definedName>
    <definedName name="image2" localSheetId="4">#REF!</definedName>
    <definedName name="image2" localSheetId="3">#REF!</definedName>
    <definedName name="image2" localSheetId="15">#REF!</definedName>
    <definedName name="image2" localSheetId="11">#REF!</definedName>
    <definedName name="image2" localSheetId="10">#REF!</definedName>
    <definedName name="image2" localSheetId="7">#REF!</definedName>
    <definedName name="image2" localSheetId="12">#REF!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14">'Entretien &amp; Réparation'!$B$2:$AQ$31</definedName>
    <definedName name="_xlnm.Print_Area" localSheetId="4">'État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38" i="6" l="1"/>
  <c r="N38" i="6"/>
  <c r="AL33" i="6"/>
  <c r="AI33" i="6"/>
  <c r="AF33" i="6"/>
  <c r="AC33" i="6"/>
  <c r="Z33" i="6"/>
  <c r="W33" i="6"/>
  <c r="T33" i="6"/>
  <c r="Q33" i="6"/>
  <c r="N33" i="6"/>
  <c r="K33" i="6"/>
  <c r="H33" i="6"/>
  <c r="E33" i="6"/>
  <c r="AY7" i="17"/>
  <c r="AV7" i="17"/>
  <c r="AV6" i="17"/>
  <c r="AT6" i="17"/>
  <c r="BA4" i="17"/>
  <c r="BA6" i="17" s="1"/>
  <c r="AY4" i="17"/>
  <c r="AY6" i="17" s="1"/>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AL24" i="17"/>
  <c r="AM24" i="17" s="1"/>
  <c r="AM22" i="17"/>
  <c r="AM21" i="17"/>
  <c r="AM20" i="17"/>
  <c r="AM19" i="17"/>
  <c r="AM18" i="17"/>
  <c r="AM17" i="17"/>
  <c r="AM16" i="17"/>
  <c r="AM15" i="17"/>
  <c r="AM14" i="17"/>
  <c r="AM13" i="17"/>
  <c r="AI24" i="17"/>
  <c r="AJ24" i="17" s="1"/>
  <c r="AJ22" i="17"/>
  <c r="AJ21" i="17"/>
  <c r="AJ20" i="17"/>
  <c r="AJ19" i="17"/>
  <c r="AJ18" i="17"/>
  <c r="AJ17" i="17"/>
  <c r="AJ16" i="17"/>
  <c r="AJ15" i="17"/>
  <c r="AJ14" i="17"/>
  <c r="AJ13" i="17"/>
  <c r="AF24" i="17"/>
  <c r="AG24" i="17" s="1"/>
  <c r="AG22" i="17"/>
  <c r="AG21" i="17"/>
  <c r="AG20" i="17"/>
  <c r="AG19" i="17"/>
  <c r="AG18" i="17"/>
  <c r="AG17" i="17"/>
  <c r="AG16" i="17"/>
  <c r="AG15" i="17"/>
  <c r="AG14" i="17"/>
  <c r="AG13" i="17"/>
  <c r="AC24" i="17"/>
  <c r="AD24" i="17" s="1"/>
  <c r="AD22" i="17"/>
  <c r="AD21" i="17"/>
  <c r="AD20" i="17"/>
  <c r="AD19" i="17"/>
  <c r="AD18" i="17"/>
  <c r="AD17" i="17"/>
  <c r="AD16" i="17"/>
  <c r="AD15" i="17"/>
  <c r="AD14" i="17"/>
  <c r="AD13" i="17"/>
  <c r="Z24" i="17"/>
  <c r="AA24" i="17" s="1"/>
  <c r="AA22" i="17"/>
  <c r="AA21" i="17"/>
  <c r="AA20" i="17"/>
  <c r="AA19" i="17"/>
  <c r="AA18" i="17"/>
  <c r="AA17" i="17"/>
  <c r="AA16" i="17"/>
  <c r="AA15" i="17"/>
  <c r="AA14" i="17"/>
  <c r="AA13" i="17"/>
  <c r="W24" i="17"/>
  <c r="X6" i="17" s="1"/>
  <c r="X22" i="17"/>
  <c r="X21" i="17"/>
  <c r="X20" i="17"/>
  <c r="X19" i="17"/>
  <c r="X18" i="17"/>
  <c r="X17" i="17"/>
  <c r="X16" i="17"/>
  <c r="X15" i="17"/>
  <c r="X14" i="17"/>
  <c r="X13" i="17"/>
  <c r="T24" i="17"/>
  <c r="U24" i="17" s="1"/>
  <c r="U22" i="17"/>
  <c r="U21" i="17"/>
  <c r="U20" i="17"/>
  <c r="U19" i="17"/>
  <c r="U18" i="17"/>
  <c r="U17" i="17"/>
  <c r="U16" i="17"/>
  <c r="U15" i="17"/>
  <c r="U14" i="17"/>
  <c r="U13" i="17"/>
  <c r="Q24" i="17"/>
  <c r="R24" i="17" s="1"/>
  <c r="R22" i="17"/>
  <c r="R21" i="17"/>
  <c r="R20" i="17"/>
  <c r="R19" i="17"/>
  <c r="R18" i="17"/>
  <c r="R17" i="17"/>
  <c r="R16" i="17"/>
  <c r="R15" i="17"/>
  <c r="R14" i="17"/>
  <c r="R13" i="17"/>
  <c r="N24" i="17"/>
  <c r="O24" i="17" s="1"/>
  <c r="O22" i="17"/>
  <c r="O21" i="17"/>
  <c r="O20" i="17"/>
  <c r="O19" i="17"/>
  <c r="O18" i="17"/>
  <c r="O17" i="17"/>
  <c r="O16" i="17"/>
  <c r="O15" i="17"/>
  <c r="O14" i="17"/>
  <c r="O13" i="17"/>
  <c r="K24" i="17"/>
  <c r="L24" i="17" s="1"/>
  <c r="L22" i="17"/>
  <c r="L21" i="17"/>
  <c r="L20" i="17"/>
  <c r="L19" i="17"/>
  <c r="L18" i="17"/>
  <c r="L17" i="17"/>
  <c r="L16" i="17"/>
  <c r="L15" i="17"/>
  <c r="L14" i="17"/>
  <c r="L13" i="17"/>
  <c r="H24" i="17"/>
  <c r="I24" i="17" s="1"/>
  <c r="I22" i="17"/>
  <c r="I21" i="17"/>
  <c r="I20" i="17"/>
  <c r="I19" i="17"/>
  <c r="I18" i="17"/>
  <c r="I17" i="17"/>
  <c r="I16" i="17"/>
  <c r="I15" i="17"/>
  <c r="I14" i="17"/>
  <c r="I13" i="17"/>
  <c r="E24" i="17"/>
  <c r="F24" i="17" s="1"/>
  <c r="F14" i="17"/>
  <c r="F15" i="17"/>
  <c r="F16" i="17"/>
  <c r="F17" i="17"/>
  <c r="F18" i="17"/>
  <c r="F19" i="17"/>
  <c r="F20" i="17"/>
  <c r="F21" i="17"/>
  <c r="F22" i="17"/>
  <c r="F13" i="17"/>
  <c r="B7" i="17"/>
  <c r="B6" i="17"/>
  <c r="B4" i="17"/>
  <c r="B3" i="17"/>
  <c r="B2" i="17"/>
  <c r="AQ31" i="16"/>
  <c r="AL31" i="16"/>
  <c r="AM31" i="16" s="1"/>
  <c r="AM29" i="16"/>
  <c r="AM28" i="16"/>
  <c r="AM27" i="16"/>
  <c r="AM26" i="16"/>
  <c r="AM25" i="16"/>
  <c r="AM24" i="16"/>
  <c r="AM23" i="16"/>
  <c r="AM22" i="16"/>
  <c r="AM21" i="16"/>
  <c r="AM20" i="16"/>
  <c r="AM19" i="16"/>
  <c r="AM18" i="16"/>
  <c r="AM17" i="16"/>
  <c r="AM16" i="16"/>
  <c r="AM15" i="16"/>
  <c r="AM14" i="16"/>
  <c r="AM13" i="16"/>
  <c r="AI31" i="16"/>
  <c r="AJ31" i="16" s="1"/>
  <c r="AJ29" i="16"/>
  <c r="AJ28" i="16"/>
  <c r="AJ27" i="16"/>
  <c r="AJ26" i="16"/>
  <c r="AJ25" i="16"/>
  <c r="AJ24" i="16"/>
  <c r="AJ23" i="16"/>
  <c r="AJ22" i="16"/>
  <c r="AJ21" i="16"/>
  <c r="AJ20" i="16"/>
  <c r="AJ19" i="16"/>
  <c r="AJ18" i="16"/>
  <c r="AJ17" i="16"/>
  <c r="AJ16" i="16"/>
  <c r="AJ15" i="16"/>
  <c r="AJ14" i="16"/>
  <c r="AJ13" i="16"/>
  <c r="AF31" i="16"/>
  <c r="AG31" i="16" s="1"/>
  <c r="AG29" i="16"/>
  <c r="AG28" i="16"/>
  <c r="AG27" i="16"/>
  <c r="AG26" i="16"/>
  <c r="AG25" i="16"/>
  <c r="AG24" i="16"/>
  <c r="AG23" i="16"/>
  <c r="AG22" i="16"/>
  <c r="AG21" i="16"/>
  <c r="AG20" i="16"/>
  <c r="AG19" i="16"/>
  <c r="AG18" i="16"/>
  <c r="AG17" i="16"/>
  <c r="AG16" i="16"/>
  <c r="AG15" i="16"/>
  <c r="AG14" i="16"/>
  <c r="AG13" i="16"/>
  <c r="AC31" i="16"/>
  <c r="AD31" i="16" s="1"/>
  <c r="AD29" i="16"/>
  <c r="AD28" i="16"/>
  <c r="AD27" i="16"/>
  <c r="AD26" i="16"/>
  <c r="AD25" i="16"/>
  <c r="AD24" i="16"/>
  <c r="AD23" i="16"/>
  <c r="AD22" i="16"/>
  <c r="AD21" i="16"/>
  <c r="AD20" i="16"/>
  <c r="AD19" i="16"/>
  <c r="AD18" i="16"/>
  <c r="AD17" i="16"/>
  <c r="AD16" i="16"/>
  <c r="AD15" i="16"/>
  <c r="AD14" i="16"/>
  <c r="AD13" i="16"/>
  <c r="Z31" i="16"/>
  <c r="AA31" i="16" s="1"/>
  <c r="AA29" i="16"/>
  <c r="AA28" i="16"/>
  <c r="AA27" i="16"/>
  <c r="AA26" i="16"/>
  <c r="AA25" i="16"/>
  <c r="AA24" i="16"/>
  <c r="AA23" i="16"/>
  <c r="AA22" i="16"/>
  <c r="AA21" i="16"/>
  <c r="AA20" i="16"/>
  <c r="AA19" i="16"/>
  <c r="AA18" i="16"/>
  <c r="AA17" i="16"/>
  <c r="AA16" i="16"/>
  <c r="AA15" i="16"/>
  <c r="AA14" i="16"/>
  <c r="AA13" i="16"/>
  <c r="W31" i="16"/>
  <c r="X31" i="16" s="1"/>
  <c r="X29" i="16"/>
  <c r="X28" i="16"/>
  <c r="X27" i="16"/>
  <c r="X26" i="16"/>
  <c r="X25" i="16"/>
  <c r="X24" i="16"/>
  <c r="X23" i="16"/>
  <c r="X22" i="16"/>
  <c r="X21" i="16"/>
  <c r="X20" i="16"/>
  <c r="X19" i="16"/>
  <c r="X18" i="16"/>
  <c r="X17" i="16"/>
  <c r="X16" i="16"/>
  <c r="X15" i="16"/>
  <c r="X14" i="16"/>
  <c r="X13" i="16"/>
  <c r="T31" i="16"/>
  <c r="U31" i="16" s="1"/>
  <c r="U29" i="16"/>
  <c r="U28" i="16"/>
  <c r="U27" i="16"/>
  <c r="U26" i="16"/>
  <c r="U25" i="16"/>
  <c r="U24" i="16"/>
  <c r="U23" i="16"/>
  <c r="U22" i="16"/>
  <c r="U21" i="16"/>
  <c r="U20" i="16"/>
  <c r="U19" i="16"/>
  <c r="U18" i="16"/>
  <c r="U17" i="16"/>
  <c r="U16" i="16"/>
  <c r="U15" i="16"/>
  <c r="U14" i="16"/>
  <c r="U13" i="16"/>
  <c r="Q31" i="16"/>
  <c r="R31" i="16" s="1"/>
  <c r="R29" i="16"/>
  <c r="R28" i="16"/>
  <c r="R27" i="16"/>
  <c r="R26" i="16"/>
  <c r="R25" i="16"/>
  <c r="R24" i="16"/>
  <c r="R23" i="16"/>
  <c r="R22" i="16"/>
  <c r="R21" i="16"/>
  <c r="R20" i="16"/>
  <c r="R19" i="16"/>
  <c r="R18" i="16"/>
  <c r="R17" i="16"/>
  <c r="R16" i="16"/>
  <c r="R15" i="16"/>
  <c r="R14" i="16"/>
  <c r="R13" i="16"/>
  <c r="N31" i="16"/>
  <c r="O31" i="16" s="1"/>
  <c r="O29" i="16"/>
  <c r="O28" i="16"/>
  <c r="O27" i="16"/>
  <c r="O26" i="16"/>
  <c r="O25" i="16"/>
  <c r="O24" i="16"/>
  <c r="O23" i="16"/>
  <c r="O22" i="16"/>
  <c r="O21" i="16"/>
  <c r="O20" i="16"/>
  <c r="O19" i="16"/>
  <c r="O18" i="16"/>
  <c r="O17" i="16"/>
  <c r="O16" i="16"/>
  <c r="O15" i="16"/>
  <c r="O14" i="16"/>
  <c r="O13" i="16"/>
  <c r="K31" i="16"/>
  <c r="L31" i="16" s="1"/>
  <c r="L29" i="16"/>
  <c r="L28" i="16"/>
  <c r="L27" i="16"/>
  <c r="L26" i="16"/>
  <c r="L25" i="16"/>
  <c r="L24" i="16"/>
  <c r="L23" i="16"/>
  <c r="L22" i="16"/>
  <c r="L21" i="16"/>
  <c r="L20" i="16"/>
  <c r="L19" i="16"/>
  <c r="L18" i="16"/>
  <c r="L17" i="16"/>
  <c r="L16" i="16"/>
  <c r="L15" i="16"/>
  <c r="L14" i="16"/>
  <c r="L13" i="16"/>
  <c r="H31" i="16"/>
  <c r="I31" i="16" s="1"/>
  <c r="I29" i="16"/>
  <c r="I28" i="16"/>
  <c r="I27" i="16"/>
  <c r="I26" i="16"/>
  <c r="I25" i="16"/>
  <c r="I24" i="16"/>
  <c r="I23" i="16"/>
  <c r="I22" i="16"/>
  <c r="I21" i="16"/>
  <c r="I20" i="16"/>
  <c r="I19" i="16"/>
  <c r="I18" i="16"/>
  <c r="I17" i="16"/>
  <c r="I16" i="16"/>
  <c r="I15" i="16"/>
  <c r="I14" i="16"/>
  <c r="I13" i="16"/>
  <c r="F31" i="16"/>
  <c r="F13" i="16"/>
  <c r="F14" i="16"/>
  <c r="F15" i="16"/>
  <c r="F16" i="16"/>
  <c r="F17" i="16"/>
  <c r="F18" i="16"/>
  <c r="F19" i="16"/>
  <c r="F20" i="16"/>
  <c r="F21" i="16"/>
  <c r="F22" i="16"/>
  <c r="F23" i="16"/>
  <c r="F24" i="16"/>
  <c r="F25" i="16"/>
  <c r="F26" i="16"/>
  <c r="F27" i="16"/>
  <c r="F28" i="16"/>
  <c r="F29" i="16"/>
  <c r="B7" i="16"/>
  <c r="AM6" i="16" s="1"/>
  <c r="B6" i="16"/>
  <c r="B4" i="16"/>
  <c r="B3" i="16"/>
  <c r="B2" i="16"/>
  <c r="AP22" i="17"/>
  <c r="AQ22" i="17" s="1"/>
  <c r="AP21" i="17"/>
  <c r="AQ21" i="17" s="1"/>
  <c r="AP20" i="17"/>
  <c r="AQ20" i="17" s="1"/>
  <c r="AP19" i="17"/>
  <c r="AQ19" i="17" s="1"/>
  <c r="AP18" i="17"/>
  <c r="AQ18" i="17" s="1"/>
  <c r="AP17" i="17"/>
  <c r="AQ17" i="17" s="1"/>
  <c r="AP16" i="17"/>
  <c r="AQ16" i="17" s="1"/>
  <c r="AP15" i="17"/>
  <c r="AQ15" i="17" s="1"/>
  <c r="AP14" i="17"/>
  <c r="AP13" i="17"/>
  <c r="AQ13" i="17" s="1"/>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AJ6" i="16"/>
  <c r="AG6" i="16"/>
  <c r="AD6" i="16"/>
  <c r="AA6" i="16"/>
  <c r="X6" i="16"/>
  <c r="U6" i="16"/>
  <c r="R6" i="16"/>
  <c r="O6" i="16"/>
  <c r="L6" i="16"/>
  <c r="I6" i="16"/>
  <c r="F6" i="16"/>
  <c r="E6" i="16"/>
  <c r="H6" i="16" s="1"/>
  <c r="K6" i="16" s="1"/>
  <c r="N6" i="16" s="1"/>
  <c r="Q6" i="16" s="1"/>
  <c r="T6" i="16" s="1"/>
  <c r="W6" i="16" s="1"/>
  <c r="Z6" i="16" s="1"/>
  <c r="AC6" i="16" s="1"/>
  <c r="AF6" i="16" s="1"/>
  <c r="AI6" i="16" s="1"/>
  <c r="AL6" i="16" s="1"/>
  <c r="AP6" i="16" s="1"/>
  <c r="AP29" i="16"/>
  <c r="AQ29" i="16" s="1"/>
  <c r="E31" i="16"/>
  <c r="AV7" i="16"/>
  <c r="AY7" i="16"/>
  <c r="AV6" i="16"/>
  <c r="AT6" i="16"/>
  <c r="BA4" i="16"/>
  <c r="BA6" i="16" s="1"/>
  <c r="AY4" i="16"/>
  <c r="AY6" i="16" s="1"/>
  <c r="AV4" i="16"/>
  <c r="AT4" i="16"/>
  <c r="AP28" i="16"/>
  <c r="AQ28" i="16" s="1"/>
  <c r="AP27" i="16"/>
  <c r="AQ27" i="16" s="1"/>
  <c r="AP26" i="16"/>
  <c r="AQ26" i="16" s="1"/>
  <c r="AP25" i="16"/>
  <c r="AQ25" i="16" s="1"/>
  <c r="AP24" i="16"/>
  <c r="AQ24" i="16" s="1"/>
  <c r="AP23" i="16"/>
  <c r="AQ23" i="16" s="1"/>
  <c r="AP22" i="16"/>
  <c r="AQ22" i="16" s="1"/>
  <c r="AP21" i="16"/>
  <c r="AQ21" i="16" s="1"/>
  <c r="AP20" i="16"/>
  <c r="AQ20" i="16" s="1"/>
  <c r="AP19" i="16"/>
  <c r="AQ19" i="16" s="1"/>
  <c r="AP18" i="16"/>
  <c r="AQ18" i="16" s="1"/>
  <c r="AP17" i="16"/>
  <c r="AQ17" i="16" s="1"/>
  <c r="AP16" i="16"/>
  <c r="AQ16" i="16" s="1"/>
  <c r="AP15" i="16"/>
  <c r="AQ15" i="16" s="1"/>
  <c r="AP14" i="16"/>
  <c r="AQ14" i="16" s="1"/>
  <c r="AP13" i="16"/>
  <c r="AQ13" i="16" s="1"/>
  <c r="AL32" i="6"/>
  <c r="AI32" i="6"/>
  <c r="AF32" i="6"/>
  <c r="AC32" i="6"/>
  <c r="Z32" i="6"/>
  <c r="W32" i="6"/>
  <c r="T32" i="6"/>
  <c r="Q32" i="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AM6" i="15"/>
  <c r="AJ6" i="15"/>
  <c r="AG6" i="15"/>
  <c r="AD6" i="15"/>
  <c r="AA6" i="15"/>
  <c r="X6" i="15"/>
  <c r="U6" i="15"/>
  <c r="R6" i="15"/>
  <c r="E6" i="15"/>
  <c r="H6" i="15" s="1"/>
  <c r="K6" i="15" s="1"/>
  <c r="N6" i="15" s="1"/>
  <c r="Q6" i="15" s="1"/>
  <c r="T6" i="15" s="1"/>
  <c r="W6" i="15" s="1"/>
  <c r="Z6" i="15" s="1"/>
  <c r="AC6" i="15" s="1"/>
  <c r="AF6" i="15" s="1"/>
  <c r="AI6" i="15" s="1"/>
  <c r="AL6" i="15" s="1"/>
  <c r="AP6" i="15" s="1"/>
  <c r="AL29" i="15"/>
  <c r="AM27" i="15"/>
  <c r="AM26" i="15"/>
  <c r="AM25" i="15"/>
  <c r="AM24" i="15"/>
  <c r="AM23" i="15"/>
  <c r="AM22" i="15"/>
  <c r="AM21" i="15"/>
  <c r="AM20" i="15"/>
  <c r="AM19" i="15"/>
  <c r="AM18" i="15"/>
  <c r="AM17" i="15"/>
  <c r="AM16" i="15"/>
  <c r="AM15" i="15"/>
  <c r="AM14" i="15"/>
  <c r="AM13" i="15"/>
  <c r="AM29" i="15" s="1"/>
  <c r="AI29" i="15"/>
  <c r="AJ27" i="15"/>
  <c r="AJ26" i="15"/>
  <c r="AJ25" i="15"/>
  <c r="AJ24" i="15"/>
  <c r="AJ23" i="15"/>
  <c r="AJ22" i="15"/>
  <c r="AJ21" i="15"/>
  <c r="AJ20" i="15"/>
  <c r="AJ19" i="15"/>
  <c r="AJ18" i="15"/>
  <c r="AJ17" i="15"/>
  <c r="AJ16" i="15"/>
  <c r="AJ15" i="15"/>
  <c r="AJ14" i="15"/>
  <c r="AJ13" i="15"/>
  <c r="AJ29" i="15" s="1"/>
  <c r="AF29" i="15"/>
  <c r="AG27" i="15"/>
  <c r="AG26" i="15"/>
  <c r="AG25" i="15"/>
  <c r="AG24" i="15"/>
  <c r="AG23" i="15"/>
  <c r="AG22" i="15"/>
  <c r="AG21" i="15"/>
  <c r="AG20" i="15"/>
  <c r="AG19" i="15"/>
  <c r="AG18" i="15"/>
  <c r="AG17" i="15"/>
  <c r="AG16" i="15"/>
  <c r="AG15" i="15"/>
  <c r="AG14" i="15"/>
  <c r="AG13" i="15"/>
  <c r="AG29" i="15" s="1"/>
  <c r="AC29" i="15"/>
  <c r="AD27" i="15"/>
  <c r="AD26" i="15"/>
  <c r="AD25" i="15"/>
  <c r="AD24" i="15"/>
  <c r="AD23" i="15"/>
  <c r="AD22" i="15"/>
  <c r="AD21" i="15"/>
  <c r="AD20" i="15"/>
  <c r="AD19" i="15"/>
  <c r="AD18" i="15"/>
  <c r="AD17" i="15"/>
  <c r="AD16" i="15"/>
  <c r="AD15" i="15"/>
  <c r="AD14" i="15"/>
  <c r="AD13" i="15"/>
  <c r="AD29" i="15" s="1"/>
  <c r="Z29" i="15"/>
  <c r="AA27" i="15"/>
  <c r="AA26" i="15"/>
  <c r="AA25" i="15"/>
  <c r="AA24" i="15"/>
  <c r="AA23" i="15"/>
  <c r="AA22" i="15"/>
  <c r="AA21" i="15"/>
  <c r="AA20" i="15"/>
  <c r="AA19" i="15"/>
  <c r="AA18" i="15"/>
  <c r="AA17" i="15"/>
  <c r="AA16" i="15"/>
  <c r="AA15" i="15"/>
  <c r="AA14" i="15"/>
  <c r="AA13" i="15"/>
  <c r="AA29" i="15" s="1"/>
  <c r="W29" i="15"/>
  <c r="X27" i="15"/>
  <c r="X26" i="15"/>
  <c r="X25" i="15"/>
  <c r="X24" i="15"/>
  <c r="X23" i="15"/>
  <c r="X22" i="15"/>
  <c r="X21" i="15"/>
  <c r="X20" i="15"/>
  <c r="X19" i="15"/>
  <c r="X18" i="15"/>
  <c r="X17" i="15"/>
  <c r="X16" i="15"/>
  <c r="X15" i="15"/>
  <c r="X14" i="15"/>
  <c r="X13" i="15"/>
  <c r="X29" i="15" s="1"/>
  <c r="T29" i="15"/>
  <c r="U27" i="15"/>
  <c r="U26" i="15"/>
  <c r="U25" i="15"/>
  <c r="U24" i="15"/>
  <c r="U23" i="15"/>
  <c r="U22" i="15"/>
  <c r="U21" i="15"/>
  <c r="U20" i="15"/>
  <c r="U19" i="15"/>
  <c r="U18" i="15"/>
  <c r="U17" i="15"/>
  <c r="U16" i="15"/>
  <c r="U15" i="15"/>
  <c r="U14" i="15"/>
  <c r="U13" i="15"/>
  <c r="U29" i="15" s="1"/>
  <c r="Q29" i="15"/>
  <c r="R27" i="15"/>
  <c r="R26" i="15"/>
  <c r="R25" i="15"/>
  <c r="R24" i="15"/>
  <c r="R23" i="15"/>
  <c r="R22" i="15"/>
  <c r="R21" i="15"/>
  <c r="R20" i="15"/>
  <c r="R19" i="15"/>
  <c r="R18" i="15"/>
  <c r="R17" i="15"/>
  <c r="R16" i="15"/>
  <c r="R15" i="15"/>
  <c r="R14" i="15"/>
  <c r="R13" i="15"/>
  <c r="R29" i="15" s="1"/>
  <c r="N29" i="15"/>
  <c r="N32" i="6" s="1"/>
  <c r="O27" i="15"/>
  <c r="O26" i="15"/>
  <c r="O25" i="15"/>
  <c r="O24" i="15"/>
  <c r="O23" i="15"/>
  <c r="O22" i="15"/>
  <c r="O21" i="15"/>
  <c r="O20" i="15"/>
  <c r="O19" i="15"/>
  <c r="O18" i="15"/>
  <c r="O17" i="15"/>
  <c r="O16" i="15"/>
  <c r="O15" i="15"/>
  <c r="O14" i="15"/>
  <c r="O13" i="15"/>
  <c r="K29" i="15"/>
  <c r="K32" i="6" s="1"/>
  <c r="L32" i="6" s="1"/>
  <c r="L27" i="15"/>
  <c r="L26" i="15"/>
  <c r="L25" i="15"/>
  <c r="L24" i="15"/>
  <c r="L23" i="15"/>
  <c r="L22" i="15"/>
  <c r="L21" i="15"/>
  <c r="L20" i="15"/>
  <c r="L19" i="15"/>
  <c r="L18" i="15"/>
  <c r="L17" i="15"/>
  <c r="L16" i="15"/>
  <c r="L15" i="15"/>
  <c r="L14" i="15"/>
  <c r="L13" i="15"/>
  <c r="H29" i="15"/>
  <c r="I6" i="15" s="1"/>
  <c r="I27" i="15"/>
  <c r="I26" i="15"/>
  <c r="I25" i="15"/>
  <c r="I24" i="15"/>
  <c r="I23" i="15"/>
  <c r="I22" i="15"/>
  <c r="I21" i="15"/>
  <c r="I20" i="15"/>
  <c r="I19" i="15"/>
  <c r="I18" i="15"/>
  <c r="I17" i="15"/>
  <c r="I16" i="15"/>
  <c r="I15" i="15"/>
  <c r="I14" i="15"/>
  <c r="I13" i="15"/>
  <c r="F14" i="15"/>
  <c r="F15" i="15"/>
  <c r="F16" i="15"/>
  <c r="F17" i="15"/>
  <c r="F18" i="15"/>
  <c r="F19" i="15"/>
  <c r="F20" i="15"/>
  <c r="F21" i="15"/>
  <c r="F22" i="15"/>
  <c r="F23" i="15"/>
  <c r="F24" i="15"/>
  <c r="F25" i="15"/>
  <c r="F26" i="15"/>
  <c r="F27" i="15"/>
  <c r="F13" i="15"/>
  <c r="AY7" i="15"/>
  <c r="AV7" i="15"/>
  <c r="AV6" i="15"/>
  <c r="AT6" i="15"/>
  <c r="BA4" i="15"/>
  <c r="BA6" i="15" s="1"/>
  <c r="AY4" i="15"/>
  <c r="AY6" i="15" s="1"/>
  <c r="AV4" i="15"/>
  <c r="AT4" i="15"/>
  <c r="B7" i="15"/>
  <c r="B6" i="15"/>
  <c r="B4" i="14"/>
  <c r="B3" i="14"/>
  <c r="B4" i="13"/>
  <c r="B3" i="13"/>
  <c r="B4" i="12"/>
  <c r="B3" i="12"/>
  <c r="B4" i="15"/>
  <c r="B3" i="15"/>
  <c r="E29" i="15"/>
  <c r="F6" i="15" s="1"/>
  <c r="AP27" i="15"/>
  <c r="AQ27" i="15" s="1"/>
  <c r="AP26" i="15"/>
  <c r="AQ26" i="15" s="1"/>
  <c r="AP25" i="15"/>
  <c r="AQ25" i="15" s="1"/>
  <c r="AP24" i="15"/>
  <c r="AQ24" i="15" s="1"/>
  <c r="AP23" i="15"/>
  <c r="AQ23" i="15" s="1"/>
  <c r="AP22" i="15"/>
  <c r="AQ22" i="15" s="1"/>
  <c r="AP21" i="15"/>
  <c r="AQ21" i="15" s="1"/>
  <c r="AP20" i="15"/>
  <c r="AQ20" i="15" s="1"/>
  <c r="AP19" i="15"/>
  <c r="AQ19" i="15" s="1"/>
  <c r="AP18" i="15"/>
  <c r="AQ18" i="15" s="1"/>
  <c r="AP17" i="15"/>
  <c r="AQ17" i="15" s="1"/>
  <c r="AP16" i="15"/>
  <c r="AQ16" i="15" s="1"/>
  <c r="AP15" i="15"/>
  <c r="AQ15" i="15" s="1"/>
  <c r="AP14" i="15"/>
  <c r="AQ14" i="15" s="1"/>
  <c r="AP13" i="15"/>
  <c r="AQ13" i="15" s="1"/>
  <c r="AL31" i="6"/>
  <c r="AI31" i="6"/>
  <c r="AF31" i="6"/>
  <c r="AC31" i="6"/>
  <c r="Z31" i="6"/>
  <c r="W31" i="6"/>
  <c r="T31" i="6"/>
  <c r="Q31" i="6"/>
  <c r="N31" i="6"/>
  <c r="K31" i="6"/>
  <c r="H31" i="6"/>
  <c r="E31" i="6"/>
  <c r="AQ23" i="14"/>
  <c r="AP23" i="14"/>
  <c r="AQ14" i="14"/>
  <c r="AQ15" i="14"/>
  <c r="AQ16" i="14"/>
  <c r="AQ17" i="14"/>
  <c r="AQ18" i="14"/>
  <c r="AQ19" i="14"/>
  <c r="AQ20" i="14"/>
  <c r="AQ21" i="14"/>
  <c r="AQ13" i="14"/>
  <c r="AM21" i="14"/>
  <c r="AM20" i="14"/>
  <c r="AM19" i="14"/>
  <c r="AM18" i="14"/>
  <c r="AM17" i="14"/>
  <c r="AM16" i="14"/>
  <c r="AM15" i="14"/>
  <c r="AM14" i="14"/>
  <c r="AM13" i="14"/>
  <c r="AJ21" i="14"/>
  <c r="AJ20" i="14"/>
  <c r="AJ19" i="14"/>
  <c r="AJ18" i="14"/>
  <c r="AJ17" i="14"/>
  <c r="AJ16" i="14"/>
  <c r="AJ15" i="14"/>
  <c r="AJ14" i="14"/>
  <c r="AJ23" i="14" s="1"/>
  <c r="AJ13" i="14"/>
  <c r="AG21" i="14"/>
  <c r="AG20" i="14"/>
  <c r="AG19" i="14"/>
  <c r="AG18" i="14"/>
  <c r="AG17" i="14"/>
  <c r="AG16" i="14"/>
  <c r="AG15" i="14"/>
  <c r="AG14" i="14"/>
  <c r="AG13" i="14"/>
  <c r="AD21" i="14"/>
  <c r="AD20" i="14"/>
  <c r="AD19" i="14"/>
  <c r="AD18" i="14"/>
  <c r="AD17" i="14"/>
  <c r="AD16" i="14"/>
  <c r="AD15" i="14"/>
  <c r="AD14" i="14"/>
  <c r="AD23" i="14" s="1"/>
  <c r="AD13" i="14"/>
  <c r="AA21" i="14"/>
  <c r="AA20" i="14"/>
  <c r="AA19" i="14"/>
  <c r="AA18" i="14"/>
  <c r="AA17" i="14"/>
  <c r="AA16" i="14"/>
  <c r="AA15" i="14"/>
  <c r="AA14" i="14"/>
  <c r="AA13" i="14"/>
  <c r="X21" i="14"/>
  <c r="X20" i="14"/>
  <c r="X19" i="14"/>
  <c r="X18" i="14"/>
  <c r="X17" i="14"/>
  <c r="X16" i="14"/>
  <c r="X15" i="14"/>
  <c r="X14" i="14"/>
  <c r="X13" i="14"/>
  <c r="U21" i="14"/>
  <c r="U20" i="14"/>
  <c r="U19" i="14"/>
  <c r="U18" i="14"/>
  <c r="U17" i="14"/>
  <c r="U16" i="14"/>
  <c r="U15" i="14"/>
  <c r="U14" i="14"/>
  <c r="U13" i="14"/>
  <c r="R21" i="14"/>
  <c r="R20" i="14"/>
  <c r="R19" i="14"/>
  <c r="R18" i="14"/>
  <c r="R17" i="14"/>
  <c r="R16" i="14"/>
  <c r="R15" i="14"/>
  <c r="R14" i="14"/>
  <c r="R13" i="14"/>
  <c r="O21" i="14"/>
  <c r="O20" i="14"/>
  <c r="O19" i="14"/>
  <c r="O18" i="14"/>
  <c r="O17" i="14"/>
  <c r="O16" i="14"/>
  <c r="O15" i="14"/>
  <c r="O14" i="14"/>
  <c r="O13" i="14"/>
  <c r="L21" i="14"/>
  <c r="L20" i="14"/>
  <c r="L19" i="14"/>
  <c r="L18" i="14"/>
  <c r="L17" i="14"/>
  <c r="L16" i="14"/>
  <c r="L15" i="14"/>
  <c r="L14" i="14"/>
  <c r="L23" i="14" s="1"/>
  <c r="L13" i="14"/>
  <c r="I21" i="14"/>
  <c r="I20" i="14"/>
  <c r="I19" i="14"/>
  <c r="I18" i="14"/>
  <c r="I17" i="14"/>
  <c r="I16" i="14"/>
  <c r="I15" i="14"/>
  <c r="I14" i="14"/>
  <c r="I13" i="14"/>
  <c r="F21" i="14"/>
  <c r="F14" i="14"/>
  <c r="F15" i="14"/>
  <c r="F16" i="14"/>
  <c r="F23" i="14" s="1"/>
  <c r="F17" i="14"/>
  <c r="F18" i="14"/>
  <c r="F19" i="14"/>
  <c r="F20" i="14"/>
  <c r="F13" i="14"/>
  <c r="E23" i="14"/>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U6" i="14"/>
  <c r="E6" i="14"/>
  <c r="AY7" i="14"/>
  <c r="AV7" i="14"/>
  <c r="AV6" i="14"/>
  <c r="AT6" i="14"/>
  <c r="BA4" i="14"/>
  <c r="BA6" i="14" s="1"/>
  <c r="AY4" i="14"/>
  <c r="AY6" i="14" s="1"/>
  <c r="AV4" i="14"/>
  <c r="AT4" i="14"/>
  <c r="B7" i="14"/>
  <c r="B6" i="14"/>
  <c r="AL23" i="14"/>
  <c r="AM6" i="14" s="1"/>
  <c r="AI23" i="14"/>
  <c r="AJ6" i="14" s="1"/>
  <c r="AF23" i="14"/>
  <c r="AG6" i="14" s="1"/>
  <c r="AC23" i="14"/>
  <c r="AD6" i="14" s="1"/>
  <c r="Z23" i="14"/>
  <c r="AA6" i="14" s="1"/>
  <c r="W23" i="14"/>
  <c r="X6" i="14" s="1"/>
  <c r="T23" i="14"/>
  <c r="Q23" i="14"/>
  <c r="R6" i="14" s="1"/>
  <c r="N23" i="14"/>
  <c r="O6" i="14" s="1"/>
  <c r="K23" i="14"/>
  <c r="L6" i="14" s="1"/>
  <c r="H23" i="14"/>
  <c r="I6" i="14" s="1"/>
  <c r="AP21" i="14"/>
  <c r="AP20" i="14"/>
  <c r="AP19" i="14"/>
  <c r="AP18" i="14"/>
  <c r="AP17" i="14"/>
  <c r="AP16" i="14"/>
  <c r="AP15" i="14"/>
  <c r="AP14" i="14"/>
  <c r="AP13" i="14"/>
  <c r="X23" i="14"/>
  <c r="R23" i="14"/>
  <c r="H6" i="14"/>
  <c r="K6" i="14" s="1"/>
  <c r="N6" i="14" s="1"/>
  <c r="Q6" i="14" s="1"/>
  <c r="T6" i="14" s="1"/>
  <c r="W6" i="14" s="1"/>
  <c r="Z6" i="14" s="1"/>
  <c r="AC6" i="14" s="1"/>
  <c r="AF6" i="14" s="1"/>
  <c r="AI6" i="14" s="1"/>
  <c r="AL6" i="14" s="1"/>
  <c r="AP6" i="14" s="1"/>
  <c r="AL30" i="6"/>
  <c r="AI30" i="6"/>
  <c r="AF30" i="6"/>
  <c r="AC30" i="6"/>
  <c r="Z30" i="6"/>
  <c r="W30" i="6"/>
  <c r="T30" i="6"/>
  <c r="Q30" i="6"/>
  <c r="N30" i="6"/>
  <c r="K30" i="6"/>
  <c r="H30" i="6"/>
  <c r="E30" i="6"/>
  <c r="AL29" i="6"/>
  <c r="AI29" i="6"/>
  <c r="AF29" i="6"/>
  <c r="AC29" i="6"/>
  <c r="Z29" i="6"/>
  <c r="W29" i="6"/>
  <c r="T29" i="6"/>
  <c r="Q29" i="6"/>
  <c r="N29" i="6"/>
  <c r="K29" i="6"/>
  <c r="H29" i="6"/>
  <c r="B7" i="13"/>
  <c r="AG6" i="13" s="1"/>
  <c r="B6" i="13"/>
  <c r="AQ6" i="13"/>
  <c r="AM6" i="13"/>
  <c r="AJ6" i="13"/>
  <c r="AD6" i="13"/>
  <c r="AA6" i="13"/>
  <c r="X6" i="13"/>
  <c r="U6" i="13"/>
  <c r="R6" i="13"/>
  <c r="O6" i="13"/>
  <c r="L6" i="13"/>
  <c r="I6" i="13"/>
  <c r="F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P25" i="13"/>
  <c r="AQ14" i="13"/>
  <c r="AQ15" i="13"/>
  <c r="AQ16" i="13"/>
  <c r="AQ17" i="13"/>
  <c r="AQ18" i="13"/>
  <c r="AQ19" i="13"/>
  <c r="AQ20" i="13"/>
  <c r="AQ21" i="13"/>
  <c r="AQ22" i="13"/>
  <c r="AQ23" i="13"/>
  <c r="AQ13" i="13"/>
  <c r="AL25" i="13"/>
  <c r="AM23" i="13"/>
  <c r="AM22" i="13"/>
  <c r="AM21" i="13"/>
  <c r="AM20" i="13"/>
  <c r="AM19" i="13"/>
  <c r="AM18" i="13"/>
  <c r="AM17" i="13"/>
  <c r="AM16" i="13"/>
  <c r="AM15" i="13"/>
  <c r="AM14" i="13"/>
  <c r="AM13" i="13"/>
  <c r="AM25" i="13" s="1"/>
  <c r="AI25" i="13"/>
  <c r="AJ23" i="13"/>
  <c r="AJ22" i="13"/>
  <c r="AJ21" i="13"/>
  <c r="AJ20" i="13"/>
  <c r="AJ19" i="13"/>
  <c r="AJ18" i="13"/>
  <c r="AJ17" i="13"/>
  <c r="AJ16" i="13"/>
  <c r="AJ15" i="13"/>
  <c r="AJ14" i="13"/>
  <c r="AJ13" i="13"/>
  <c r="AJ25" i="13" s="1"/>
  <c r="AF25" i="13"/>
  <c r="AG23" i="13"/>
  <c r="AG22" i="13"/>
  <c r="AG21" i="13"/>
  <c r="AG20" i="13"/>
  <c r="AG19" i="13"/>
  <c r="AG18" i="13"/>
  <c r="AG17" i="13"/>
  <c r="AG16" i="13"/>
  <c r="AG15" i="13"/>
  <c r="AG14" i="13"/>
  <c r="AG13" i="13"/>
  <c r="AG25" i="13" s="1"/>
  <c r="AC25" i="13"/>
  <c r="AD23" i="13"/>
  <c r="AD22" i="13"/>
  <c r="AD21" i="13"/>
  <c r="AD20" i="13"/>
  <c r="AD19" i="13"/>
  <c r="AD18" i="13"/>
  <c r="AD17" i="13"/>
  <c r="AD16" i="13"/>
  <c r="AD15" i="13"/>
  <c r="AD14" i="13"/>
  <c r="AD13" i="13"/>
  <c r="AD25" i="13" s="1"/>
  <c r="Z25" i="13"/>
  <c r="AA23" i="13"/>
  <c r="AA22" i="13"/>
  <c r="AA21" i="13"/>
  <c r="AA20" i="13"/>
  <c r="AA19" i="13"/>
  <c r="AA18" i="13"/>
  <c r="AA17" i="13"/>
  <c r="AA16" i="13"/>
  <c r="AA15" i="13"/>
  <c r="AA14" i="13"/>
  <c r="AA13" i="13"/>
  <c r="AA25" i="13" s="1"/>
  <c r="W25" i="13"/>
  <c r="X23" i="13"/>
  <c r="X22" i="13"/>
  <c r="X21" i="13"/>
  <c r="X20" i="13"/>
  <c r="X19" i="13"/>
  <c r="X18" i="13"/>
  <c r="X17" i="13"/>
  <c r="X16" i="13"/>
  <c r="X15" i="13"/>
  <c r="X14" i="13"/>
  <c r="X13" i="13"/>
  <c r="X25" i="13" s="1"/>
  <c r="T25" i="13"/>
  <c r="U23" i="13"/>
  <c r="U22" i="13"/>
  <c r="U21" i="13"/>
  <c r="U20" i="13"/>
  <c r="U19" i="13"/>
  <c r="U18" i="13"/>
  <c r="U17" i="13"/>
  <c r="U16" i="13"/>
  <c r="U15" i="13"/>
  <c r="U14" i="13"/>
  <c r="U13" i="13"/>
  <c r="U25" i="13" s="1"/>
  <c r="Q25" i="13"/>
  <c r="R23" i="13"/>
  <c r="R22" i="13"/>
  <c r="R21" i="13"/>
  <c r="R20" i="13"/>
  <c r="R19" i="13"/>
  <c r="R18" i="13"/>
  <c r="R17" i="13"/>
  <c r="R16" i="13"/>
  <c r="R15" i="13"/>
  <c r="R14" i="13"/>
  <c r="R13" i="13"/>
  <c r="R25" i="13" s="1"/>
  <c r="N25" i="13"/>
  <c r="O23" i="13"/>
  <c r="O22" i="13"/>
  <c r="O21" i="13"/>
  <c r="O20" i="13"/>
  <c r="O19" i="13"/>
  <c r="O18" i="13"/>
  <c r="O17" i="13"/>
  <c r="O16" i="13"/>
  <c r="O15" i="13"/>
  <c r="O14" i="13"/>
  <c r="O13" i="13"/>
  <c r="O25" i="13" s="1"/>
  <c r="K25" i="13"/>
  <c r="L23" i="13"/>
  <c r="L22" i="13"/>
  <c r="L21" i="13"/>
  <c r="L20" i="13"/>
  <c r="L19" i="13"/>
  <c r="L18" i="13"/>
  <c r="L17" i="13"/>
  <c r="L16" i="13"/>
  <c r="L15" i="13"/>
  <c r="L14" i="13"/>
  <c r="L13" i="13"/>
  <c r="L25" i="13" s="1"/>
  <c r="H25" i="13"/>
  <c r="I23" i="13"/>
  <c r="I22" i="13"/>
  <c r="I21" i="13"/>
  <c r="I20" i="13"/>
  <c r="I19" i="13"/>
  <c r="I18" i="13"/>
  <c r="I17" i="13"/>
  <c r="I16" i="13"/>
  <c r="I15" i="13"/>
  <c r="I14" i="13"/>
  <c r="I13" i="13"/>
  <c r="I25" i="13" s="1"/>
  <c r="E25" i="13"/>
  <c r="F14" i="13"/>
  <c r="F15" i="13"/>
  <c r="F16" i="13"/>
  <c r="F17" i="13"/>
  <c r="F18" i="13"/>
  <c r="F19" i="13"/>
  <c r="F20" i="13"/>
  <c r="F21" i="13"/>
  <c r="F22" i="13"/>
  <c r="F23" i="13"/>
  <c r="F13" i="13"/>
  <c r="AY7" i="13"/>
  <c r="AV7" i="13"/>
  <c r="AV6" i="13"/>
  <c r="AT6" i="13"/>
  <c r="BA4" i="13"/>
  <c r="BA6" i="13" s="1"/>
  <c r="AY4" i="13"/>
  <c r="AY6" i="13" s="1"/>
  <c r="AV4" i="13"/>
  <c r="AT4" i="13"/>
  <c r="AP23" i="13"/>
  <c r="AP22" i="13"/>
  <c r="AP21" i="13"/>
  <c r="AP20" i="13"/>
  <c r="AP19" i="13"/>
  <c r="AP18" i="13"/>
  <c r="AP17" i="13"/>
  <c r="AP16" i="13"/>
  <c r="AP15" i="13"/>
  <c r="AP14" i="13"/>
  <c r="AP13" i="13"/>
  <c r="H6" i="13"/>
  <c r="K6" i="13" s="1"/>
  <c r="N6" i="13" s="1"/>
  <c r="Q6" i="13" s="1"/>
  <c r="T6" i="13" s="1"/>
  <c r="W6" i="13" s="1"/>
  <c r="Z6" i="13" s="1"/>
  <c r="AC6" i="13" s="1"/>
  <c r="AF6" i="13" s="1"/>
  <c r="AI6" i="13" s="1"/>
  <c r="AL6" i="13" s="1"/>
  <c r="AP6" i="13" s="1"/>
  <c r="C7" i="6"/>
  <c r="AY7" i="12"/>
  <c r="AV7" i="12"/>
  <c r="AV6" i="12"/>
  <c r="AT6" i="12"/>
  <c r="BA4" i="12"/>
  <c r="BA6" i="12" s="1"/>
  <c r="AY4" i="12"/>
  <c r="AY6" i="12" s="1"/>
  <c r="AV4" i="12"/>
  <c r="AT4" i="12"/>
  <c r="AP8" i="12"/>
  <c r="AL8" i="12"/>
  <c r="AI8" i="12"/>
  <c r="AF8" i="12"/>
  <c r="AC8" i="12"/>
  <c r="Z8" i="12"/>
  <c r="W8" i="12"/>
  <c r="T8" i="12"/>
  <c r="Q8" i="12"/>
  <c r="N8" i="12"/>
  <c r="K8" i="12"/>
  <c r="H8" i="12"/>
  <c r="E8" i="12"/>
  <c r="E6" i="11"/>
  <c r="E6" i="10"/>
  <c r="E6" i="9"/>
  <c r="E6" i="12"/>
  <c r="B7" i="12"/>
  <c r="B6" i="12"/>
  <c r="AL24" i="12"/>
  <c r="AM22" i="12" s="1"/>
  <c r="AI24" i="12"/>
  <c r="AF24" i="12"/>
  <c r="AG21" i="12" s="1"/>
  <c r="AC24" i="12"/>
  <c r="AD20" i="12" s="1"/>
  <c r="Z24" i="12"/>
  <c r="AA22" i="12" s="1"/>
  <c r="W24" i="12"/>
  <c r="X20" i="12" s="1"/>
  <c r="T24" i="12"/>
  <c r="U21" i="12" s="1"/>
  <c r="Q24" i="12"/>
  <c r="R17" i="12" s="1"/>
  <c r="N24" i="12"/>
  <c r="O22" i="12" s="1"/>
  <c r="K24" i="12"/>
  <c r="H24" i="12"/>
  <c r="I21" i="12" s="1"/>
  <c r="E24" i="12"/>
  <c r="F21" i="12" s="1"/>
  <c r="AP22" i="12"/>
  <c r="AJ22" i="12"/>
  <c r="X22" i="12"/>
  <c r="R22" i="12"/>
  <c r="L22" i="12"/>
  <c r="AP21" i="12"/>
  <c r="AJ21" i="12"/>
  <c r="X21" i="12"/>
  <c r="L21" i="12"/>
  <c r="AP20" i="12"/>
  <c r="AJ20" i="12"/>
  <c r="R20" i="12"/>
  <c r="L20" i="12"/>
  <c r="AP19" i="12"/>
  <c r="AJ19" i="12"/>
  <c r="AD19" i="12"/>
  <c r="X19" i="12"/>
  <c r="R19" i="12"/>
  <c r="L19" i="12"/>
  <c r="AP18" i="12"/>
  <c r="AJ18" i="12"/>
  <c r="X18" i="12"/>
  <c r="L18" i="12"/>
  <c r="AP17" i="12"/>
  <c r="AJ17" i="12"/>
  <c r="L17" i="12"/>
  <c r="AP16" i="12"/>
  <c r="AJ16" i="12"/>
  <c r="AD16" i="12"/>
  <c r="X16" i="12"/>
  <c r="R16" i="12"/>
  <c r="L16" i="12"/>
  <c r="AP15" i="12"/>
  <c r="AJ15" i="12"/>
  <c r="AD15" i="12"/>
  <c r="X15" i="12"/>
  <c r="R15" i="12"/>
  <c r="L15" i="12"/>
  <c r="AP14" i="12"/>
  <c r="AJ14" i="12"/>
  <c r="AG14" i="12"/>
  <c r="AD14" i="12"/>
  <c r="X14" i="12"/>
  <c r="U14" i="12"/>
  <c r="L14" i="12"/>
  <c r="I14" i="12"/>
  <c r="AP13" i="12"/>
  <c r="AJ13" i="12"/>
  <c r="AJ24" i="12" s="1"/>
  <c r="X13" i="12"/>
  <c r="R13" i="12"/>
  <c r="L13" i="12"/>
  <c r="AJ6" i="12"/>
  <c r="AD6" i="12"/>
  <c r="X6" i="12"/>
  <c r="U6" i="12"/>
  <c r="R6" i="12"/>
  <c r="L6" i="12"/>
  <c r="H6" i="12"/>
  <c r="K6" i="12" s="1"/>
  <c r="N6" i="12" s="1"/>
  <c r="Q6" i="12" s="1"/>
  <c r="T6" i="12" s="1"/>
  <c r="W6" i="12" s="1"/>
  <c r="Z6" i="12" s="1"/>
  <c r="AC6" i="12" s="1"/>
  <c r="AF6" i="12" s="1"/>
  <c r="AI6" i="12" s="1"/>
  <c r="AL6" i="12" s="1"/>
  <c r="AP6" i="12" s="1"/>
  <c r="AY7" i="11"/>
  <c r="AV7" i="11"/>
  <c r="AV6" i="11"/>
  <c r="AT6" i="11"/>
  <c r="BA4" i="11"/>
  <c r="BA6" i="11" s="1"/>
  <c r="AY4" i="11"/>
  <c r="AY6" i="11" s="1"/>
  <c r="AV4" i="11"/>
  <c r="AT4" i="11"/>
  <c r="AQ14" i="11"/>
  <c r="AQ15" i="11"/>
  <c r="AQ16" i="11"/>
  <c r="AQ17" i="11"/>
  <c r="AQ18" i="11"/>
  <c r="AQ19" i="11"/>
  <c r="AQ20" i="11"/>
  <c r="AQ21" i="11"/>
  <c r="AQ22" i="11"/>
  <c r="AQ23" i="11"/>
  <c r="AQ24" i="11"/>
  <c r="AQ25" i="11"/>
  <c r="AQ26" i="11"/>
  <c r="AQ27" i="11"/>
  <c r="AQ28" i="11"/>
  <c r="AQ29" i="11"/>
  <c r="AQ30" i="11"/>
  <c r="AQ31" i="11"/>
  <c r="AL34" i="11"/>
  <c r="AL28" i="6" s="1"/>
  <c r="AM32" i="11"/>
  <c r="AM31" i="11"/>
  <c r="AM30" i="11"/>
  <c r="AM29" i="11"/>
  <c r="AM28" i="11"/>
  <c r="AM27" i="11"/>
  <c r="AM26" i="11"/>
  <c r="AM25" i="11"/>
  <c r="AM24" i="11"/>
  <c r="AM23" i="11"/>
  <c r="AM22" i="11"/>
  <c r="AM21" i="11"/>
  <c r="AM20" i="11"/>
  <c r="AM19" i="11"/>
  <c r="AM18" i="11"/>
  <c r="AM17" i="11"/>
  <c r="AM16" i="11"/>
  <c r="AM15" i="11"/>
  <c r="AM14" i="11"/>
  <c r="AM13" i="11"/>
  <c r="AM34" i="11" s="1"/>
  <c r="AI34" i="11"/>
  <c r="AI28" i="6" s="1"/>
  <c r="AJ32" i="11"/>
  <c r="AJ31" i="11"/>
  <c r="AJ30" i="11"/>
  <c r="AJ29" i="11"/>
  <c r="AJ28" i="11"/>
  <c r="AJ27" i="11"/>
  <c r="AJ26" i="11"/>
  <c r="AJ25" i="11"/>
  <c r="AJ24" i="11"/>
  <c r="AJ23" i="11"/>
  <c r="AJ22" i="11"/>
  <c r="AJ21" i="11"/>
  <c r="AJ20" i="11"/>
  <c r="AJ19" i="11"/>
  <c r="AJ18" i="11"/>
  <c r="AJ17" i="11"/>
  <c r="AJ16" i="11"/>
  <c r="AJ15" i="11"/>
  <c r="AJ14" i="11"/>
  <c r="AJ13" i="11"/>
  <c r="AF34" i="11"/>
  <c r="AF28" i="6" s="1"/>
  <c r="AG28" i="6" s="1"/>
  <c r="AG32" i="11"/>
  <c r="AG31" i="11"/>
  <c r="AG30" i="11"/>
  <c r="AG29" i="11"/>
  <c r="AG28" i="11"/>
  <c r="AG27" i="11"/>
  <c r="AG26" i="11"/>
  <c r="AG25" i="11"/>
  <c r="AG24" i="11"/>
  <c r="AG23" i="11"/>
  <c r="AG22" i="11"/>
  <c r="AG21" i="11"/>
  <c r="AG20" i="11"/>
  <c r="AG19" i="11"/>
  <c r="AG18" i="11"/>
  <c r="AG17" i="11"/>
  <c r="AG16" i="11"/>
  <c r="AG15" i="11"/>
  <c r="AG14" i="11"/>
  <c r="AG13" i="11"/>
  <c r="AG34" i="11" s="1"/>
  <c r="AC34" i="11"/>
  <c r="AC28" i="6" s="1"/>
  <c r="AD28" i="6" s="1"/>
  <c r="AD32" i="11"/>
  <c r="AD31" i="11"/>
  <c r="AD30" i="11"/>
  <c r="AD29" i="11"/>
  <c r="AD28" i="11"/>
  <c r="AD27" i="11"/>
  <c r="AD26" i="11"/>
  <c r="AD25" i="11"/>
  <c r="AD24" i="11"/>
  <c r="AD23" i="11"/>
  <c r="AD22" i="11"/>
  <c r="AD21" i="11"/>
  <c r="AD20" i="11"/>
  <c r="AD19" i="11"/>
  <c r="AD18" i="11"/>
  <c r="AD17" i="11"/>
  <c r="AD16" i="11"/>
  <c r="AD15" i="11"/>
  <c r="AD14" i="11"/>
  <c r="AD13" i="11"/>
  <c r="AD34" i="11" s="1"/>
  <c r="Z34" i="11"/>
  <c r="Z28" i="6" s="1"/>
  <c r="AA28" i="6" s="1"/>
  <c r="AA32" i="11"/>
  <c r="AA31" i="11"/>
  <c r="AA30" i="11"/>
  <c r="AA29" i="11"/>
  <c r="AA28" i="11"/>
  <c r="AA27" i="11"/>
  <c r="AA26" i="11"/>
  <c r="AA25" i="11"/>
  <c r="AA24" i="11"/>
  <c r="AA23" i="11"/>
  <c r="AA22" i="11"/>
  <c r="AA21" i="11"/>
  <c r="AA20" i="11"/>
  <c r="AA19" i="11"/>
  <c r="AA18" i="11"/>
  <c r="AA17" i="11"/>
  <c r="AA16" i="11"/>
  <c r="AA15" i="11"/>
  <c r="AA14" i="11"/>
  <c r="AA13" i="11"/>
  <c r="AA34" i="11" s="1"/>
  <c r="W34" i="11"/>
  <c r="W28" i="6" s="1"/>
  <c r="X28" i="6" s="1"/>
  <c r="X32" i="11"/>
  <c r="X31" i="11"/>
  <c r="X30" i="11"/>
  <c r="X29" i="11"/>
  <c r="X28" i="11"/>
  <c r="X27" i="11"/>
  <c r="X26" i="11"/>
  <c r="X25" i="11"/>
  <c r="X24" i="11"/>
  <c r="X23" i="11"/>
  <c r="X22" i="11"/>
  <c r="X21" i="11"/>
  <c r="X20" i="11"/>
  <c r="X19" i="11"/>
  <c r="X18" i="11"/>
  <c r="X17" i="11"/>
  <c r="X16" i="11"/>
  <c r="X15" i="11"/>
  <c r="X14" i="11"/>
  <c r="X13" i="11"/>
  <c r="T34" i="11"/>
  <c r="T28" i="6" s="1"/>
  <c r="U28" i="6" s="1"/>
  <c r="U32" i="11"/>
  <c r="U31" i="11"/>
  <c r="U30" i="11"/>
  <c r="U29" i="11"/>
  <c r="U28" i="11"/>
  <c r="U27" i="11"/>
  <c r="U26" i="11"/>
  <c r="U25" i="11"/>
  <c r="U24" i="11"/>
  <c r="U23" i="11"/>
  <c r="U22" i="11"/>
  <c r="U21" i="11"/>
  <c r="U20" i="11"/>
  <c r="U19" i="11"/>
  <c r="U18" i="11"/>
  <c r="U17" i="11"/>
  <c r="U16" i="11"/>
  <c r="U15" i="11"/>
  <c r="U14" i="11"/>
  <c r="U13" i="11"/>
  <c r="U34" i="11" s="1"/>
  <c r="Q34" i="11"/>
  <c r="Q28" i="6" s="1"/>
  <c r="R32" i="11"/>
  <c r="R31" i="11"/>
  <c r="R30" i="11"/>
  <c r="R29" i="11"/>
  <c r="R28" i="11"/>
  <c r="R27" i="11"/>
  <c r="R26" i="11"/>
  <c r="R25" i="11"/>
  <c r="R24" i="11"/>
  <c r="R23" i="11"/>
  <c r="R22" i="11"/>
  <c r="R21" i="11"/>
  <c r="R20" i="11"/>
  <c r="R19" i="11"/>
  <c r="R18" i="11"/>
  <c r="R17" i="11"/>
  <c r="R16" i="11"/>
  <c r="R15" i="11"/>
  <c r="R14" i="11"/>
  <c r="R13" i="11"/>
  <c r="R34" i="11" s="1"/>
  <c r="N34" i="11"/>
  <c r="N28" i="6" s="1"/>
  <c r="O32" i="11"/>
  <c r="O31" i="11"/>
  <c r="O30" i="11"/>
  <c r="O29" i="11"/>
  <c r="O28" i="11"/>
  <c r="O27" i="11"/>
  <c r="O26" i="11"/>
  <c r="O25" i="11"/>
  <c r="O24" i="11"/>
  <c r="O23" i="11"/>
  <c r="O22" i="11"/>
  <c r="O21" i="11"/>
  <c r="O20" i="11"/>
  <c r="O19" i="11"/>
  <c r="O18" i="11"/>
  <c r="O17" i="11"/>
  <c r="O16" i="11"/>
  <c r="O15" i="11"/>
  <c r="O14" i="11"/>
  <c r="O13" i="11"/>
  <c r="O34" i="11" s="1"/>
  <c r="K34" i="11"/>
  <c r="K28" i="6" s="1"/>
  <c r="L28" i="6" s="1"/>
  <c r="L32" i="11"/>
  <c r="L31" i="11"/>
  <c r="L30" i="11"/>
  <c r="L29" i="11"/>
  <c r="L28" i="11"/>
  <c r="L27" i="11"/>
  <c r="L26" i="11"/>
  <c r="L25" i="11"/>
  <c r="L24" i="11"/>
  <c r="L23" i="11"/>
  <c r="L22" i="11"/>
  <c r="L21" i="11"/>
  <c r="L20" i="11"/>
  <c r="L19" i="11"/>
  <c r="L18" i="11"/>
  <c r="L17" i="11"/>
  <c r="L16" i="11"/>
  <c r="L15" i="11"/>
  <c r="L14" i="11"/>
  <c r="L13" i="11"/>
  <c r="H34" i="11"/>
  <c r="H28" i="6" s="1"/>
  <c r="I32" i="11"/>
  <c r="I31" i="11"/>
  <c r="I30" i="11"/>
  <c r="I29" i="11"/>
  <c r="I28" i="11"/>
  <c r="I27" i="11"/>
  <c r="I26" i="11"/>
  <c r="I25" i="11"/>
  <c r="I24" i="11"/>
  <c r="I23" i="11"/>
  <c r="I22" i="11"/>
  <c r="I21" i="11"/>
  <c r="I20" i="11"/>
  <c r="I19" i="11"/>
  <c r="I18" i="11"/>
  <c r="I17" i="11"/>
  <c r="I16" i="11"/>
  <c r="I15" i="11"/>
  <c r="I14" i="11"/>
  <c r="I13" i="11"/>
  <c r="I34" i="11" s="1"/>
  <c r="E34" i="11"/>
  <c r="E28" i="6" s="1"/>
  <c r="F14" i="11"/>
  <c r="F15" i="11"/>
  <c r="F16" i="11"/>
  <c r="F17" i="11"/>
  <c r="F18" i="11"/>
  <c r="F19" i="11"/>
  <c r="F20" i="11"/>
  <c r="F21" i="11"/>
  <c r="F22" i="11"/>
  <c r="F23" i="11"/>
  <c r="F24" i="11"/>
  <c r="F25" i="11"/>
  <c r="F26" i="11"/>
  <c r="F27" i="11"/>
  <c r="F28" i="11"/>
  <c r="F29" i="11"/>
  <c r="F30" i="11"/>
  <c r="F31" i="11"/>
  <c r="F32" i="11"/>
  <c r="F13" i="11"/>
  <c r="F34" i="11"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Q32" i="11" s="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Y7" i="10"/>
  <c r="AV6" i="10"/>
  <c r="AT6" i="10"/>
  <c r="BA4" i="10"/>
  <c r="BA6" i="10" s="1"/>
  <c r="AY4" i="10"/>
  <c r="AY6" i="10" s="1"/>
  <c r="AV4" i="10"/>
  <c r="AT4" i="10"/>
  <c r="AG24" i="10"/>
  <c r="AG23" i="10"/>
  <c r="AG22" i="10"/>
  <c r="AG21" i="10"/>
  <c r="AG20" i="10"/>
  <c r="AG19" i="10"/>
  <c r="AG18" i="10"/>
  <c r="AG17" i="10"/>
  <c r="AG16" i="10"/>
  <c r="AG15" i="10"/>
  <c r="AF14" i="10"/>
  <c r="AF26" i="10" s="1"/>
  <c r="AG13" i="10"/>
  <c r="AD24" i="10"/>
  <c r="AD23" i="10"/>
  <c r="AD22" i="10"/>
  <c r="AD21" i="10"/>
  <c r="AD20" i="10"/>
  <c r="AD19" i="10"/>
  <c r="AD18" i="10"/>
  <c r="AD17" i="10"/>
  <c r="AD16" i="10"/>
  <c r="AD15" i="10"/>
  <c r="AC14" i="10"/>
  <c r="AC26" i="10" s="1"/>
  <c r="AC27" i="6" s="1"/>
  <c r="AD13" i="10"/>
  <c r="AA24" i="10"/>
  <c r="AA23" i="10"/>
  <c r="AA22" i="10"/>
  <c r="AA21" i="10"/>
  <c r="AA20" i="10"/>
  <c r="AA19" i="10"/>
  <c r="AA18" i="10"/>
  <c r="AA17" i="10"/>
  <c r="AA16" i="10"/>
  <c r="AA15" i="10"/>
  <c r="Z14" i="10"/>
  <c r="Z26" i="10" s="1"/>
  <c r="Z27" i="6" s="1"/>
  <c r="AA13" i="10"/>
  <c r="X24" i="10"/>
  <c r="X23" i="10"/>
  <c r="X22" i="10"/>
  <c r="X21" i="10"/>
  <c r="X20" i="10"/>
  <c r="X19" i="10"/>
  <c r="X18" i="10"/>
  <c r="X17" i="10"/>
  <c r="X16" i="10"/>
  <c r="X15" i="10"/>
  <c r="W14" i="10"/>
  <c r="X14" i="10" s="1"/>
  <c r="X13" i="10"/>
  <c r="U24" i="10"/>
  <c r="U23" i="10"/>
  <c r="U22" i="10"/>
  <c r="U21" i="10"/>
  <c r="U20" i="10"/>
  <c r="U19" i="10"/>
  <c r="U18" i="10"/>
  <c r="U17" i="10"/>
  <c r="U16" i="10"/>
  <c r="U15" i="10"/>
  <c r="T14" i="10"/>
  <c r="T26" i="10" s="1"/>
  <c r="T27" i="6" s="1"/>
  <c r="U13" i="10"/>
  <c r="L24" i="10"/>
  <c r="L23" i="10"/>
  <c r="L22" i="10"/>
  <c r="L21" i="10"/>
  <c r="L20" i="10"/>
  <c r="L19" i="10"/>
  <c r="L18" i="10"/>
  <c r="L17" i="10"/>
  <c r="L16" i="10"/>
  <c r="L15" i="10"/>
  <c r="K14" i="10"/>
  <c r="K26" i="10" s="1"/>
  <c r="K27" i="6" s="1"/>
  <c r="L13" i="10"/>
  <c r="F24" i="10"/>
  <c r="F23" i="10"/>
  <c r="F22" i="10"/>
  <c r="F21" i="10"/>
  <c r="F20" i="10"/>
  <c r="F19" i="10"/>
  <c r="F18" i="10"/>
  <c r="F17" i="10"/>
  <c r="F16" i="10"/>
  <c r="F15" i="10"/>
  <c r="F13" i="10"/>
  <c r="F14" i="10"/>
  <c r="E1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D395" i="1"/>
  <c r="D19" i="2"/>
  <c r="G10" i="5"/>
  <c r="S10" i="5"/>
  <c r="Q10" i="5"/>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F395" i="1"/>
  <c r="F19" i="2"/>
  <c r="G26" i="5"/>
  <c r="S26" i="5"/>
  <c r="Q26" i="5"/>
  <c r="AE10" i="5"/>
  <c r="AC10" i="5"/>
  <c r="AQ10" i="5"/>
  <c r="AO10" i="5"/>
  <c r="E10" i="5"/>
  <c r="E14" i="6"/>
  <c r="AE26" i="5"/>
  <c r="AC26" i="5"/>
  <c r="AQ26" i="5"/>
  <c r="AO26" i="5"/>
  <c r="E26" i="5"/>
  <c r="K14" i="6"/>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K395" i="1"/>
  <c r="K19" i="2"/>
  <c r="G66" i="5"/>
  <c r="S66" i="5"/>
  <c r="AE66" i="5"/>
  <c r="AQ66" i="5"/>
  <c r="AO66" i="5"/>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I395" i="1"/>
  <c r="I19" i="2"/>
  <c r="G50" i="5"/>
  <c r="S50" i="5"/>
  <c r="AE50" i="5"/>
  <c r="AQ50" i="5"/>
  <c r="AO50" i="5"/>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L395" i="1"/>
  <c r="L19" i="2"/>
  <c r="G74" i="5"/>
  <c r="S74" i="5"/>
  <c r="AE74" i="5"/>
  <c r="AQ74" i="5"/>
  <c r="AO74" i="5"/>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M395" i="1"/>
  <c r="M19" i="2"/>
  <c r="G82" i="5"/>
  <c r="S82" i="5"/>
  <c r="AE82" i="5"/>
  <c r="AQ82" i="5"/>
  <c r="AO82" i="5"/>
  <c r="Q66" i="5"/>
  <c r="AC66" i="5"/>
  <c r="E66" i="5"/>
  <c r="Z14" i="6"/>
  <c r="Q50" i="5"/>
  <c r="AC50" i="5"/>
  <c r="E50" i="5"/>
  <c r="T14" i="6"/>
  <c r="Q74" i="5"/>
  <c r="AC74" i="5"/>
  <c r="E74" i="5"/>
  <c r="AC14" i="6"/>
  <c r="Q82" i="5"/>
  <c r="AC82" i="5"/>
  <c r="E82" i="5"/>
  <c r="AF14" i="6"/>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R98" i="5"/>
  <c r="BR90" i="5"/>
  <c r="BR82" i="5"/>
  <c r="BO82"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F98" i="5"/>
  <c r="BF90" i="5"/>
  <c r="BF82" i="5"/>
  <c r="BC82"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R74" i="5"/>
  <c r="BR66" i="5"/>
  <c r="BR58" i="5"/>
  <c r="BO74" i="5"/>
  <c r="BO66" i="5"/>
  <c r="BO58" i="5"/>
  <c r="BT55" i="5"/>
  <c r="BT63" i="5"/>
  <c r="BT71" i="5"/>
  <c r="BT73" i="5"/>
  <c r="BR63" i="5"/>
  <c r="BR71" i="5"/>
  <c r="BR73" i="5"/>
  <c r="BM57" i="5"/>
  <c r="BM65" i="5"/>
  <c r="BM73" i="5"/>
  <c r="BM55" i="5"/>
  <c r="BM63" i="5"/>
  <c r="BM71" i="5"/>
  <c r="BT65" i="5"/>
  <c r="BR65" i="5"/>
  <c r="BT57" i="5"/>
  <c r="BR57" i="5"/>
  <c r="BF74" i="5"/>
  <c r="BF66" i="5"/>
  <c r="BF58" i="5"/>
  <c r="BC74" i="5"/>
  <c r="BC66" i="5"/>
  <c r="BC58" i="5"/>
  <c r="BH71" i="5"/>
  <c r="BF71" i="5"/>
  <c r="BA73" i="5"/>
  <c r="BA65" i="5"/>
  <c r="BH63" i="5"/>
  <c r="BF63" i="5"/>
  <c r="BC63" i="5"/>
  <c r="BA63" i="5"/>
  <c r="BA57" i="5"/>
  <c r="BH55" i="5"/>
  <c r="BH73" i="5"/>
  <c r="BF73" i="5"/>
  <c r="BC55" i="5"/>
  <c r="BC71" i="5"/>
  <c r="BA55" i="5"/>
  <c r="BA71" i="5"/>
  <c r="BH65" i="5"/>
  <c r="BF65" i="5"/>
  <c r="BH57" i="5"/>
  <c r="BF57" i="5"/>
  <c r="BR50" i="5"/>
  <c r="BR42" i="5"/>
  <c r="BR34" i="5"/>
  <c r="BO50" i="5"/>
  <c r="BT31" i="5"/>
  <c r="BT39" i="5"/>
  <c r="BT47" i="5"/>
  <c r="BT49" i="5"/>
  <c r="BR23" i="5"/>
  <c r="BR31" i="5"/>
  <c r="BR39" i="5"/>
  <c r="BR47" i="5"/>
  <c r="BR49" i="5"/>
  <c r="BM33" i="5"/>
  <c r="BM41" i="5"/>
  <c r="BM49" i="5"/>
  <c r="BM31" i="5"/>
  <c r="BM39" i="5"/>
  <c r="BM47" i="5"/>
  <c r="BT41" i="5"/>
  <c r="BR41" i="5"/>
  <c r="BT33" i="5"/>
  <c r="BR33" i="5"/>
  <c r="BF50" i="5"/>
  <c r="BF42" i="5"/>
  <c r="BF34" i="5"/>
  <c r="BC50" i="5"/>
  <c r="BA49" i="5"/>
  <c r="BA41" i="5"/>
  <c r="BA33" i="5"/>
  <c r="BH47" i="5"/>
  <c r="BF23" i="5"/>
  <c r="BF31" i="5"/>
  <c r="BF39" i="5"/>
  <c r="BF47" i="5"/>
  <c r="BH39" i="5"/>
  <c r="BH31" i="5"/>
  <c r="BH49" i="5"/>
  <c r="BF49" i="5"/>
  <c r="BC31" i="5"/>
  <c r="BC39" i="5"/>
  <c r="BC47" i="5"/>
  <c r="BA31" i="5"/>
  <c r="BA39" i="5"/>
  <c r="BA47" i="5"/>
  <c r="BH41" i="5"/>
  <c r="BF41" i="5"/>
  <c r="BH33" i="5"/>
  <c r="BF33" i="5"/>
  <c r="BO26" i="5"/>
  <c r="BR26" i="5"/>
  <c r="BC26" i="5"/>
  <c r="BF26" i="5"/>
  <c r="BT23" i="5"/>
  <c r="BT25" i="5"/>
  <c r="BR25" i="5"/>
  <c r="BM25" i="5"/>
  <c r="BH23" i="5"/>
  <c r="BH25" i="5"/>
  <c r="BF25" i="5"/>
  <c r="BA25" i="5"/>
  <c r="BM23" i="5"/>
  <c r="BC23" i="5"/>
  <c r="BA23" i="5"/>
  <c r="BT15" i="5"/>
  <c r="BM17" i="5"/>
  <c r="BM15" i="5"/>
  <c r="BH15" i="5"/>
  <c r="BA17" i="5"/>
  <c r="BA15" i="5"/>
  <c r="BR18" i="5"/>
  <c r="BF18" i="5"/>
  <c r="BT17" i="5"/>
  <c r="BR15" i="5"/>
  <c r="BR17" i="5"/>
  <c r="BO17" i="5"/>
  <c r="BH17" i="5"/>
  <c r="BF15" i="5"/>
  <c r="BF17" i="5"/>
  <c r="BC17" i="5"/>
  <c r="BO15" i="5"/>
  <c r="BC15" i="5"/>
  <c r="BR10" i="5"/>
  <c r="BO10" i="5"/>
  <c r="BT9" i="5"/>
  <c r="BR7" i="5"/>
  <c r="BR9" i="5"/>
  <c r="BO9" i="5"/>
  <c r="BO7" i="5"/>
  <c r="BF10" i="5"/>
  <c r="BH9" i="5"/>
  <c r="BF9" i="5"/>
  <c r="BC9" i="5"/>
  <c r="BC10"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J395" i="1"/>
  <c r="J19" i="2"/>
  <c r="G58" i="5"/>
  <c r="S58" i="5"/>
  <c r="Q58" i="5"/>
  <c r="AE58" i="5"/>
  <c r="AC58" i="5"/>
  <c r="AQ58" i="5"/>
  <c r="AO58" i="5"/>
  <c r="E58" i="5"/>
  <c r="W14" i="6"/>
  <c r="AS34" i="6"/>
  <c r="AS38" i="6"/>
  <c r="AS39" i="6"/>
  <c r="BR106" i="5"/>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F106" i="5"/>
  <c r="BC111" i="5"/>
  <c r="BA111" i="5"/>
  <c r="BF113" i="5"/>
  <c r="BH105" i="5"/>
  <c r="BH7" i="6"/>
  <c r="AT7" i="9"/>
  <c r="AY7" i="9"/>
  <c r="AY7" i="7"/>
  <c r="AY7" i="8"/>
  <c r="AT7" i="8"/>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V20" i="6"/>
  <c r="AV19" i="6"/>
  <c r="AQ40" i="9"/>
  <c r="AQ41" i="9"/>
  <c r="AP41" i="9"/>
  <c r="AP40" i="9"/>
  <c r="AL27" i="9"/>
  <c r="AI27" i="9"/>
  <c r="AF27" i="9"/>
  <c r="AC27" i="9"/>
  <c r="Z27" i="9"/>
  <c r="W27" i="9"/>
  <c r="T27" i="9"/>
  <c r="Q27" i="9"/>
  <c r="N27" i="9"/>
  <c r="K27" i="9"/>
  <c r="H27" i="9"/>
  <c r="E27" i="9"/>
  <c r="AP27" i="9"/>
  <c r="AP28" i="9"/>
  <c r="AP29" i="9"/>
  <c r="AP30" i="9"/>
  <c r="AL31" i="9"/>
  <c r="AI31" i="9"/>
  <c r="AF31" i="9"/>
  <c r="AC31" i="9"/>
  <c r="Z31" i="9"/>
  <c r="W31" i="9"/>
  <c r="T31" i="9"/>
  <c r="Q31" i="9"/>
  <c r="N31" i="9"/>
  <c r="K31" i="9"/>
  <c r="H31" i="9"/>
  <c r="E31" i="9"/>
  <c r="AP31" i="9"/>
  <c r="AP32" i="9"/>
  <c r="AP33" i="9"/>
  <c r="AP34" i="9"/>
  <c r="AP35" i="9"/>
  <c r="AP36" i="9"/>
  <c r="AL13" i="9"/>
  <c r="AL14" i="9"/>
  <c r="AL15" i="9"/>
  <c r="AL16" i="9"/>
  <c r="AL17" i="9"/>
  <c r="AL18" i="9"/>
  <c r="AL19" i="9"/>
  <c r="AL20" i="9"/>
  <c r="AL21" i="9"/>
  <c r="AL23" i="9"/>
  <c r="AI13" i="9"/>
  <c r="AI14" i="9"/>
  <c r="AI15" i="9"/>
  <c r="AI16" i="9"/>
  <c r="AI17" i="9"/>
  <c r="AI18" i="9"/>
  <c r="AI19" i="9"/>
  <c r="AI20" i="9"/>
  <c r="AI21" i="9"/>
  <c r="AI23" i="9"/>
  <c r="AF13" i="9"/>
  <c r="AF14" i="9"/>
  <c r="AF15" i="9"/>
  <c r="AF16" i="9"/>
  <c r="AF17" i="9"/>
  <c r="AF18" i="9"/>
  <c r="AF19" i="9"/>
  <c r="AF20" i="9"/>
  <c r="AF21" i="9"/>
  <c r="AF23" i="9"/>
  <c r="AC13" i="9"/>
  <c r="AC14" i="9"/>
  <c r="AC15" i="9"/>
  <c r="AC16" i="9"/>
  <c r="AC17" i="9"/>
  <c r="AC18" i="9"/>
  <c r="AC19" i="9"/>
  <c r="AC20" i="9"/>
  <c r="AC21" i="9"/>
  <c r="AC23" i="9"/>
  <c r="Z13" i="9"/>
  <c r="Z14" i="9"/>
  <c r="Z15" i="9"/>
  <c r="Z16" i="9"/>
  <c r="Z17" i="9"/>
  <c r="Z18" i="9"/>
  <c r="Z19" i="9"/>
  <c r="Z20" i="9"/>
  <c r="Z21" i="9"/>
  <c r="Z23" i="9"/>
  <c r="W13" i="9"/>
  <c r="W14" i="9"/>
  <c r="W15" i="9"/>
  <c r="W16" i="9"/>
  <c r="W17" i="9"/>
  <c r="W18" i="9"/>
  <c r="W19" i="9"/>
  <c r="W20" i="9"/>
  <c r="W21" i="9"/>
  <c r="W23" i="9"/>
  <c r="T13" i="9"/>
  <c r="T14" i="9"/>
  <c r="T15" i="9"/>
  <c r="T16" i="9"/>
  <c r="T17" i="9"/>
  <c r="T18" i="9"/>
  <c r="T19" i="9"/>
  <c r="T20" i="9"/>
  <c r="T21" i="9"/>
  <c r="T23" i="9"/>
  <c r="Q13" i="9"/>
  <c r="Q14" i="9"/>
  <c r="Q15" i="9"/>
  <c r="Q16" i="9"/>
  <c r="Q17" i="9"/>
  <c r="Q18" i="9"/>
  <c r="Q19" i="9"/>
  <c r="Q20" i="9"/>
  <c r="Q21" i="9"/>
  <c r="Q23" i="9"/>
  <c r="N13" i="9"/>
  <c r="N14" i="9"/>
  <c r="N15" i="9"/>
  <c r="N16" i="9"/>
  <c r="N17" i="9"/>
  <c r="N18" i="9"/>
  <c r="N19" i="9"/>
  <c r="N20" i="9"/>
  <c r="N21" i="9"/>
  <c r="N23" i="9"/>
  <c r="K13" i="9"/>
  <c r="K14" i="9"/>
  <c r="K15" i="9"/>
  <c r="K16" i="9"/>
  <c r="K17" i="9"/>
  <c r="K18" i="9"/>
  <c r="K19" i="9"/>
  <c r="K20" i="9"/>
  <c r="K21" i="9"/>
  <c r="K23" i="9"/>
  <c r="H13" i="9"/>
  <c r="H14" i="9"/>
  <c r="H15" i="9"/>
  <c r="H16" i="9"/>
  <c r="H17" i="9"/>
  <c r="H18" i="9"/>
  <c r="H19" i="9"/>
  <c r="H20" i="9"/>
  <c r="H21" i="9"/>
  <c r="H23" i="9"/>
  <c r="E13" i="9"/>
  <c r="E14" i="9"/>
  <c r="E15" i="9"/>
  <c r="E16" i="9"/>
  <c r="E17" i="9"/>
  <c r="E18" i="9"/>
  <c r="E19" i="9"/>
  <c r="E20" i="9"/>
  <c r="E21" i="9"/>
  <c r="E23" i="9"/>
  <c r="AP23" i="9"/>
  <c r="AL36" i="9"/>
  <c r="AL41" i="9"/>
  <c r="AM41" i="9"/>
  <c r="AI36" i="9"/>
  <c r="AI41" i="9"/>
  <c r="AJ41" i="9"/>
  <c r="AF36" i="9"/>
  <c r="AF41" i="9"/>
  <c r="AG41" i="9"/>
  <c r="AC36" i="9"/>
  <c r="AC41" i="9"/>
  <c r="AD41" i="9"/>
  <c r="Z36" i="9"/>
  <c r="Z41" i="9"/>
  <c r="AA41" i="9"/>
  <c r="W36" i="9"/>
  <c r="W41" i="9"/>
  <c r="X41" i="9"/>
  <c r="T36" i="9"/>
  <c r="T41" i="9"/>
  <c r="U41" i="9"/>
  <c r="Q36" i="9"/>
  <c r="Q41" i="9"/>
  <c r="R41" i="9"/>
  <c r="N36" i="9"/>
  <c r="N41" i="9"/>
  <c r="O41" i="9"/>
  <c r="K36" i="9"/>
  <c r="K41" i="9"/>
  <c r="L41" i="9"/>
  <c r="H36" i="9"/>
  <c r="H41" i="9"/>
  <c r="I41" i="9"/>
  <c r="E36" i="9"/>
  <c r="E41" i="9"/>
  <c r="F41" i="9"/>
  <c r="AL40" i="9"/>
  <c r="AM40" i="9"/>
  <c r="AI40" i="9"/>
  <c r="AJ40" i="9"/>
  <c r="AF40" i="9"/>
  <c r="AG40" i="9"/>
  <c r="AC40" i="9"/>
  <c r="AD40" i="9"/>
  <c r="Z40" i="9"/>
  <c r="AA40" i="9"/>
  <c r="W40" i="9"/>
  <c r="X40" i="9"/>
  <c r="T40" i="9"/>
  <c r="U40" i="9"/>
  <c r="Q40" i="9"/>
  <c r="R40" i="9"/>
  <c r="N40" i="9"/>
  <c r="O40" i="9"/>
  <c r="K40" i="9"/>
  <c r="L40" i="9"/>
  <c r="H40" i="9"/>
  <c r="I40" i="9"/>
  <c r="E40" i="9"/>
  <c r="F40" i="9"/>
  <c r="AL13" i="8"/>
  <c r="AL19" i="8"/>
  <c r="AL25" i="8"/>
  <c r="AL31" i="8"/>
  <c r="AL37" i="8"/>
  <c r="AL43" i="8"/>
  <c r="AL49" i="8"/>
  <c r="AL55" i="8"/>
  <c r="AL61" i="8"/>
  <c r="AL67" i="8"/>
  <c r="AL14" i="8"/>
  <c r="AL20" i="8"/>
  <c r="AL44" i="8"/>
  <c r="AL56" i="8"/>
  <c r="AL62" i="8"/>
  <c r="AL32" i="8"/>
  <c r="AL38" i="8"/>
  <c r="AL68" i="8"/>
  <c r="AL20" i="6"/>
  <c r="AL19" i="6"/>
  <c r="AL21" i="6"/>
  <c r="AI13" i="8"/>
  <c r="AI19" i="8"/>
  <c r="AI25" i="8"/>
  <c r="AI31" i="8"/>
  <c r="AI37" i="8"/>
  <c r="AI43" i="8"/>
  <c r="AI49" i="8"/>
  <c r="AI55" i="8"/>
  <c r="AI61" i="8"/>
  <c r="AI67" i="8"/>
  <c r="AI14" i="8"/>
  <c r="AI20" i="8"/>
  <c r="AI44" i="8"/>
  <c r="AI56" i="8"/>
  <c r="AI62" i="8"/>
  <c r="AI32" i="8"/>
  <c r="AI38" i="8"/>
  <c r="AI68" i="8"/>
  <c r="AI20" i="6"/>
  <c r="AI19" i="6"/>
  <c r="AI21" i="6"/>
  <c r="AF13" i="8"/>
  <c r="AF19" i="8"/>
  <c r="AF25" i="8"/>
  <c r="AF31" i="8"/>
  <c r="AF37" i="8"/>
  <c r="AF43" i="8"/>
  <c r="AF49" i="8"/>
  <c r="AF55" i="8"/>
  <c r="AF61" i="8"/>
  <c r="AF67" i="8"/>
  <c r="AF14" i="8"/>
  <c r="AF20" i="8"/>
  <c r="AF44" i="8"/>
  <c r="AF56" i="8"/>
  <c r="AF62" i="8"/>
  <c r="AF32" i="8"/>
  <c r="AF38" i="8"/>
  <c r="AF68" i="8"/>
  <c r="AF20" i="6"/>
  <c r="AF19" i="6"/>
  <c r="AF21" i="6"/>
  <c r="AG21" i="6"/>
  <c r="AC13" i="8"/>
  <c r="AC19" i="8"/>
  <c r="AC25" i="8"/>
  <c r="AC31" i="8"/>
  <c r="AC37" i="8"/>
  <c r="AC43" i="8"/>
  <c r="AC49" i="8"/>
  <c r="AC55" i="8"/>
  <c r="AC61" i="8"/>
  <c r="AC67" i="8"/>
  <c r="AC14" i="8"/>
  <c r="AC20" i="8"/>
  <c r="AC44" i="8"/>
  <c r="AC56" i="8"/>
  <c r="AC62" i="8"/>
  <c r="AC32" i="8"/>
  <c r="AC38" i="8"/>
  <c r="AC68" i="8"/>
  <c r="AC20" i="6"/>
  <c r="AC19" i="6"/>
  <c r="AC21" i="6"/>
  <c r="AD21" i="6"/>
  <c r="Z13" i="8"/>
  <c r="Z19" i="8"/>
  <c r="Z25" i="8"/>
  <c r="Z31" i="8"/>
  <c r="Z37" i="8"/>
  <c r="Z43" i="8"/>
  <c r="Z49" i="8"/>
  <c r="Z55" i="8"/>
  <c r="Z61" i="8"/>
  <c r="Z67" i="8"/>
  <c r="Z14" i="8"/>
  <c r="Z20" i="8"/>
  <c r="Z44" i="8"/>
  <c r="Z56" i="8"/>
  <c r="Z62" i="8"/>
  <c r="Z32" i="8"/>
  <c r="Z38" i="8"/>
  <c r="Z68" i="8"/>
  <c r="Z20" i="6"/>
  <c r="Z19" i="6"/>
  <c r="Z21" i="6"/>
  <c r="AA21" i="6"/>
  <c r="W13" i="8"/>
  <c r="W19" i="8"/>
  <c r="W25" i="8"/>
  <c r="W31" i="8"/>
  <c r="W37" i="8"/>
  <c r="W43" i="8"/>
  <c r="W49" i="8"/>
  <c r="W55" i="8"/>
  <c r="W61" i="8"/>
  <c r="W67" i="8"/>
  <c r="W14" i="8"/>
  <c r="W20" i="8"/>
  <c r="W44" i="8"/>
  <c r="W56" i="8"/>
  <c r="W62" i="8"/>
  <c r="W32" i="8"/>
  <c r="W38" i="8"/>
  <c r="W68" i="8"/>
  <c r="W20" i="6"/>
  <c r="W19" i="6"/>
  <c r="W21" i="6"/>
  <c r="X21" i="6"/>
  <c r="T13" i="8"/>
  <c r="T19" i="8"/>
  <c r="T25" i="8"/>
  <c r="T31" i="8"/>
  <c r="T37" i="8"/>
  <c r="T43" i="8"/>
  <c r="T49" i="8"/>
  <c r="T55" i="8"/>
  <c r="T61" i="8"/>
  <c r="T67" i="8"/>
  <c r="T14" i="8"/>
  <c r="T20" i="8"/>
  <c r="T44" i="8"/>
  <c r="T56" i="8"/>
  <c r="T62" i="8"/>
  <c r="T32" i="8"/>
  <c r="T38" i="8"/>
  <c r="T68" i="8"/>
  <c r="T20" i="6"/>
  <c r="T19" i="6"/>
  <c r="T21" i="6"/>
  <c r="U21" i="6"/>
  <c r="Q13" i="8"/>
  <c r="Q19" i="8"/>
  <c r="Q25" i="8"/>
  <c r="Q31" i="8"/>
  <c r="Q37" i="8"/>
  <c r="Q43" i="8"/>
  <c r="Q49" i="8"/>
  <c r="Q55" i="8"/>
  <c r="Q61" i="8"/>
  <c r="Q67" i="8"/>
  <c r="Q14" i="8"/>
  <c r="Q20" i="8"/>
  <c r="Q44" i="8"/>
  <c r="Q56" i="8"/>
  <c r="Q62" i="8"/>
  <c r="Q32" i="8"/>
  <c r="Q38" i="8"/>
  <c r="Q68" i="8"/>
  <c r="Q20" i="6"/>
  <c r="Q19" i="6"/>
  <c r="Q21" i="6"/>
  <c r="N13" i="8"/>
  <c r="N19" i="8"/>
  <c r="N25" i="8"/>
  <c r="N31" i="8"/>
  <c r="N37" i="8"/>
  <c r="N43" i="8"/>
  <c r="N49" i="8"/>
  <c r="N55" i="8"/>
  <c r="N61" i="8"/>
  <c r="N67" i="8"/>
  <c r="N14" i="8"/>
  <c r="N44" i="8"/>
  <c r="N50" i="8"/>
  <c r="N20" i="8"/>
  <c r="N56" i="8"/>
  <c r="N62" i="8"/>
  <c r="N32" i="8"/>
  <c r="N38" i="8"/>
  <c r="N68" i="8"/>
  <c r="N20" i="6"/>
  <c r="N19" i="6"/>
  <c r="N21" i="6"/>
  <c r="K13" i="8"/>
  <c r="K19" i="8"/>
  <c r="K25" i="8"/>
  <c r="K31" i="8"/>
  <c r="K37" i="8"/>
  <c r="K43" i="8"/>
  <c r="K49" i="8"/>
  <c r="K55" i="8"/>
  <c r="K61" i="8"/>
  <c r="K67" i="8"/>
  <c r="K14" i="8"/>
  <c r="K44" i="8"/>
  <c r="K50" i="8"/>
  <c r="K20" i="8"/>
  <c r="K56" i="8"/>
  <c r="K62" i="8"/>
  <c r="K32" i="8"/>
  <c r="K38" i="8"/>
  <c r="K68" i="8"/>
  <c r="K20" i="6"/>
  <c r="K19" i="6"/>
  <c r="K21" i="6"/>
  <c r="L21" i="6"/>
  <c r="H13" i="8"/>
  <c r="H19" i="8"/>
  <c r="H25" i="8"/>
  <c r="H31" i="8"/>
  <c r="H37" i="8"/>
  <c r="H43" i="8"/>
  <c r="H49" i="8"/>
  <c r="H55" i="8"/>
  <c r="H61" i="8"/>
  <c r="H67" i="8"/>
  <c r="H14" i="8"/>
  <c r="H44" i="8"/>
  <c r="H50" i="8"/>
  <c r="H20" i="8"/>
  <c r="H56" i="8"/>
  <c r="H62" i="8"/>
  <c r="H32" i="8"/>
  <c r="H38" i="8"/>
  <c r="H68" i="8"/>
  <c r="H20" i="6"/>
  <c r="H19" i="6"/>
  <c r="H21" i="6"/>
  <c r="E13" i="8"/>
  <c r="E19" i="8"/>
  <c r="E25" i="8"/>
  <c r="E31" i="8"/>
  <c r="E37" i="8"/>
  <c r="E43" i="8"/>
  <c r="E49" i="8"/>
  <c r="E55" i="8"/>
  <c r="E61" i="8"/>
  <c r="E67" i="8"/>
  <c r="E14" i="8"/>
  <c r="E44" i="8"/>
  <c r="E50" i="8"/>
  <c r="E20" i="8"/>
  <c r="E56" i="8"/>
  <c r="E62" i="8"/>
  <c r="E32" i="8"/>
  <c r="E38" i="8"/>
  <c r="E68" i="8"/>
  <c r="E20" i="6"/>
  <c r="E19" i="6"/>
  <c r="E21" i="6"/>
  <c r="F21" i="6"/>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L26" i="8"/>
  <c r="AL50" i="8"/>
  <c r="AI26" i="8"/>
  <c r="AI50" i="8"/>
  <c r="AF26" i="8"/>
  <c r="AF50" i="8"/>
  <c r="AC26" i="8"/>
  <c r="AC50" i="8"/>
  <c r="Z26" i="8"/>
  <c r="Z50" i="8"/>
  <c r="W26" i="8"/>
  <c r="W50" i="8"/>
  <c r="T26" i="8"/>
  <c r="T50" i="8"/>
  <c r="Q26" i="8"/>
  <c r="Q50" i="8"/>
  <c r="N26" i="8"/>
  <c r="K26" i="8"/>
  <c r="H26" i="8"/>
  <c r="E26" i="8"/>
  <c r="AP38" i="9"/>
  <c r="AL38" i="9"/>
  <c r="AI38" i="9"/>
  <c r="AF38" i="9"/>
  <c r="AG38" i="9"/>
  <c r="AC38" i="9"/>
  <c r="AD38" i="9"/>
  <c r="Z38" i="9"/>
  <c r="AA38" i="9"/>
  <c r="W38" i="9"/>
  <c r="X38" i="9"/>
  <c r="T38" i="9"/>
  <c r="U38" i="9"/>
  <c r="Q38" i="9"/>
  <c r="N38" i="9"/>
  <c r="K38" i="9"/>
  <c r="L38" i="9"/>
  <c r="H38" i="9"/>
  <c r="E38" i="9"/>
  <c r="F38" i="9"/>
  <c r="AP14" i="9"/>
  <c r="AP15" i="9"/>
  <c r="AP16" i="9"/>
  <c r="AP17" i="9"/>
  <c r="AP18" i="9"/>
  <c r="AP19" i="9"/>
  <c r="AP20" i="9"/>
  <c r="AP21" i="9"/>
  <c r="AP13" i="9"/>
  <c r="AM27" i="9"/>
  <c r="AM28" i="9"/>
  <c r="AM29" i="9"/>
  <c r="AM30" i="9"/>
  <c r="AM31" i="9"/>
  <c r="AM32" i="9"/>
  <c r="AM33" i="9"/>
  <c r="AM34" i="9"/>
  <c r="AM35" i="9"/>
  <c r="AM36" i="9"/>
  <c r="AM13" i="9"/>
  <c r="AM14" i="9"/>
  <c r="AM15" i="9"/>
  <c r="AM16" i="9"/>
  <c r="AM17" i="9"/>
  <c r="AM18" i="9"/>
  <c r="AM19" i="9"/>
  <c r="AM20" i="9"/>
  <c r="AM21" i="9"/>
  <c r="AM23" i="9"/>
  <c r="AJ27" i="9"/>
  <c r="AJ28" i="9"/>
  <c r="AJ29" i="9"/>
  <c r="AJ30" i="9"/>
  <c r="AJ31" i="9"/>
  <c r="AJ32" i="9"/>
  <c r="AJ33" i="9"/>
  <c r="AJ34" i="9"/>
  <c r="AJ35" i="9"/>
  <c r="AJ36" i="9"/>
  <c r="AJ13" i="9"/>
  <c r="AJ14" i="9"/>
  <c r="AJ15" i="9"/>
  <c r="AJ16" i="9"/>
  <c r="AJ17" i="9"/>
  <c r="AJ18" i="9"/>
  <c r="AJ19" i="9"/>
  <c r="AJ20" i="9"/>
  <c r="AJ21" i="9"/>
  <c r="AJ23" i="9"/>
  <c r="AG27" i="9"/>
  <c r="AG28" i="9"/>
  <c r="AG29" i="9"/>
  <c r="AG30" i="9"/>
  <c r="AG31" i="9"/>
  <c r="AG32" i="9"/>
  <c r="AG33" i="9"/>
  <c r="AG34" i="9"/>
  <c r="AG35" i="9"/>
  <c r="AG36" i="9"/>
  <c r="AG13" i="9"/>
  <c r="AG14" i="9"/>
  <c r="AG15" i="9"/>
  <c r="AG16" i="9"/>
  <c r="AG17" i="9"/>
  <c r="AG18" i="9"/>
  <c r="AG19" i="9"/>
  <c r="AG20" i="9"/>
  <c r="AG21" i="9"/>
  <c r="AG23" i="9"/>
  <c r="AD27" i="9"/>
  <c r="AD28" i="9"/>
  <c r="AD29" i="9"/>
  <c r="AD30" i="9"/>
  <c r="AD31" i="9"/>
  <c r="AD32" i="9"/>
  <c r="AD33" i="9"/>
  <c r="AD34" i="9"/>
  <c r="AD35" i="9"/>
  <c r="AD36" i="9"/>
  <c r="AD13" i="9"/>
  <c r="AD14" i="9"/>
  <c r="AD15" i="9"/>
  <c r="AD16" i="9"/>
  <c r="AD17" i="9"/>
  <c r="AD18" i="9"/>
  <c r="AD19" i="9"/>
  <c r="AD20" i="9"/>
  <c r="AD21" i="9"/>
  <c r="AD23" i="9"/>
  <c r="AA27" i="9"/>
  <c r="AA28" i="9"/>
  <c r="AA29" i="9"/>
  <c r="AA30" i="9"/>
  <c r="AA31" i="9"/>
  <c r="AA32" i="9"/>
  <c r="AA33" i="9"/>
  <c r="AA34" i="9"/>
  <c r="AA35" i="9"/>
  <c r="AA36" i="9"/>
  <c r="AA13" i="9"/>
  <c r="AA14" i="9"/>
  <c r="AA15" i="9"/>
  <c r="AA16" i="9"/>
  <c r="AA17" i="9"/>
  <c r="AA18" i="9"/>
  <c r="AA19" i="9"/>
  <c r="AA20" i="9"/>
  <c r="AA21" i="9"/>
  <c r="AA23" i="9"/>
  <c r="X27" i="9"/>
  <c r="X28" i="9"/>
  <c r="X29" i="9"/>
  <c r="X30" i="9"/>
  <c r="X31" i="9"/>
  <c r="X32" i="9"/>
  <c r="X33" i="9"/>
  <c r="X34" i="9"/>
  <c r="X35" i="9"/>
  <c r="X36" i="9"/>
  <c r="X13" i="9"/>
  <c r="X14" i="9"/>
  <c r="X15" i="9"/>
  <c r="X16" i="9"/>
  <c r="X17" i="9"/>
  <c r="X18" i="9"/>
  <c r="X19" i="9"/>
  <c r="X20" i="9"/>
  <c r="X21" i="9"/>
  <c r="X23" i="9"/>
  <c r="U27" i="9"/>
  <c r="U28" i="9"/>
  <c r="U29" i="9"/>
  <c r="U30" i="9"/>
  <c r="U31" i="9"/>
  <c r="U32" i="9"/>
  <c r="U33" i="9"/>
  <c r="U34" i="9"/>
  <c r="U35" i="9"/>
  <c r="U36" i="9"/>
  <c r="U13" i="9"/>
  <c r="U14" i="9"/>
  <c r="U15" i="9"/>
  <c r="U16" i="9"/>
  <c r="U17" i="9"/>
  <c r="U18" i="9"/>
  <c r="U19" i="9"/>
  <c r="U20" i="9"/>
  <c r="U21" i="9"/>
  <c r="U23" i="9"/>
  <c r="R27" i="9"/>
  <c r="R28" i="9"/>
  <c r="R29" i="9"/>
  <c r="R30" i="9"/>
  <c r="R31" i="9"/>
  <c r="R32" i="9"/>
  <c r="R33" i="9"/>
  <c r="R34" i="9"/>
  <c r="R35" i="9"/>
  <c r="R36" i="9"/>
  <c r="R13" i="9"/>
  <c r="R14" i="9"/>
  <c r="R15" i="9"/>
  <c r="R16" i="9"/>
  <c r="R17" i="9"/>
  <c r="R18" i="9"/>
  <c r="R19" i="9"/>
  <c r="R20" i="9"/>
  <c r="R21" i="9"/>
  <c r="R23" i="9"/>
  <c r="O27" i="9"/>
  <c r="O28" i="9"/>
  <c r="O29" i="9"/>
  <c r="O30" i="9"/>
  <c r="O31" i="9"/>
  <c r="O32" i="9"/>
  <c r="O33" i="9"/>
  <c r="O34" i="9"/>
  <c r="O35" i="9"/>
  <c r="O36" i="9"/>
  <c r="O13" i="9"/>
  <c r="O14" i="9"/>
  <c r="O15" i="9"/>
  <c r="O16" i="9"/>
  <c r="O17" i="9"/>
  <c r="O18" i="9"/>
  <c r="O19" i="9"/>
  <c r="O20" i="9"/>
  <c r="O21" i="9"/>
  <c r="O23" i="9"/>
  <c r="L27" i="9"/>
  <c r="L28" i="9"/>
  <c r="L29" i="9"/>
  <c r="L30" i="9"/>
  <c r="L31" i="9"/>
  <c r="L32" i="9"/>
  <c r="L33" i="9"/>
  <c r="L34" i="9"/>
  <c r="L35" i="9"/>
  <c r="L36" i="9"/>
  <c r="L13" i="9"/>
  <c r="L14" i="9"/>
  <c r="L15" i="9"/>
  <c r="L16" i="9"/>
  <c r="L17" i="9"/>
  <c r="L18" i="9"/>
  <c r="L19" i="9"/>
  <c r="L20" i="9"/>
  <c r="L21" i="9"/>
  <c r="L23" i="9"/>
  <c r="I27" i="9"/>
  <c r="I28" i="9"/>
  <c r="I29" i="9"/>
  <c r="I30" i="9"/>
  <c r="I31" i="9"/>
  <c r="I32" i="9"/>
  <c r="I33" i="9"/>
  <c r="I34" i="9"/>
  <c r="I35" i="9"/>
  <c r="I36" i="9"/>
  <c r="I13" i="9"/>
  <c r="I14" i="9"/>
  <c r="I15" i="9"/>
  <c r="I16" i="9"/>
  <c r="I17" i="9"/>
  <c r="I18" i="9"/>
  <c r="I19" i="9"/>
  <c r="I20" i="9"/>
  <c r="I21" i="9"/>
  <c r="I23" i="9"/>
  <c r="F13" i="9"/>
  <c r="F14" i="9"/>
  <c r="F15" i="9"/>
  <c r="F16" i="9"/>
  <c r="F17" i="9"/>
  <c r="F18" i="9"/>
  <c r="F19" i="9"/>
  <c r="F20" i="9"/>
  <c r="F21" i="9"/>
  <c r="F23" i="9"/>
  <c r="F27" i="9"/>
  <c r="F31" i="9"/>
  <c r="F28" i="9"/>
  <c r="F29" i="9"/>
  <c r="F30" i="9"/>
  <c r="F32" i="9"/>
  <c r="F33" i="9"/>
  <c r="F34" i="9"/>
  <c r="F35" i="9"/>
  <c r="B19" i="8"/>
  <c r="B25" i="8"/>
  <c r="B31" i="8"/>
  <c r="B37" i="8"/>
  <c r="B43" i="8"/>
  <c r="B49" i="8"/>
  <c r="B55" i="8"/>
  <c r="B61" i="8"/>
  <c r="B67" i="8"/>
  <c r="AL66" i="8"/>
  <c r="AL69" i="8"/>
  <c r="AL63" i="8"/>
  <c r="AL57" i="8"/>
  <c r="AL51" i="8"/>
  <c r="AL45" i="8"/>
  <c r="AL39" i="8"/>
  <c r="AL33" i="8"/>
  <c r="AL27" i="8"/>
  <c r="AL21" i="8"/>
  <c r="AL15" i="8"/>
  <c r="AI66" i="8"/>
  <c r="AI69" i="8"/>
  <c r="AI63" i="8"/>
  <c r="AI57" i="8"/>
  <c r="AI51" i="8"/>
  <c r="AI45" i="8"/>
  <c r="AI39" i="8"/>
  <c r="AI33" i="8"/>
  <c r="AI27" i="8"/>
  <c r="AI21" i="8"/>
  <c r="AI15" i="8"/>
  <c r="AF66" i="8"/>
  <c r="AG66" i="8"/>
  <c r="AG67" i="8"/>
  <c r="AG68" i="8"/>
  <c r="AG69" i="8"/>
  <c r="AF69" i="8"/>
  <c r="AG60" i="8"/>
  <c r="AG61" i="8"/>
  <c r="AG62" i="8"/>
  <c r="AG63" i="8"/>
  <c r="AF63" i="8"/>
  <c r="AG54" i="8"/>
  <c r="AG55" i="8"/>
  <c r="AG56" i="8"/>
  <c r="AG57" i="8"/>
  <c r="AF57" i="8"/>
  <c r="AG48" i="8"/>
  <c r="AG49" i="8"/>
  <c r="AG50" i="8"/>
  <c r="AG51" i="8"/>
  <c r="AF51" i="8"/>
  <c r="AG42" i="8"/>
  <c r="AG43" i="8"/>
  <c r="AG44" i="8"/>
  <c r="AG45" i="8"/>
  <c r="AF45" i="8"/>
  <c r="AG36" i="8"/>
  <c r="AG37" i="8"/>
  <c r="AG38" i="8"/>
  <c r="AG39" i="8"/>
  <c r="AF39" i="8"/>
  <c r="AG30" i="8"/>
  <c r="AG31" i="8"/>
  <c r="AG32" i="8"/>
  <c r="AG33" i="8"/>
  <c r="AF33" i="8"/>
  <c r="AG24" i="8"/>
  <c r="AG25" i="8"/>
  <c r="AG26" i="8"/>
  <c r="AG27" i="8"/>
  <c r="AF27" i="8"/>
  <c r="AG18" i="8"/>
  <c r="AG19" i="8"/>
  <c r="AG20" i="8"/>
  <c r="AG21" i="8"/>
  <c r="AF21" i="8"/>
  <c r="AF15" i="8"/>
  <c r="AG15" i="8"/>
  <c r="AG14" i="8"/>
  <c r="AG13" i="8"/>
  <c r="AG12" i="8"/>
  <c r="AC66" i="8"/>
  <c r="AD66" i="8"/>
  <c r="AD67" i="8"/>
  <c r="AD68" i="8"/>
  <c r="AD69" i="8"/>
  <c r="AC69" i="8"/>
  <c r="AD60" i="8"/>
  <c r="AD61" i="8"/>
  <c r="AD62" i="8"/>
  <c r="AD63" i="8"/>
  <c r="AC63" i="8"/>
  <c r="AD54" i="8"/>
  <c r="AD55" i="8"/>
  <c r="AD56" i="8"/>
  <c r="AD57" i="8"/>
  <c r="AC57" i="8"/>
  <c r="AD48" i="8"/>
  <c r="AD49" i="8"/>
  <c r="AD50" i="8"/>
  <c r="AD51" i="8"/>
  <c r="AC51" i="8"/>
  <c r="AD42" i="8"/>
  <c r="AD43" i="8"/>
  <c r="AD44" i="8"/>
  <c r="AD45" i="8"/>
  <c r="AC45" i="8"/>
  <c r="AD36" i="8"/>
  <c r="AD37" i="8"/>
  <c r="AD38" i="8"/>
  <c r="AD39" i="8"/>
  <c r="AC39" i="8"/>
  <c r="AD30" i="8"/>
  <c r="AD31" i="8"/>
  <c r="AD32" i="8"/>
  <c r="AD33" i="8"/>
  <c r="AC33" i="8"/>
  <c r="AD24" i="8"/>
  <c r="AD25" i="8"/>
  <c r="AD26" i="8"/>
  <c r="AD27" i="8"/>
  <c r="AC27" i="8"/>
  <c r="AD18" i="8"/>
  <c r="AD19" i="8"/>
  <c r="AD20" i="8"/>
  <c r="AD21" i="8"/>
  <c r="AC21" i="8"/>
  <c r="AC15" i="8"/>
  <c r="AD15" i="8"/>
  <c r="AD14" i="8"/>
  <c r="AD13" i="8"/>
  <c r="AD12" i="8"/>
  <c r="Z66" i="8"/>
  <c r="AA66" i="8"/>
  <c r="AA67" i="8"/>
  <c r="AA68" i="8"/>
  <c r="AA69" i="8"/>
  <c r="Z69" i="8"/>
  <c r="AA60" i="8"/>
  <c r="AA61" i="8"/>
  <c r="AA62" i="8"/>
  <c r="AA63" i="8"/>
  <c r="Z63" i="8"/>
  <c r="AA54" i="8"/>
  <c r="AA55" i="8"/>
  <c r="AA56" i="8"/>
  <c r="AA57" i="8"/>
  <c r="Z57" i="8"/>
  <c r="AA48" i="8"/>
  <c r="AA49" i="8"/>
  <c r="AA50" i="8"/>
  <c r="AA51" i="8"/>
  <c r="Z51" i="8"/>
  <c r="AA42" i="8"/>
  <c r="AA43" i="8"/>
  <c r="AA44" i="8"/>
  <c r="AA45" i="8"/>
  <c r="Z45" i="8"/>
  <c r="AA36" i="8"/>
  <c r="AA37" i="8"/>
  <c r="AA38" i="8"/>
  <c r="AA39" i="8"/>
  <c r="Z39" i="8"/>
  <c r="AA30" i="8"/>
  <c r="AA31" i="8"/>
  <c r="AA32" i="8"/>
  <c r="AA33" i="8"/>
  <c r="Z33" i="8"/>
  <c r="AA24" i="8"/>
  <c r="AA25" i="8"/>
  <c r="AA26" i="8"/>
  <c r="AA27" i="8"/>
  <c r="Z27" i="8"/>
  <c r="AA18" i="8"/>
  <c r="AA19" i="8"/>
  <c r="AA20" i="8"/>
  <c r="AA21" i="8"/>
  <c r="Z21" i="8"/>
  <c r="Z15" i="8"/>
  <c r="AA15" i="8"/>
  <c r="AA14" i="8"/>
  <c r="AA13" i="8"/>
  <c r="AA12" i="8"/>
  <c r="W66" i="8"/>
  <c r="X66" i="8"/>
  <c r="X67" i="8"/>
  <c r="X68" i="8"/>
  <c r="X69" i="8"/>
  <c r="W69" i="8"/>
  <c r="X60" i="8"/>
  <c r="X61" i="8"/>
  <c r="X62" i="8"/>
  <c r="X63" i="8"/>
  <c r="W63" i="8"/>
  <c r="X54" i="8"/>
  <c r="X55" i="8"/>
  <c r="X56" i="8"/>
  <c r="X57" i="8"/>
  <c r="W57" i="8"/>
  <c r="X48" i="8"/>
  <c r="X49" i="8"/>
  <c r="X50" i="8"/>
  <c r="X51" i="8"/>
  <c r="W51" i="8"/>
  <c r="X42" i="8"/>
  <c r="X43" i="8"/>
  <c r="X44" i="8"/>
  <c r="X45" i="8"/>
  <c r="W45" i="8"/>
  <c r="X36" i="8"/>
  <c r="X37" i="8"/>
  <c r="X38" i="8"/>
  <c r="X39" i="8"/>
  <c r="W39" i="8"/>
  <c r="X30" i="8"/>
  <c r="X31" i="8"/>
  <c r="X32" i="8"/>
  <c r="X33" i="8"/>
  <c r="W33" i="8"/>
  <c r="X24" i="8"/>
  <c r="X25" i="8"/>
  <c r="X26" i="8"/>
  <c r="X27" i="8"/>
  <c r="W27" i="8"/>
  <c r="X18" i="8"/>
  <c r="X19" i="8"/>
  <c r="X20" i="8"/>
  <c r="X21" i="8"/>
  <c r="W21" i="8"/>
  <c r="W15" i="8"/>
  <c r="X15" i="8"/>
  <c r="X14" i="8"/>
  <c r="X13" i="8"/>
  <c r="X12" i="8"/>
  <c r="T66" i="8"/>
  <c r="U66" i="8"/>
  <c r="U67" i="8"/>
  <c r="U68" i="8"/>
  <c r="U69" i="8"/>
  <c r="T69" i="8"/>
  <c r="U60" i="8"/>
  <c r="U61" i="8"/>
  <c r="U62" i="8"/>
  <c r="U63" i="8"/>
  <c r="T63" i="8"/>
  <c r="U54" i="8"/>
  <c r="U55" i="8"/>
  <c r="U56" i="8"/>
  <c r="U57" i="8"/>
  <c r="T57" i="8"/>
  <c r="U48" i="8"/>
  <c r="U49" i="8"/>
  <c r="U50" i="8"/>
  <c r="U51" i="8"/>
  <c r="T51" i="8"/>
  <c r="U42" i="8"/>
  <c r="U43" i="8"/>
  <c r="U44" i="8"/>
  <c r="U45" i="8"/>
  <c r="T45" i="8"/>
  <c r="U36" i="8"/>
  <c r="U37" i="8"/>
  <c r="U38" i="8"/>
  <c r="U39" i="8"/>
  <c r="T39" i="8"/>
  <c r="U30" i="8"/>
  <c r="U31" i="8"/>
  <c r="U32" i="8"/>
  <c r="U33" i="8"/>
  <c r="T33" i="8"/>
  <c r="U24" i="8"/>
  <c r="U25" i="8"/>
  <c r="U26" i="8"/>
  <c r="U27" i="8"/>
  <c r="T27" i="8"/>
  <c r="U18" i="8"/>
  <c r="U19" i="8"/>
  <c r="U20" i="8"/>
  <c r="U21" i="8"/>
  <c r="T21" i="8"/>
  <c r="T15" i="8"/>
  <c r="U15" i="8"/>
  <c r="U14" i="8"/>
  <c r="U13" i="8"/>
  <c r="U12" i="8"/>
  <c r="Q66" i="8"/>
  <c r="Q69" i="8"/>
  <c r="Q63" i="8"/>
  <c r="Q57" i="8"/>
  <c r="Q51" i="8"/>
  <c r="Q45" i="8"/>
  <c r="Q39" i="8"/>
  <c r="Q33" i="8"/>
  <c r="Q27" i="8"/>
  <c r="Q21" i="8"/>
  <c r="Q15" i="8"/>
  <c r="N66" i="8"/>
  <c r="N69" i="8"/>
  <c r="N63" i="8"/>
  <c r="N57" i="8"/>
  <c r="N51" i="8"/>
  <c r="N45" i="8"/>
  <c r="N39" i="8"/>
  <c r="N33" i="8"/>
  <c r="N27" i="8"/>
  <c r="N21" i="8"/>
  <c r="N15" i="8"/>
  <c r="K66" i="8"/>
  <c r="L66" i="8"/>
  <c r="L67" i="8"/>
  <c r="L68" i="8"/>
  <c r="L69" i="8"/>
  <c r="K69" i="8"/>
  <c r="L60" i="8"/>
  <c r="L61" i="8"/>
  <c r="L62" i="8"/>
  <c r="L63" i="8"/>
  <c r="K63" i="8"/>
  <c r="L54" i="8"/>
  <c r="L55" i="8"/>
  <c r="L56" i="8"/>
  <c r="L57" i="8"/>
  <c r="K57" i="8"/>
  <c r="L48" i="8"/>
  <c r="L49" i="8"/>
  <c r="L50" i="8"/>
  <c r="L51" i="8"/>
  <c r="K51" i="8"/>
  <c r="L42" i="8"/>
  <c r="L43" i="8"/>
  <c r="L44" i="8"/>
  <c r="L45" i="8"/>
  <c r="K45" i="8"/>
  <c r="L36" i="8"/>
  <c r="L37" i="8"/>
  <c r="L38" i="8"/>
  <c r="L39" i="8"/>
  <c r="K39" i="8"/>
  <c r="L30" i="8"/>
  <c r="L31" i="8"/>
  <c r="L32" i="8"/>
  <c r="L33" i="8"/>
  <c r="K33" i="8"/>
  <c r="L24" i="8"/>
  <c r="L25" i="8"/>
  <c r="L26" i="8"/>
  <c r="L27" i="8"/>
  <c r="K27" i="8"/>
  <c r="L18" i="8"/>
  <c r="L19" i="8"/>
  <c r="L20" i="8"/>
  <c r="L21" i="8"/>
  <c r="K21" i="8"/>
  <c r="K15" i="8"/>
  <c r="L15" i="8"/>
  <c r="L14" i="8"/>
  <c r="L13" i="8"/>
  <c r="L12" i="8"/>
  <c r="H66" i="8"/>
  <c r="H69" i="8"/>
  <c r="H63" i="8"/>
  <c r="H57" i="8"/>
  <c r="H51" i="8"/>
  <c r="H45" i="8"/>
  <c r="H39" i="8"/>
  <c r="H33" i="8"/>
  <c r="H27" i="8"/>
  <c r="H21" i="8"/>
  <c r="H15" i="8"/>
  <c r="E66" i="8"/>
  <c r="AP66" i="8"/>
  <c r="AP67" i="8"/>
  <c r="AP68" i="8"/>
  <c r="AP69" i="8"/>
  <c r="E63" i="8"/>
  <c r="AP63" i="8"/>
  <c r="AP62" i="8"/>
  <c r="AP61" i="8"/>
  <c r="AP60" i="8"/>
  <c r="E57" i="8"/>
  <c r="AP57" i="8"/>
  <c r="AP56" i="8"/>
  <c r="AP55" i="8"/>
  <c r="AP54" i="8"/>
  <c r="E51" i="8"/>
  <c r="AP51" i="8"/>
  <c r="AP50" i="8"/>
  <c r="AP49" i="8"/>
  <c r="AP48" i="8"/>
  <c r="E45" i="8"/>
  <c r="AP45" i="8"/>
  <c r="AP44" i="8"/>
  <c r="AP43" i="8"/>
  <c r="AP42" i="8"/>
  <c r="E39" i="8"/>
  <c r="AP39" i="8"/>
  <c r="AP38" i="8"/>
  <c r="AP37" i="8"/>
  <c r="AP36" i="8"/>
  <c r="E33" i="8"/>
  <c r="AP33" i="8"/>
  <c r="AP32" i="8"/>
  <c r="AP31" i="8"/>
  <c r="AP30" i="8"/>
  <c r="AP26" i="8"/>
  <c r="AP25" i="8"/>
  <c r="AP24" i="8"/>
  <c r="AP18" i="8"/>
  <c r="AP19" i="8"/>
  <c r="AP20" i="8"/>
  <c r="AP21" i="8"/>
  <c r="AP14" i="8"/>
  <c r="AP13" i="8"/>
  <c r="AP12" i="8"/>
  <c r="B7" i="9"/>
  <c r="AQ6" i="9"/>
  <c r="AM6" i="9"/>
  <c r="AJ6" i="9"/>
  <c r="AG6" i="9"/>
  <c r="AD6" i="9"/>
  <c r="AA6" i="9"/>
  <c r="X6" i="9"/>
  <c r="U6" i="9"/>
  <c r="R6" i="9"/>
  <c r="O6" i="9"/>
  <c r="L6" i="9"/>
  <c r="I6" i="9"/>
  <c r="F6" i="9"/>
  <c r="B7" i="8"/>
  <c r="AQ6" i="8" s="1"/>
  <c r="AJ6" i="8"/>
  <c r="AG6" i="8"/>
  <c r="AD6" i="8"/>
  <c r="AA6" i="8"/>
  <c r="X6" i="8"/>
  <c r="U6" i="8"/>
  <c r="R6" i="8"/>
  <c r="O6" i="8"/>
  <c r="L6" i="8"/>
  <c r="I6" i="8"/>
  <c r="E69" i="8"/>
  <c r="F6" i="8"/>
  <c r="F68" i="8"/>
  <c r="F67" i="8"/>
  <c r="F66" i="8"/>
  <c r="F62" i="8"/>
  <c r="F61" i="8"/>
  <c r="F60" i="8"/>
  <c r="F56" i="8"/>
  <c r="F55" i="8"/>
  <c r="F54" i="8"/>
  <c r="F50" i="8"/>
  <c r="F49" i="8"/>
  <c r="F48" i="8"/>
  <c r="F44" i="8"/>
  <c r="F43" i="8"/>
  <c r="F42" i="8"/>
  <c r="F38" i="8"/>
  <c r="F37" i="8"/>
  <c r="F36" i="8"/>
  <c r="F32" i="8"/>
  <c r="F31" i="8"/>
  <c r="F30" i="8"/>
  <c r="F26" i="8"/>
  <c r="F25" i="8"/>
  <c r="F24" i="8"/>
  <c r="F20" i="8"/>
  <c r="F19" i="8"/>
  <c r="F18" i="8"/>
  <c r="F12" i="8"/>
  <c r="E15" i="8"/>
  <c r="F15" i="8"/>
  <c r="F14" i="8"/>
  <c r="F13"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9" i="9"/>
  <c r="B6" i="9"/>
  <c r="B6" i="8"/>
  <c r="B4" i="9"/>
  <c r="B3" i="9"/>
  <c r="B2" i="9"/>
  <c r="B4" i="8"/>
  <c r="B3" i="8"/>
  <c r="B2" i="8"/>
  <c r="F36" i="9"/>
  <c r="AL7" i="9"/>
  <c r="AI7" i="9"/>
  <c r="AF7" i="9"/>
  <c r="AC7" i="9"/>
  <c r="Z7" i="9"/>
  <c r="W7" i="9"/>
  <c r="T7" i="9"/>
  <c r="Q7" i="9"/>
  <c r="N7" i="9"/>
  <c r="K7" i="9"/>
  <c r="H7" i="9"/>
  <c r="E7" i="9"/>
  <c r="AP7" i="9"/>
  <c r="AN7" i="9"/>
  <c r="H6" i="9"/>
  <c r="K6" i="9" s="1"/>
  <c r="N6" i="9" s="1"/>
  <c r="Q6" i="9" s="1"/>
  <c r="T6" i="9" s="1"/>
  <c r="W6" i="9" s="1"/>
  <c r="Z6" i="9" s="1"/>
  <c r="AC6" i="9" s="1"/>
  <c r="AF6" i="9" s="1"/>
  <c r="AI6" i="9" s="1"/>
  <c r="AL6" i="9" s="1"/>
  <c r="AP6" i="9" s="1"/>
  <c r="F69" i="8"/>
  <c r="F63" i="8"/>
  <c r="F57" i="8"/>
  <c r="F51" i="8"/>
  <c r="F45" i="8"/>
  <c r="F39" i="8"/>
  <c r="F33" i="8"/>
  <c r="AP27" i="8"/>
  <c r="F27" i="8"/>
  <c r="E27" i="8"/>
  <c r="F21" i="8"/>
  <c r="E21" i="8"/>
  <c r="AP15" i="8"/>
  <c r="B9" i="8"/>
  <c r="AL7" i="8"/>
  <c r="AI7" i="8"/>
  <c r="AF7" i="8"/>
  <c r="AC7" i="8"/>
  <c r="Z7" i="8"/>
  <c r="W7" i="8"/>
  <c r="T7" i="8"/>
  <c r="Q7" i="8"/>
  <c r="N7" i="8"/>
  <c r="K7" i="8"/>
  <c r="H7" i="8"/>
  <c r="E7" i="8"/>
  <c r="AP7" i="8"/>
  <c r="H6" i="8"/>
  <c r="K6" i="8"/>
  <c r="N6" i="8"/>
  <c r="Q6" i="8"/>
  <c r="T6" i="8"/>
  <c r="W6" i="8"/>
  <c r="Z6" i="8"/>
  <c r="AC6" i="8"/>
  <c r="AF6" i="8"/>
  <c r="AI6" i="8"/>
  <c r="AL6" i="8"/>
  <c r="AP6" i="8"/>
  <c r="B10" i="7"/>
  <c r="H12" i="7"/>
  <c r="K12" i="7"/>
  <c r="N12" i="7"/>
  <c r="Q12" i="7"/>
  <c r="T12" i="7"/>
  <c r="W12" i="7"/>
  <c r="Z12" i="7"/>
  <c r="AC12" i="7"/>
  <c r="AF12" i="7"/>
  <c r="AI12" i="7"/>
  <c r="E82" i="1"/>
  <c r="E91" i="1"/>
  <c r="E100" i="1"/>
  <c r="E109" i="1"/>
  <c r="E118" i="1"/>
  <c r="E127" i="1"/>
  <c r="E136" i="1"/>
  <c r="H11" i="7"/>
  <c r="K11" i="7"/>
  <c r="N11" i="7"/>
  <c r="AP9" i="7"/>
  <c r="AL9" i="7"/>
  <c r="AI9" i="7"/>
  <c r="AF9" i="7"/>
  <c r="AC9" i="7"/>
  <c r="Z9" i="7"/>
  <c r="W9" i="7"/>
  <c r="T9" i="7"/>
  <c r="Q9" i="7"/>
  <c r="N9" i="7"/>
  <c r="K9" i="7"/>
  <c r="H9" i="7"/>
  <c r="AO9" i="7"/>
  <c r="AK9" i="7"/>
  <c r="AH9" i="7"/>
  <c r="AE9" i="7"/>
  <c r="AB9" i="7"/>
  <c r="Y9" i="7"/>
  <c r="V9" i="7"/>
  <c r="S9" i="7"/>
  <c r="P9" i="7"/>
  <c r="M9" i="7"/>
  <c r="J9" i="7"/>
  <c r="G9" i="7"/>
  <c r="D9" i="7"/>
  <c r="E9" i="7"/>
  <c r="Q11" i="7"/>
  <c r="T11" i="7"/>
  <c r="W11" i="7"/>
  <c r="Z11" i="7"/>
  <c r="AC11" i="7"/>
  <c r="AF11" i="7"/>
  <c r="AI11" i="7"/>
  <c r="AL11" i="7"/>
  <c r="AL12" i="7"/>
  <c r="H13" i="7"/>
  <c r="K13" i="7"/>
  <c r="N13" i="7"/>
  <c r="Q13" i="7"/>
  <c r="T13" i="7"/>
  <c r="W13" i="7"/>
  <c r="Z13" i="7"/>
  <c r="AC13" i="7"/>
  <c r="AF13" i="7"/>
  <c r="AI13" i="7"/>
  <c r="AL13" i="7"/>
  <c r="AH6" i="7"/>
  <c r="AO8" i="7"/>
  <c r="AK8" i="7"/>
  <c r="AH8" i="7"/>
  <c r="AE8" i="7"/>
  <c r="AB8" i="7"/>
  <c r="Y8" i="7"/>
  <c r="V8" i="7"/>
  <c r="S8" i="7"/>
  <c r="P8" i="7"/>
  <c r="M8" i="7"/>
  <c r="J8" i="7"/>
  <c r="G8" i="7"/>
  <c r="D8" i="7"/>
  <c r="B7" i="7"/>
  <c r="B6" i="7"/>
  <c r="B13" i="7"/>
  <c r="B12" i="7"/>
  <c r="B11" i="7"/>
  <c r="B4" i="7"/>
  <c r="B3" i="7"/>
  <c r="B2" i="7"/>
  <c r="B2" i="15" s="1"/>
  <c r="AO6" i="7"/>
  <c r="G6" i="7"/>
  <c r="J6" i="7"/>
  <c r="M6" i="7"/>
  <c r="P6" i="7"/>
  <c r="S6" i="7"/>
  <c r="V6" i="7"/>
  <c r="Y6" i="7"/>
  <c r="AB6" i="7"/>
  <c r="AE6" i="7"/>
  <c r="AK6" i="7"/>
  <c r="AT106" i="5"/>
  <c r="AH106" i="5"/>
  <c r="V106" i="5"/>
  <c r="J98" i="5"/>
  <c r="J90" i="5"/>
  <c r="J82" i="5"/>
  <c r="J74" i="5"/>
  <c r="J66" i="5"/>
  <c r="J58" i="5"/>
  <c r="J50" i="5"/>
  <c r="J42" i="5"/>
  <c r="J34" i="5"/>
  <c r="J26" i="5"/>
  <c r="J18" i="5"/>
  <c r="J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P33" i="6"/>
  <c r="AP31" i="6"/>
  <c r="AP30" i="6"/>
  <c r="AY22" i="6"/>
  <c r="AY23" i="6"/>
  <c r="AZ21" i="6"/>
  <c r="AZ20" i="6"/>
  <c r="AZ19" i="6"/>
  <c r="AZ18" i="6"/>
  <c r="AZ17" i="6"/>
  <c r="AZ16" i="6"/>
  <c r="AZ15" i="6"/>
  <c r="AZ14" i="6"/>
  <c r="AZ13" i="6"/>
  <c r="AZ12" i="6"/>
  <c r="AZ11" i="6"/>
  <c r="AZ10" i="6"/>
  <c r="AZ22"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P12" i="2" s="1"/>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K18" i="2"/>
  <c r="I18" i="2"/>
  <c r="M18" i="2"/>
  <c r="F18" i="2"/>
  <c r="L18" i="2"/>
  <c r="J396" i="1"/>
  <c r="J18" i="2"/>
  <c r="F396" i="1"/>
  <c r="L396" i="1"/>
  <c r="P11" i="2"/>
  <c r="P17" i="2"/>
  <c r="D396" i="1"/>
  <c r="D18" i="2"/>
  <c r="C83" i="1"/>
  <c r="C147" i="1"/>
  <c r="C31" i="3"/>
  <c r="C100" i="1"/>
  <c r="C109" i="1"/>
  <c r="C118" i="1"/>
  <c r="C127" i="1"/>
  <c r="C136" i="1"/>
  <c r="C146" i="1"/>
  <c r="C91" i="1"/>
  <c r="D9" i="2"/>
  <c r="P9" i="2"/>
  <c r="P8" i="2"/>
  <c r="C26" i="3"/>
  <c r="C23" i="3"/>
  <c r="C27" i="3"/>
  <c r="C29" i="3"/>
  <c r="C32" i="3"/>
  <c r="C28" i="3"/>
  <c r="I23" i="2"/>
  <c r="I396" i="1"/>
  <c r="I21" i="2"/>
  <c r="K396" i="1"/>
  <c r="M396" i="1"/>
  <c r="C183" i="1"/>
  <c r="C35" i="3"/>
  <c r="C174" i="1"/>
  <c r="C34" i="3"/>
  <c r="K23" i="2"/>
  <c r="K21" i="2"/>
  <c r="C165" i="1"/>
  <c r="C33" i="3"/>
  <c r="C155" i="1"/>
  <c r="C164" i="1"/>
  <c r="C173" i="1"/>
  <c r="C182" i="1"/>
  <c r="C191" i="1"/>
  <c r="C200" i="1"/>
  <c r="C210" i="1"/>
  <c r="C192" i="1"/>
  <c r="C36" i="3"/>
  <c r="C220" i="1"/>
  <c r="C39" i="3"/>
  <c r="C138" i="1"/>
  <c r="C30" i="3"/>
  <c r="M23" i="2"/>
  <c r="M21" i="2"/>
  <c r="C211" i="1"/>
  <c r="C38" i="3"/>
  <c r="L21" i="2"/>
  <c r="J21" i="2"/>
  <c r="F21" i="2"/>
  <c r="L23" i="2"/>
  <c r="J23" i="2"/>
  <c r="F23" i="2"/>
  <c r="D21" i="2"/>
  <c r="D23" i="2"/>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G6" i="6"/>
  <c r="L82" i="5"/>
  <c r="AA6" i="6"/>
  <c r="L66" i="5"/>
  <c r="F6" i="6"/>
  <c r="L10" i="5"/>
  <c r="U6" i="6"/>
  <c r="L50" i="5"/>
  <c r="AD6" i="6"/>
  <c r="L74" i="5"/>
  <c r="L6" i="6"/>
  <c r="L26" i="5"/>
  <c r="F30" i="6"/>
  <c r="F31" i="6"/>
  <c r="F33" i="6"/>
  <c r="X6" i="6"/>
  <c r="L58" i="5"/>
  <c r="F19" i="6"/>
  <c r="F20" i="6"/>
  <c r="L31" i="6"/>
  <c r="L33" i="6"/>
  <c r="L29" i="6"/>
  <c r="L30" i="6"/>
  <c r="L19" i="6"/>
  <c r="L20" i="6"/>
  <c r="U30" i="6"/>
  <c r="U31" i="6"/>
  <c r="U33" i="6"/>
  <c r="U29" i="6"/>
  <c r="U32" i="6"/>
  <c r="U20" i="6"/>
  <c r="U19" i="6"/>
  <c r="X31" i="6"/>
  <c r="X30" i="6"/>
  <c r="X32" i="6"/>
  <c r="X33" i="6"/>
  <c r="X29" i="6"/>
  <c r="X20" i="6"/>
  <c r="X19" i="6"/>
  <c r="AA29" i="6"/>
  <c r="AA31" i="6"/>
  <c r="AA32" i="6"/>
  <c r="AA30" i="6"/>
  <c r="AA33" i="6"/>
  <c r="AA19" i="6"/>
  <c r="AA20" i="6"/>
  <c r="AD32" i="6"/>
  <c r="AD31" i="6"/>
  <c r="AD29" i="6"/>
  <c r="AD30" i="6"/>
  <c r="AD33" i="6"/>
  <c r="AD19" i="6"/>
  <c r="AD20" i="6"/>
  <c r="AG33" i="6"/>
  <c r="AG32" i="6"/>
  <c r="AG29" i="6"/>
  <c r="AG30" i="6"/>
  <c r="AG31" i="6"/>
  <c r="AG19" i="6"/>
  <c r="AG20" i="6"/>
  <c r="AP21" i="6"/>
  <c r="AP19" i="6"/>
  <c r="AP20" i="6"/>
  <c r="J106" i="5"/>
  <c r="AS16" i="6"/>
  <c r="AT23" i="6"/>
  <c r="AS14" i="6"/>
  <c r="AS21" i="6"/>
  <c r="AS19" i="6"/>
  <c r="AS20" i="6"/>
  <c r="AT20" i="6"/>
  <c r="AT33" i="6"/>
  <c r="AT32" i="6"/>
  <c r="AT31" i="6"/>
  <c r="AT29" i="6"/>
  <c r="AT6" i="6"/>
  <c r="AT27" i="6"/>
  <c r="AT30" i="6"/>
  <c r="AT19" i="6"/>
  <c r="AT28" i="6"/>
  <c r="AT14" i="6"/>
  <c r="AS23" i="6"/>
  <c r="AS25" i="6"/>
  <c r="AS36" i="6"/>
  <c r="AS41" i="6"/>
  <c r="AS43" i="6"/>
  <c r="AS45" i="6"/>
  <c r="AT45" i="6"/>
  <c r="AT41" i="6"/>
  <c r="AT43" i="6"/>
  <c r="AT36" i="6"/>
  <c r="AT25" i="6"/>
  <c r="AL38" i="6" l="1"/>
  <c r="AJ6" i="17"/>
  <c r="AF38" i="6"/>
  <c r="AC38" i="6"/>
  <c r="W38" i="6"/>
  <c r="T38" i="6"/>
  <c r="Q38" i="6"/>
  <c r="K38" i="6"/>
  <c r="H38" i="6"/>
  <c r="E38" i="6"/>
  <c r="AM6" i="17"/>
  <c r="AG6" i="17"/>
  <c r="AD6" i="17"/>
  <c r="AA6" i="17"/>
  <c r="X24" i="17"/>
  <c r="U6" i="17"/>
  <c r="R6" i="17"/>
  <c r="O6" i="17"/>
  <c r="L6" i="17"/>
  <c r="I6" i="17"/>
  <c r="AP24" i="17"/>
  <c r="AT7" i="17" s="1"/>
  <c r="BA7" i="17" s="1"/>
  <c r="F6" i="17"/>
  <c r="AQ14" i="17"/>
  <c r="AP31" i="16"/>
  <c r="AQ6" i="16" s="1"/>
  <c r="AT7" i="16"/>
  <c r="BA7" i="16" s="1"/>
  <c r="O29" i="15"/>
  <c r="O6" i="15"/>
  <c r="L29" i="15"/>
  <c r="L6" i="15"/>
  <c r="I29" i="15"/>
  <c r="H32" i="6"/>
  <c r="E32" i="6"/>
  <c r="AP29" i="15"/>
  <c r="AL7" i="15" s="1"/>
  <c r="B2" i="14"/>
  <c r="B2" i="13"/>
  <c r="B2" i="12"/>
  <c r="F6" i="14"/>
  <c r="K7" i="14"/>
  <c r="AJ34" i="11"/>
  <c r="X34" i="11"/>
  <c r="L34" i="11"/>
  <c r="AP34" i="11"/>
  <c r="AT7" i="11" s="1"/>
  <c r="BA7" i="11" s="1"/>
  <c r="AP28" i="6"/>
  <c r="F28" i="6"/>
  <c r="AQ13" i="11"/>
  <c r="AQ34" i="11" s="1"/>
  <c r="F14" i="12"/>
  <c r="F16" i="12"/>
  <c r="E29" i="6"/>
  <c r="F6" i="12"/>
  <c r="F13" i="12"/>
  <c r="F18" i="12"/>
  <c r="F20" i="12"/>
  <c r="F15" i="12"/>
  <c r="F24" i="12" s="1"/>
  <c r="F19" i="12"/>
  <c r="AT7" i="13"/>
  <c r="BA7" i="13" s="1"/>
  <c r="AM6" i="8"/>
  <c r="AG6" i="10"/>
  <c r="AM13" i="12"/>
  <c r="AM6" i="12"/>
  <c r="AM15" i="12"/>
  <c r="AG6" i="12"/>
  <c r="AD17" i="12"/>
  <c r="AD21" i="12"/>
  <c r="AD18" i="12"/>
  <c r="AD22" i="12"/>
  <c r="AD13" i="12"/>
  <c r="AA6" i="12"/>
  <c r="AA13" i="12"/>
  <c r="AA15" i="12"/>
  <c r="X17" i="12"/>
  <c r="X24" i="12" s="1"/>
  <c r="R18" i="12"/>
  <c r="R21" i="12"/>
  <c r="R14" i="12"/>
  <c r="R24" i="12" s="1"/>
  <c r="O6" i="12"/>
  <c r="O13" i="12"/>
  <c r="O15" i="12"/>
  <c r="L24"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U6" i="11"/>
  <c r="R6" i="11"/>
  <c r="F6" i="11"/>
  <c r="AM6" i="11"/>
  <c r="AJ6" i="11"/>
  <c r="AG6" i="11"/>
  <c r="AD6" i="11"/>
  <c r="AA6" i="11"/>
  <c r="X6" i="11"/>
  <c r="O6" i="11"/>
  <c r="L6" i="11"/>
  <c r="I6" i="11"/>
  <c r="O395" i="1"/>
  <c r="O19" i="2" s="1"/>
  <c r="O21" i="2" s="1"/>
  <c r="O18" i="2"/>
  <c r="N18" i="2"/>
  <c r="N395" i="1"/>
  <c r="N396" i="1" s="1"/>
  <c r="H18" i="2"/>
  <c r="H395" i="1"/>
  <c r="H19" i="2" s="1"/>
  <c r="H21" i="2" s="1"/>
  <c r="G18" i="2"/>
  <c r="G395" i="1"/>
  <c r="G396" i="1" s="1"/>
  <c r="P16" i="2"/>
  <c r="P15" i="2"/>
  <c r="P13" i="2"/>
  <c r="E18" i="2"/>
  <c r="P14" i="2"/>
  <c r="E395" i="1"/>
  <c r="K34" i="6"/>
  <c r="L34" i="6" s="1"/>
  <c r="L27" i="6"/>
  <c r="AF27" i="6"/>
  <c r="AD27" i="6"/>
  <c r="AC34" i="6"/>
  <c r="Z34" i="6"/>
  <c r="AA27" i="6"/>
  <c r="T34" i="6"/>
  <c r="U27" i="6"/>
  <c r="F27" i="6"/>
  <c r="AG14" i="10"/>
  <c r="AD14" i="10"/>
  <c r="AA14" i="10"/>
  <c r="AA26" i="10" s="1"/>
  <c r="W26" i="10"/>
  <c r="W27" i="6" s="1"/>
  <c r="U14" i="10"/>
  <c r="L14" i="10"/>
  <c r="AD6" i="10"/>
  <c r="AA6" i="10"/>
  <c r="X6" i="10"/>
  <c r="U6" i="10"/>
  <c r="L6" i="10"/>
  <c r="F6" i="10"/>
  <c r="B9" i="10"/>
  <c r="Q7" i="17" l="1"/>
  <c r="AL7" i="17"/>
  <c r="AI7" i="17"/>
  <c r="AQ24" i="17"/>
  <c r="AP7" i="17"/>
  <c r="K7" i="17"/>
  <c r="AQ6" i="17"/>
  <c r="Z7" i="17"/>
  <c r="AF7" i="17"/>
  <c r="W7" i="17"/>
  <c r="T7" i="17"/>
  <c r="N7" i="17"/>
  <c r="AC7" i="17"/>
  <c r="B9" i="17"/>
  <c r="E7" i="17"/>
  <c r="H7" i="17"/>
  <c r="AL7" i="16"/>
  <c r="Z7" i="16"/>
  <c r="N7" i="16"/>
  <c r="AI7" i="16"/>
  <c r="W7" i="16"/>
  <c r="K7" i="16"/>
  <c r="B9" i="16"/>
  <c r="AF7" i="16"/>
  <c r="T7" i="16"/>
  <c r="H7" i="16"/>
  <c r="AP7" i="16"/>
  <c r="AC7" i="16"/>
  <c r="Q7" i="16"/>
  <c r="E7" i="16"/>
  <c r="AP32" i="6"/>
  <c r="E34" i="6"/>
  <c r="F34" i="6" s="1"/>
  <c r="F32" i="6"/>
  <c r="AI7" i="15"/>
  <c r="AT7" i="15"/>
  <c r="BA7" i="15" s="1"/>
  <c r="AQ6" i="15"/>
  <c r="AP7" i="15"/>
  <c r="B9" i="15"/>
  <c r="E7" i="15"/>
  <c r="K7" i="15"/>
  <c r="Q7" i="15"/>
  <c r="H7" i="15"/>
  <c r="F29" i="15"/>
  <c r="N7" i="15"/>
  <c r="T7" i="15"/>
  <c r="W7" i="15"/>
  <c r="Z7" i="15"/>
  <c r="AC7" i="15"/>
  <c r="AF7" i="15"/>
  <c r="T7" i="14"/>
  <c r="Z7" i="14"/>
  <c r="W7" i="14"/>
  <c r="E7" i="14"/>
  <c r="AF7" i="14"/>
  <c r="AP7" i="14"/>
  <c r="N7" i="14"/>
  <c r="AQ6" i="14"/>
  <c r="AT7" i="14"/>
  <c r="BA7" i="14" s="1"/>
  <c r="H7" i="14"/>
  <c r="Q7" i="14"/>
  <c r="AI7" i="14"/>
  <c r="AL7" i="14"/>
  <c r="AC7" i="14"/>
  <c r="B9" i="14"/>
  <c r="O23" i="14"/>
  <c r="U23" i="14"/>
  <c r="I23" i="14"/>
  <c r="AM23" i="14"/>
  <c r="AA23" i="14"/>
  <c r="AG23" i="14"/>
  <c r="AQ6" i="11"/>
  <c r="AP29" i="6"/>
  <c r="F29" i="6"/>
  <c r="AQ17" i="12"/>
  <c r="AT7" i="12"/>
  <c r="BA7" i="12" s="1"/>
  <c r="B9" i="13"/>
  <c r="N7" i="13"/>
  <c r="AL7" i="13"/>
  <c r="E7" i="13"/>
  <c r="K7" i="13"/>
  <c r="Q7" i="13"/>
  <c r="H7" i="13"/>
  <c r="AI7" i="13"/>
  <c r="AC7" i="13"/>
  <c r="T7" i="13"/>
  <c r="F25" i="13"/>
  <c r="AF7" i="13"/>
  <c r="W7" i="13"/>
  <c r="Z7" i="13"/>
  <c r="AP7" i="13"/>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AL7" i="11"/>
  <c r="Z7" i="11"/>
  <c r="N7" i="11"/>
  <c r="AI7" i="11"/>
  <c r="W7" i="11"/>
  <c r="K7" i="11"/>
  <c r="B9" i="11"/>
  <c r="AF7" i="11"/>
  <c r="T7" i="11"/>
  <c r="H7" i="11"/>
  <c r="AP7" i="11"/>
  <c r="AC7" i="11"/>
  <c r="Q7" i="11"/>
  <c r="E7" i="11"/>
  <c r="O23" i="2"/>
  <c r="G98" i="5"/>
  <c r="S98" i="5" s="1"/>
  <c r="O396" i="1"/>
  <c r="N19" i="2"/>
  <c r="N21" i="2" s="1"/>
  <c r="H396" i="1"/>
  <c r="H23" i="2"/>
  <c r="G42" i="5"/>
  <c r="S42" i="5" s="1"/>
  <c r="G19" i="2"/>
  <c r="G34" i="5" s="1"/>
  <c r="P18" i="2"/>
  <c r="E19" i="2"/>
  <c r="E396" i="1"/>
  <c r="P395" i="1"/>
  <c r="AG27" i="6"/>
  <c r="AF34" i="6"/>
  <c r="AD34" i="6"/>
  <c r="AA34" i="6"/>
  <c r="X27" i="6"/>
  <c r="W34" i="6"/>
  <c r="U34" i="6"/>
  <c r="AG26" i="10"/>
  <c r="AD26" i="10"/>
  <c r="X26" i="10"/>
  <c r="U26" i="10"/>
  <c r="L26" i="10"/>
  <c r="F26" i="10"/>
  <c r="AQ29" i="15" l="1"/>
  <c r="AQ25" i="13"/>
  <c r="AQ24" i="12"/>
  <c r="BC98" i="5"/>
  <c r="BO98" i="5"/>
  <c r="AE98" i="5"/>
  <c r="Q98" i="5"/>
  <c r="G90" i="5"/>
  <c r="S90" i="5" s="1"/>
  <c r="N23" i="2"/>
  <c r="BC42" i="5"/>
  <c r="AE42" i="5"/>
  <c r="Q42" i="5"/>
  <c r="BO42" i="5"/>
  <c r="G23" i="2"/>
  <c r="G21" i="2"/>
  <c r="S34" i="5"/>
  <c r="BC34" i="5"/>
  <c r="G18" i="5"/>
  <c r="E23" i="2"/>
  <c r="P19" i="2"/>
  <c r="E21" i="2"/>
  <c r="AG34" i="6"/>
  <c r="X34" i="6"/>
  <c r="AQ98" i="5" l="1"/>
  <c r="AO98" i="5" s="1"/>
  <c r="AC98" i="5"/>
  <c r="BO90" i="5"/>
  <c r="BC90" i="5"/>
  <c r="Q90" i="5"/>
  <c r="AE90" i="5"/>
  <c r="AC42" i="5"/>
  <c r="AQ42" i="5"/>
  <c r="AO42" i="5" s="1"/>
  <c r="AE34" i="5"/>
  <c r="Q34" i="5"/>
  <c r="BO34" i="5"/>
  <c r="J10" i="2"/>
  <c r="D10" i="2"/>
  <c r="I10" i="2"/>
  <c r="F10" i="2"/>
  <c r="M10" i="2"/>
  <c r="L10" i="2"/>
  <c r="P21" i="2"/>
  <c r="G10" i="2"/>
  <c r="N10" i="2"/>
  <c r="O10" i="2"/>
  <c r="P23" i="2"/>
  <c r="K10" i="2"/>
  <c r="H10" i="2"/>
  <c r="E10" i="2"/>
  <c r="S18" i="5"/>
  <c r="G106" i="5"/>
  <c r="BC18" i="5"/>
  <c r="E98" i="5" l="1"/>
  <c r="AL14" i="6" s="1"/>
  <c r="AQ90" i="5"/>
  <c r="AO90" i="5" s="1"/>
  <c r="AC90" i="5"/>
  <c r="E42" i="5"/>
  <c r="Q14" i="6" s="1"/>
  <c r="AQ34" i="5"/>
  <c r="AO34" i="5" s="1"/>
  <c r="AC34" i="5"/>
  <c r="G114" i="5"/>
  <c r="AV7" i="9"/>
  <c r="BA7" i="9" s="1"/>
  <c r="AV7" i="8"/>
  <c r="BA7" i="8" s="1"/>
  <c r="BC106" i="5"/>
  <c r="BE7" i="6"/>
  <c r="AV7" i="7"/>
  <c r="BO18" i="5"/>
  <c r="S106" i="5"/>
  <c r="Q18" i="5"/>
  <c r="Q106" i="5" s="1"/>
  <c r="AE18" i="5"/>
  <c r="P10" i="2"/>
  <c r="L98" i="5" l="1"/>
  <c r="AM23" i="10"/>
  <c r="AM19" i="10"/>
  <c r="AM15" i="10"/>
  <c r="AM21" i="6"/>
  <c r="AM38" i="9"/>
  <c r="AM62" i="8"/>
  <c r="AM55" i="8"/>
  <c r="AM48" i="8"/>
  <c r="AM38" i="8"/>
  <c r="AM31" i="8"/>
  <c r="AM24" i="8"/>
  <c r="AM14" i="8"/>
  <c r="AM6" i="6"/>
  <c r="AM32" i="6"/>
  <c r="AM31" i="6"/>
  <c r="AM66" i="8"/>
  <c r="AM49" i="8"/>
  <c r="AM32" i="8"/>
  <c r="AM33" i="6"/>
  <c r="AM22" i="10"/>
  <c r="AM18" i="10"/>
  <c r="AL14"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Q14"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X106" i="5"/>
  <c r="Q114" i="5"/>
  <c r="AV7" i="10"/>
  <c r="BC114" i="5"/>
  <c r="AM33" i="8" l="1"/>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I14"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O19" i="10" s="1"/>
  <c r="AO18" i="5"/>
  <c r="AO106" i="5" s="1"/>
  <c r="AQ106" i="5"/>
  <c r="AQ114" i="5" s="1"/>
  <c r="AP11" i="6"/>
  <c r="V114" i="5"/>
  <c r="AC106" i="5"/>
  <c r="AL27" i="6" l="1"/>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N14" i="10"/>
  <c r="O14" i="10" s="1"/>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AL34" i="6" l="1"/>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H14" i="10"/>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AJ27" i="6" l="1"/>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N34" i="6" l="1"/>
  <c r="O34" i="6" s="1"/>
  <c r="AD38" i="6"/>
  <c r="AC39" i="6"/>
  <c r="AD39" i="6" s="1"/>
  <c r="AC11" i="6"/>
  <c r="Q11" i="6"/>
  <c r="AL11" i="6"/>
  <c r="Z11" i="6"/>
  <c r="N11" i="6"/>
  <c r="H11" i="6"/>
  <c r="AI11" i="6"/>
  <c r="W11" i="6"/>
  <c r="K11" i="6"/>
  <c r="AF11" i="6"/>
  <c r="E11" i="6"/>
  <c r="AQ14" i="6"/>
  <c r="T11" i="6"/>
  <c r="AQ36" i="9"/>
  <c r="AL39" i="6"/>
  <c r="AP26" i="10"/>
  <c r="AQ14" i="10"/>
  <c r="AQ26" i="10" s="1"/>
  <c r="X38" i="6"/>
  <c r="W39" i="6"/>
  <c r="X39" i="6" s="1"/>
  <c r="E39" i="6"/>
  <c r="F39" i="6" s="1"/>
  <c r="AP7" i="6"/>
  <c r="AS7" i="6" s="1"/>
  <c r="F38" i="6"/>
  <c r="AQ23" i="9"/>
  <c r="L38" i="6"/>
  <c r="K39" i="6"/>
  <c r="L39" i="6" s="1"/>
  <c r="H27" i="6"/>
  <c r="I6" i="10"/>
  <c r="U38" i="6"/>
  <c r="T39" i="6"/>
  <c r="U39" i="6" s="1"/>
  <c r="AI38" i="6"/>
  <c r="AJ38" i="6" s="1"/>
  <c r="AI39" i="6"/>
  <c r="AJ39" i="6" s="1"/>
  <c r="Q39" i="6"/>
  <c r="R39" i="6" s="1"/>
  <c r="R38" i="6"/>
  <c r="AI13" i="6"/>
  <c r="AF13" i="6"/>
  <c r="T13" i="6"/>
  <c r="E13" i="6"/>
  <c r="AC13" i="6"/>
  <c r="Q13" i="6"/>
  <c r="H13" i="6"/>
  <c r="AL13" i="6"/>
  <c r="N13" i="6"/>
  <c r="K13" i="6"/>
  <c r="Z13" i="6"/>
  <c r="W13" i="6"/>
  <c r="Z39" i="6"/>
  <c r="AA39" i="6" s="1"/>
  <c r="AA38" i="6"/>
  <c r="H39" i="6"/>
  <c r="I39" i="6" s="1"/>
  <c r="I38" i="6"/>
  <c r="AG38" i="6"/>
  <c r="AF39" i="6"/>
  <c r="AG39" i="6" s="1"/>
  <c r="AQ27" i="8"/>
  <c r="N39" i="6"/>
  <c r="O39" i="6" s="1"/>
  <c r="O38" i="6"/>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Q27" i="6" s="1"/>
  <c r="AP39" i="6"/>
  <c r="AQ39" i="6" s="1"/>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Q38" i="6" s="1"/>
  <c r="AM38" i="6"/>
  <c r="D11" i="7"/>
  <c r="F11" i="6"/>
  <c r="AJ11" i="6"/>
  <c r="AH11" i="7"/>
  <c r="AK11" i="7"/>
  <c r="AM11" i="6"/>
  <c r="I14" i="6" l="1"/>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Q16" i="6" s="1"/>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AJ23" i="6" l="1"/>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Q25" i="6" s="1"/>
  <c r="AD25" i="6"/>
  <c r="AC36" i="6"/>
  <c r="AG25" i="6"/>
  <c r="AF36" i="6"/>
  <c r="L25" i="6"/>
  <c r="K36" i="6"/>
  <c r="U25" i="6"/>
  <c r="T36" i="6"/>
  <c r="AI36" i="6"/>
  <c r="AJ25" i="6"/>
  <c r="AA25" i="6"/>
  <c r="Z36" i="6"/>
  <c r="X25" i="6"/>
  <c r="W36" i="6"/>
  <c r="H41" i="6" l="1"/>
  <c r="I36" i="6"/>
  <c r="E41" i="6"/>
  <c r="F36" i="6"/>
  <c r="AA36" i="6"/>
  <c r="Z41" i="6"/>
  <c r="U36" i="6"/>
  <c r="T41" i="6"/>
  <c r="AG36" i="6"/>
  <c r="AF41" i="6"/>
  <c r="AL41" i="6"/>
  <c r="AP36" i="6"/>
  <c r="AQ36" i="6" s="1"/>
  <c r="AM36" i="6"/>
  <c r="N41" i="6"/>
  <c r="O36" i="6"/>
  <c r="AJ36" i="6"/>
  <c r="AI41" i="6"/>
  <c r="W41" i="6"/>
  <c r="X36" i="6"/>
  <c r="K41" i="6"/>
  <c r="L36" i="6"/>
  <c r="AC41" i="6"/>
  <c r="AD36" i="6"/>
  <c r="R36" i="6"/>
  <c r="Q41" i="6"/>
  <c r="K43" i="6" l="1"/>
  <c r="L43" i="6" s="1"/>
  <c r="L41" i="6"/>
  <c r="U41" i="6"/>
  <c r="T43" i="6"/>
  <c r="AL43" i="6"/>
  <c r="AP41" i="6"/>
  <c r="AQ41" i="6" s="1"/>
  <c r="AM41" i="6"/>
  <c r="E43" i="6"/>
  <c r="F41" i="6"/>
  <c r="AD41" i="6"/>
  <c r="AC43" i="6"/>
  <c r="AD43" i="6" s="1"/>
  <c r="X41" i="6"/>
  <c r="W43" i="6"/>
  <c r="X43" i="6" s="1"/>
  <c r="O41" i="6"/>
  <c r="N43" i="6"/>
  <c r="O43" i="6" s="1"/>
  <c r="AG41" i="6"/>
  <c r="AF43" i="6"/>
  <c r="AG43" i="6" s="1"/>
  <c r="Z43" i="6"/>
  <c r="AA41" i="6"/>
  <c r="R41" i="6"/>
  <c r="Q43" i="6"/>
  <c r="AJ41" i="6"/>
  <c r="AI43" i="6"/>
  <c r="H43" i="6"/>
  <c r="I41" i="6"/>
  <c r="K45" i="6" l="1"/>
  <c r="BM26" i="5" s="1"/>
  <c r="BT26" i="5" s="1"/>
  <c r="AF45" i="6"/>
  <c r="BM82" i="5" s="1"/>
  <c r="BT82" i="5" s="1"/>
  <c r="N45" i="6"/>
  <c r="AJ43" i="6"/>
  <c r="AI45" i="6"/>
  <c r="AL45" i="6"/>
  <c r="AP43" i="6"/>
  <c r="AQ43" i="6" s="1"/>
  <c r="AM43" i="6"/>
  <c r="F43" i="6"/>
  <c r="E45" i="6"/>
  <c r="R43" i="6"/>
  <c r="Q45" i="6"/>
  <c r="AA43" i="6"/>
  <c r="Z45" i="6"/>
  <c r="U43" i="6"/>
  <c r="T45" i="6"/>
  <c r="AC45" i="6"/>
  <c r="I43" i="6"/>
  <c r="H45" i="6"/>
  <c r="W45" i="6"/>
  <c r="BA26" i="5" l="1"/>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AQ45" i="6" l="1"/>
  <c r="BM106" i="5"/>
  <c r="BA106" i="5"/>
  <c r="BC7" i="6"/>
  <c r="BJ7" i="6" s="1"/>
  <c r="BT106" i="5" l="1"/>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indexed="81"/>
            <rFont val="Arial"/>
            <family val="2"/>
          </rPr>
          <t>Christian Latour :
7404 — Buanderie et nettoyage à sec
Montant dépensé pour le nettoyage des tissus : uniformes, linges, nappes, serviettes de table, rideaux et tout autre article en tissu.</t>
        </r>
      </text>
    </comment>
    <comment ref="C15" authorId="0" shapeId="0" xr:uid="{002AFE5B-E3CB-AF4F-83BF-9B152E9B1645}">
      <text>
        <r>
          <rPr>
            <b/>
            <sz val="9"/>
            <color indexed="81"/>
            <rFont val="Arial"/>
            <family val="2"/>
          </rPr>
          <t>Christian Latour :
7406 — Location - Lingerie/tissus
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indexed="81"/>
            <rFont val="Arial"/>
            <family val="2"/>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indexed="81"/>
            <rFont val="Arial"/>
            <family val="2"/>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indexed="81"/>
            <rFont val="Arial"/>
            <family val="2"/>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indexed="81"/>
            <rFont val="Arial"/>
            <family val="2"/>
          </rPr>
          <t>Christian Latour :
7424 — Fournitures de bar
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indexed="81"/>
            <rFont val="Arial"/>
            <family val="2"/>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indexed="81"/>
            <rFont val="Arial"/>
            <family val="2"/>
          </rPr>
          <t>Christian Latour :
7430 — Services hygiène et salubrité
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indexed="81"/>
            <rFont val="Arial"/>
            <family val="2"/>
          </rPr>
          <t>Christian Latour :
7438 — Droits/permis d’exploitation
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indexed="81"/>
            <rFont val="Arial"/>
            <family val="2"/>
          </rPr>
          <t>Christian Latour :
7499 — Autres dépenses d’exploitation
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indexed="81"/>
            <rFont val="Arial"/>
            <family val="2"/>
          </rPr>
          <t>Christian Latour:
7525 — Service de musique câblée
Montant payé pour le service de câble, les services offerts par les fournisseurs de musique d’ambiance, et, etc.</t>
        </r>
        <r>
          <rPr>
            <sz val="9"/>
            <color indexed="81"/>
            <rFont val="Arial"/>
            <family val="2"/>
          </rPr>
          <t xml:space="preserve">
</t>
        </r>
      </text>
    </comment>
    <comment ref="C17" authorId="0" shapeId="0" xr:uid="{ACECCE5C-C443-A64E-A03E-49761A987017}">
      <text>
        <r>
          <rPr>
            <b/>
            <sz val="9"/>
            <color indexed="81"/>
            <rFont val="Arial"/>
            <family val="2"/>
          </rPr>
          <t>Christian Latour:
7530 — Location de piano et autres instruments et réglage (tuning)
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indexed="81"/>
            <rFont val="Arial"/>
            <family val="2"/>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indexed="81"/>
            <rFont val="Arial"/>
            <family val="2"/>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indexed="81"/>
            <rFont val="Arial"/>
            <family val="2"/>
          </rPr>
          <t>Christian Latour:
7705 — Électricité
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indexed="81"/>
            <rFont val="Arial"/>
            <family val="2"/>
          </rPr>
          <t>Christian Latour :
7815 - Poste et messagerie
Montant payé pour les frais de timbres, de poste et de messagerie qui ne sont pas reliés aux activités de marketing.</t>
        </r>
      </text>
    </comment>
    <comment ref="C16" authorId="0" shapeId="0" xr:uid="{7925C742-52BA-DD4A-83F9-AF370DF3829B}">
      <text>
        <r>
          <rPr>
            <b/>
            <sz val="9"/>
            <color indexed="81"/>
            <rFont val="Arial"/>
            <family val="2"/>
          </rPr>
          <t>Christian Latour :
7820 - Télécommunications
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indexed="81"/>
            <rFont val="Arial"/>
            <family val="2"/>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indexed="81"/>
            <rFont val="Arial"/>
            <family val="2"/>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indexed="81"/>
            <rFont val="Arial"/>
            <family val="2"/>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indexed="81"/>
            <rFont val="Arial"/>
            <family val="2"/>
          </rPr>
          <t>Christian Latour :
7840 - Frais d’escompte sur les cartes de crédit
Montant payé aux compagnies émettrices de cartes de crédit pour la gestion et le remboursement des transactions effectuées par carte de crédit.</t>
        </r>
      </text>
    </comment>
    <comment ref="C21" authorId="0" shapeId="0" xr:uid="{E778BBBB-96BA-FD4D-9752-AF661C9E345F}">
      <text>
        <r>
          <rPr>
            <b/>
            <sz val="9"/>
            <color indexed="81"/>
            <rFont val="Arial"/>
            <family val="2"/>
          </rPr>
          <t xml:space="preserve">Christian Latour :
7845 - Provision pour mauvaises créances
Montant payé pour le recouvrement de mauvaises créances.
</t>
        </r>
      </text>
    </comment>
    <comment ref="C22" authorId="0" shapeId="0" xr:uid="{DF5FCDC4-01C3-9449-B401-7C94CD869F5C}">
      <text>
        <r>
          <rPr>
            <b/>
            <sz val="9"/>
            <color indexed="81"/>
            <rFont val="Arial"/>
            <family val="2"/>
          </rPr>
          <t xml:space="preserve">Christian Latour :
7850 - Déficit et surplus de caisse
Montant reçu en trop ou en moins compte tenu des transactions réellement réalisées par l’entreprise.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indexed="81"/>
            <rFont val="Arial"/>
            <family val="2"/>
          </rPr>
          <t>Christian Latour :
7860 - Services de protection/sécurité
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indexed="81"/>
            <rFont val="Arial"/>
            <family val="2"/>
          </rPr>
          <t>Christian Latour :
7865 - Intérêts et frais bancaires
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indexed="81"/>
            <rFont val="Arial"/>
            <family val="2"/>
          </rPr>
          <t xml:space="preserve">
Christian Latour
7800 - Administration &amp; autres frais généraux
Il s’agit du compte de contrôle dans lequel on additionne le total des coûts d’administration &amp; autres frais généraux.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indexed="81"/>
            <rFont val="Arial"/>
            <family val="2"/>
          </rPr>
          <t>Christian Latour :
7902 — Ameublements et agencements
Montant payé pour assurer l’entretien et les réparations de l’ameublement.</t>
        </r>
      </text>
    </comment>
    <comment ref="C14" authorId="0" shapeId="0" xr:uid="{E8533336-3C9D-F648-B38B-8B122AAE9B61}">
      <text>
        <r>
          <rPr>
            <b/>
            <sz val="9"/>
            <color indexed="81"/>
            <rFont val="Arial"/>
            <family val="2"/>
          </rPr>
          <t>Christian Latour :
7904 — Équipement de cuisine
Montant payé pour assurer l’entretien et les réparations des équipements de cuisine.</t>
        </r>
      </text>
    </comment>
    <comment ref="C15" authorId="0" shapeId="0" xr:uid="{FC14E292-6F7D-C345-80A5-85B32C575D35}">
      <text>
        <r>
          <rPr>
            <b/>
            <sz val="9"/>
            <color indexed="81"/>
            <rFont val="Arial"/>
            <family val="2"/>
          </rPr>
          <t>Christian Latour :
7906 — Équipement de bureau
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indexed="81"/>
            <rFont val="Arial"/>
            <family val="2"/>
          </rPr>
          <t>Christian Latour :
7912 — Plomberie et chauffage
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indexed="81"/>
            <rFont val="Arial"/>
            <family val="2"/>
          </rPr>
          <t>Christian Latour :
7922 — Terrassement et entretien des terrassements
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indexed="81"/>
            <rFont val="Arial"/>
            <family val="2"/>
          </rPr>
          <t>Christian Latour :
7998 — Équipements et fournitures
Montant payé notamment pour assurer l’entretien et les réparations des rideaux, draperies, tapisseries, et, etc.</t>
        </r>
      </text>
    </comment>
    <comment ref="C29" authorId="0" shapeId="0" xr:uid="{FEC1FFFF-0F52-AD48-B500-3A0F16BBC581}">
      <text>
        <r>
          <rPr>
            <b/>
            <sz val="9"/>
            <color indexed="81"/>
            <rFont val="Arial"/>
            <family val="2"/>
          </rPr>
          <t>Christian Latour :
7999 — Autres
Autres montants payés pour l’entretien et les réparations et qui ne sont pas comptabilisés dans l’un des comptes précédents.</t>
        </r>
      </text>
    </comment>
    <comment ref="C31" authorId="0" shapeId="0" xr:uid="{F7E50AF9-2BE8-7D47-B656-F57584F71F3A}">
      <text>
        <r>
          <rPr>
            <b/>
            <sz val="10"/>
            <color indexed="81"/>
            <rFont val="Arial"/>
            <family val="2"/>
          </rPr>
          <t xml:space="preserve">
Christian Latour
7900 — Entretien et réparations
Il s’agit du compte de contrôle dans lequel on additionne le total des coûts entretien et réparation.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24" authorId="0" shapeId="0" xr:uid="{5AD0E3C6-A228-6849-A94F-1E6F959157C0}">
      <text>
        <r>
          <rPr>
            <b/>
            <sz val="10"/>
            <color rgb="FF000000"/>
            <rFont val="Arial"/>
            <family val="2"/>
          </rPr>
          <t xml:space="preserve">Christian Latour :
</t>
        </r>
        <r>
          <rPr>
            <b/>
            <sz val="10"/>
            <color rgb="FF000000"/>
            <rFont val="Arial"/>
            <family val="2"/>
          </rPr>
          <t xml:space="preserve">7600 — Marketing &amp; Communication marketing
</t>
        </r>
        <r>
          <rPr>
            <b/>
            <sz val="10"/>
            <color rgb="FF000000"/>
            <rFont val="Arial"/>
            <family val="2"/>
          </rPr>
          <t>Il s’agit du compte de contrôle dans lequel on additionne le total des coûts encourus pour l’ensemble des activités relatif au marketing et à la communication marketing.</t>
        </r>
        <r>
          <rPr>
            <sz val="10"/>
            <color rgb="FF000000"/>
            <rFont val="Arial"/>
            <family val="2"/>
          </rPr>
          <t xml:space="preserve">
</t>
        </r>
        <r>
          <rPr>
            <sz val="10"/>
            <color rgb="FF000000"/>
            <rFont val="Arial"/>
            <family val="2"/>
          </rPr>
          <t xml:space="preserve">
</t>
        </r>
      </text>
    </comment>
  </commentList>
</comments>
</file>

<file path=xl/sharedStrings.xml><?xml version="1.0" encoding="utf-8"?>
<sst xmlns="http://schemas.openxmlformats.org/spreadsheetml/2006/main" count="2108" uniqueCount="387">
  <si>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</si>
  <si>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</si>
  <si>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</si>
  <si>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</si>
  <si>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</si>
  <si>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</si>
  <si>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</si>
  <si>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</si>
  <si>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</si>
  <si>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</si>
  <si>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</si>
  <si>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</si>
  <si>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</si>
  <si>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</si>
  <si>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</si>
  <si>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</si>
  <si>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</si>
  <si>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</si>
  <si>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</si>
  <si>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</si>
  <si>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</si>
  <si>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</si>
  <si>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</si>
  <si>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</si>
  <si>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</si>
  <si>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</si>
  <si>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</si>
  <si>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</si>
  <si>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</si>
  <si>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</si>
  <si>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</si>
  <si>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</si>
  <si>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</si>
  <si>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</si>
  <si>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</si>
  <si>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</si>
  <si>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</si>
  <si>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</si>
  <si>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</si>
  <si>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</si>
  <si>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</si>
  <si>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</si>
  <si>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</si>
  <si>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</si>
  <si>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</si>
  <si>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</si>
  <si>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</si>
  <si>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</si>
  <si>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</si>
  <si>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</si>
  <si>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</si>
  <si>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</si>
  <si>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</si>
  <si>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</si>
  <si>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</si>
  <si>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</si>
  <si>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</si>
  <si>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</si>
  <si>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</si>
  <si>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</si>
  <si>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</si>
  <si>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</si>
  <si>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</si>
  <si>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</si>
  <si>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</si>
  <si>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</si>
  <si>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</si>
  <si>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</si>
  <si>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</si>
  <si>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</si>
  <si>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</si>
  <si>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</si>
  <si>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</si>
  <si>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</si>
  <si>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</si>
  <si>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</si>
  <si>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</si>
  <si>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</si>
  <si>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</si>
  <si>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</si>
  <si>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</si>
  <si>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</si>
  <si>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</si>
  <si>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</si>
  <si>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</si>
  <si>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</si>
  <si>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</si>
  <si>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</si>
  <si>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</si>
  <si>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</si>
  <si>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</si>
  <si>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</si>
  <si>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</si>
  <si>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</si>
  <si>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</si>
  <si>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</si>
  <si>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</si>
  <si>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</si>
  <si>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</si>
  <si>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</si>
  <si>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</si>
  <si>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</si>
  <si>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</si>
  <si>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</si>
  <si>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</si>
  <si>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</si>
  <si>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</si>
  <si>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</si>
  <si>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</si>
  <si>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</si>
  <si>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</si>
  <si>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</si>
  <si>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</si>
  <si>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</si>
  <si>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</si>
  <si>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</si>
  <si>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</si>
  <si>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</si>
  <si>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</si>
  <si>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</si>
  <si>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</si>
  <si>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</si>
  <si>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</si>
  <si>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</si>
  <si>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</si>
  <si>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</si>
  <si>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</si>
  <si>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</si>
  <si>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</si>
  <si>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</si>
  <si>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</si>
  <si>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</si>
  <si>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</si>
  <si>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</si>
  <si>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</si>
  <si>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</si>
  <si>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</si>
  <si>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</si>
  <si>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</si>
  <si>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</si>
  <si>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</si>
  <si>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</si>
  <si>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</si>
  <si>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</si>
  <si>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</si>
  <si>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</si>
  <si>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</si>
  <si>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</si>
  <si>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</si>
  <si>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</si>
  <si>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</si>
  <si>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</si>
  <si>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</si>
  <si>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</si>
  <si>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</si>
  <si>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</si>
  <si>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</si>
  <si>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</si>
  <si>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</si>
  <si>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</si>
  <si>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</si>
  <si>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</si>
  <si>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</si>
  <si>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</si>
  <si>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 xml:space="preserve">États des résultats prévisionnels </t>
  </si>
  <si>
    <t>Pour la période du 1er janvier 2021 au 31 décembre 2021</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</si>
  <si>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</si>
  <si>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</si>
  <si>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</si>
  <si>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</si>
  <si>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</si>
  <si>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</si>
  <si>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</si>
  <si>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</si>
  <si>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</si>
  <si>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</si>
  <si>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</si>
  <si>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</si>
  <si>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</si>
  <si>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</si>
  <si>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</si>
  <si>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</si>
  <si>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</si>
  <si>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</si>
  <si>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</si>
  <si>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</si>
  <si>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</si>
  <si>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</si>
  <si>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</si>
  <si>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</si>
  <si>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</si>
  <si>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</si>
  <si>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</si>
  <si>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</si>
  <si>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</si>
  <si>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</si>
  <si>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</si>
  <si>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</si>
  <si>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</si>
  <si>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</si>
  <si>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</si>
  <si>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</si>
  <si>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</si>
  <si>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</si>
  <si>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</si>
  <si>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</si>
  <si>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</si>
  <si>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</si>
  <si>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</si>
  <si>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</si>
  <si>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</si>
  <si>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</si>
  <si>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</si>
  <si>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</si>
  <si>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</si>
  <si>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</si>
  <si>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</si>
  <si>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</si>
  <si>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</si>
  <si>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</si>
  <si>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</si>
  <si>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</si>
  <si>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</si>
  <si>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</si>
  <si>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</si>
  <si>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</si>
  <si>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</si>
  <si>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</si>
  <si>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</si>
  <si>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</si>
  <si>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</si>
  <si>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</si>
  <si>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</si>
  <si>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</si>
  <si>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</si>
  <si>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</si>
  <si>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</si>
  <si>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</si>
  <si>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</si>
  <si>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</si>
  <si>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</si>
  <si>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</si>
  <si>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</si>
  <si>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</si>
  <si>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</si>
  <si>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</si>
  <si>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</si>
  <si>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</si>
  <si>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</si>
  <si>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</si>
  <si>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</si>
  <si>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</si>
  <si>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</si>
  <si>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</si>
  <si>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</si>
  <si>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</si>
  <si>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</si>
  <si>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</si>
  <si>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</si>
  <si>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</si>
  <si>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</si>
  <si>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</si>
  <si>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</si>
  <si>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</si>
  <si>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</si>
  <si>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</si>
  <si>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</si>
  <si>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</si>
  <si>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</si>
  <si>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</si>
  <si>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</si>
  <si>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</si>
  <si>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</si>
  <si>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</si>
  <si>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</si>
  <si>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</si>
  <si>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</si>
  <si>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</si>
  <si>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</si>
  <si>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</si>
  <si>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</si>
  <si>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</si>
  <si>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</si>
  <si>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</si>
  <si>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</si>
  <si>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</si>
  <si>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</si>
  <si>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</si>
  <si>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</si>
  <si>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</si>
  <si>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</si>
  <si>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</si>
  <si>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</si>
  <si>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</si>
  <si>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</si>
  <si>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</si>
  <si>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</si>
  <si>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</si>
  <si>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</si>
  <si>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</si>
  <si>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</si>
  <si>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</si>
  <si>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</si>
  <si>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</si>
  <si>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</si>
  <si>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</si>
  <si>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</si>
  <si>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</si>
  <si>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</si>
  <si>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</si>
  <si>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</si>
  <si>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</si>
  <si>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</si>
  <si>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</si>
  <si>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</si>
  <si>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</si>
  <si>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</si>
  <si>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</si>
  <si>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</si>
  <si>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</si>
  <si>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</si>
  <si>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</si>
  <si>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</si>
  <si>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</si>
  <si>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</si>
  <si>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</si>
  <si>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</si>
  <si>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</si>
  <si>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</si>
  <si>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</si>
  <si>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</si>
  <si>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</si>
  <si>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</si>
  <si>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</si>
  <si>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</si>
  <si>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</si>
  <si>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</si>
  <si>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</si>
  <si>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</si>
  <si>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</si>
  <si>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</si>
  <si>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</si>
  <si>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</si>
  <si>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</si>
  <si>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 xml:space="preserve">Associations, droits et cotisations </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</si>
  <si>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</si>
  <si>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</si>
  <si>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</si>
  <si>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</si>
  <si>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</si>
  <si>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</si>
  <si>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</si>
  <si>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</si>
  <si>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</si>
  <si>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</si>
  <si>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</si>
  <si>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</si>
  <si>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</si>
  <si>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</si>
  <si>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</si>
  <si>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</si>
  <si>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</si>
  <si>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</si>
  <si>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</si>
  <si>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</si>
  <si>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</si>
  <si>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</si>
  <si>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</si>
  <si>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</si>
  <si>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</si>
  <si>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</si>
  <si>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</si>
  <si>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</si>
  <si>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</si>
  <si>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</si>
  <si>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Emprunt numéro 1</t>
  </si>
  <si>
    <t>Total des frais financier</t>
  </si>
  <si>
    <t>Emprunt numéro 2</t>
  </si>
  <si>
    <t>Emprunt numéro 3</t>
  </si>
  <si>
    <t>Emprunt numéro 4</t>
  </si>
  <si>
    <t>Emprunt numéro 5</t>
  </si>
  <si>
    <t>Emprunt numéro 6</t>
  </si>
  <si>
    <t>Emprunt numéro 7</t>
  </si>
  <si>
    <t>Emprunt numéro 8</t>
  </si>
  <si>
    <t>Emprunt numéro 9</t>
  </si>
  <si>
    <t>Emprunt numéro 10</t>
  </si>
  <si>
    <t xml:space="preserve">Entreprise de restauration alimentaire 12 inc.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</si>
</sst>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s>
  <fonts count="96"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s>
  <fills count="28">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s>
  <borders count="8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s>
  <cellStyleXfs count="129">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7"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cellStyleXfs>
  <cellXfs count="960">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7"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7" fontId="4" fillId="0" borderId="4" xfId="8" applyNumberFormat="1" applyBorder="1"/>
    <xf numFmtId="167" fontId="4" fillId="0" borderId="0" xfId="8" applyNumberFormat="1"/>
    <xf numFmtId="166" fontId="0" fillId="11" borderId="4" xfId="6" applyNumberFormat="1" applyFont="1" applyFill="1" applyBorder="1" applyAlignment="1">
      <alignment horizontal="center"/>
    </xf>
    <xf numFmtId="167" fontId="42" fillId="5" borderId="4" xfId="6" applyFont="1" applyFill="1" applyBorder="1" applyAlignment="1">
      <alignment horizontal="center"/>
    </xf>
    <xf numFmtId="10" fontId="13" fillId="5" borderId="5" xfId="8" applyNumberFormat="1" applyFont="1" applyFill="1" applyBorder="1" applyProtection="1">
      <protection locked="0"/>
    </xf>
    <xf numFmtId="167"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6" fontId="54" fillId="17" borderId="4" xfId="6" applyNumberFormat="1" applyFont="1" applyFill="1" applyBorder="1"/>
    <xf numFmtId="167" fontId="30" fillId="6" borderId="4" xfId="6" applyFont="1" applyFill="1" applyBorder="1"/>
    <xf numFmtId="10" fontId="30" fillId="6" borderId="5" xfId="8" applyNumberFormat="1" applyFont="1" applyFill="1" applyBorder="1"/>
    <xf numFmtId="0" fontId="4" fillId="0" borderId="55" xfId="8" applyBorder="1"/>
    <xf numFmtId="167" fontId="0" fillId="0" borderId="4" xfId="6" applyFont="1" applyBorder="1"/>
    <xf numFmtId="166" fontId="4" fillId="11" borderId="4" xfId="6" applyNumberFormat="1" applyFont="1" applyFill="1" applyBorder="1"/>
    <xf numFmtId="167"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7" fontId="4" fillId="7" borderId="58" xfId="6" applyFont="1" applyFill="1" applyBorder="1"/>
    <xf numFmtId="10" fontId="4" fillId="7" borderId="59" xfId="8" applyNumberFormat="1" applyFill="1" applyBorder="1"/>
    <xf numFmtId="0" fontId="4" fillId="7" borderId="57" xfId="8" applyFill="1" applyBorder="1"/>
    <xf numFmtId="166" fontId="4" fillId="11" borderId="58" xfId="6" applyNumberFormat="1" applyFont="1" applyFill="1" applyBorder="1"/>
    <xf numFmtId="10" fontId="4" fillId="11" borderId="59" xfId="8" applyNumberFormat="1" applyFill="1" applyBorder="1"/>
    <xf numFmtId="167"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7" fontId="56" fillId="0" borderId="4" xfId="6" applyFont="1" applyFill="1" applyBorder="1"/>
    <xf numFmtId="167" fontId="0" fillId="0" borderId="4" xfId="6" applyFont="1" applyFill="1" applyBorder="1"/>
    <xf numFmtId="167" fontId="4" fillId="0" borderId="4" xfId="6" applyFont="1" applyFill="1" applyBorder="1"/>
    <xf numFmtId="0" fontId="4" fillId="0" borderId="60" xfId="8" applyBorder="1"/>
    <xf numFmtId="165"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7" fontId="8" fillId="0" borderId="58" xfId="6" applyFont="1" applyBorder="1"/>
    <xf numFmtId="10" fontId="8" fillId="0" borderId="59" xfId="8" applyNumberFormat="1" applyFont="1" applyBorder="1"/>
    <xf numFmtId="0" fontId="8" fillId="16" borderId="57" xfId="8" applyFont="1" applyFill="1" applyBorder="1"/>
    <xf numFmtId="166" fontId="8" fillId="11" borderId="62" xfId="6" applyNumberFormat="1" applyFont="1" applyFill="1" applyBorder="1"/>
    <xf numFmtId="10" fontId="8" fillId="11" borderId="59" xfId="8" applyNumberFormat="1" applyFont="1" applyFill="1" applyBorder="1"/>
    <xf numFmtId="167" fontId="8" fillId="5" borderId="62" xfId="6" applyFont="1" applyFill="1" applyBorder="1"/>
    <xf numFmtId="167" fontId="34" fillId="0" borderId="13" xfId="8" applyNumberFormat="1" applyFont="1" applyBorder="1"/>
    <xf numFmtId="10" fontId="34" fillId="0" borderId="28" xfId="8" applyNumberFormat="1" applyFont="1" applyBorder="1"/>
    <xf numFmtId="166" fontId="8" fillId="11" borderId="58" xfId="6" applyNumberFormat="1" applyFont="1" applyFill="1" applyBorder="1"/>
    <xf numFmtId="0" fontId="8" fillId="0" borderId="0" xfId="8" applyFont="1"/>
    <xf numFmtId="167" fontId="8" fillId="5" borderId="58" xfId="6" applyFont="1" applyFill="1" applyBorder="1"/>
    <xf numFmtId="10" fontId="8" fillId="5" borderId="59" xfId="8" applyNumberFormat="1" applyFont="1" applyFill="1" applyBorder="1"/>
    <xf numFmtId="0" fontId="54" fillId="17" borderId="51" xfId="8" applyFont="1" applyFill="1" applyBorder="1"/>
    <xf numFmtId="167" fontId="54" fillId="17" borderId="4" xfId="6" applyFont="1" applyFill="1" applyBorder="1"/>
    <xf numFmtId="167" fontId="4" fillId="7" borderId="4" xfId="6" applyFont="1" applyFill="1" applyBorder="1"/>
    <xf numFmtId="167" fontId="4" fillId="0" borderId="0" xfId="6" applyFont="1" applyFill="1" applyBorder="1"/>
    <xf numFmtId="0" fontId="4" fillId="7" borderId="51" xfId="8" applyFill="1" applyBorder="1"/>
    <xf numFmtId="167" fontId="4" fillId="7" borderId="0" xfId="6" applyFont="1" applyFill="1" applyBorder="1"/>
    <xf numFmtId="167" fontId="4" fillId="0" borderId="4" xfId="6" applyFont="1" applyBorder="1"/>
    <xf numFmtId="0" fontId="4" fillId="0" borderId="57" xfId="8" applyBorder="1"/>
    <xf numFmtId="10" fontId="8" fillId="0" borderId="59" xfId="6" applyNumberFormat="1" applyFont="1" applyBorder="1"/>
    <xf numFmtId="167" fontId="0" fillId="0" borderId="57" xfId="6" applyFont="1" applyBorder="1"/>
    <xf numFmtId="10" fontId="8" fillId="0" borderId="59" xfId="6" applyNumberFormat="1" applyFont="1" applyBorder="1" applyProtection="1"/>
    <xf numFmtId="167"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7" fontId="0" fillId="5" borderId="4" xfId="6" applyFont="1" applyFill="1" applyBorder="1"/>
    <xf numFmtId="0" fontId="55" fillId="0" borderId="51" xfId="8" applyFont="1" applyBorder="1"/>
    <xf numFmtId="0" fontId="54" fillId="16" borderId="0" xfId="8" applyFont="1" applyFill="1"/>
    <xf numFmtId="166" fontId="4" fillId="11" borderId="61" xfId="6" applyNumberFormat="1" applyFont="1" applyFill="1" applyBorder="1"/>
    <xf numFmtId="167" fontId="4" fillId="5" borderId="61" xfId="6" applyFont="1" applyFill="1" applyBorder="1"/>
    <xf numFmtId="0" fontId="54" fillId="17" borderId="52" xfId="8" applyFont="1" applyFill="1" applyBorder="1"/>
    <xf numFmtId="167" fontId="54" fillId="17" borderId="6" xfId="6" applyFont="1" applyFill="1" applyBorder="1"/>
    <xf numFmtId="10" fontId="54" fillId="17" borderId="8" xfId="8" applyNumberFormat="1" applyFont="1" applyFill="1" applyBorder="1"/>
    <xf numFmtId="166" fontId="54" fillId="17" borderId="6" xfId="6" applyNumberFormat="1" applyFont="1" applyFill="1" applyBorder="1"/>
    <xf numFmtId="167"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5" fontId="34" fillId="5" borderId="0" xfId="124" applyNumberFormat="1" applyFont="1" applyFill="1" applyAlignment="1">
      <alignment horizontal="center"/>
    </xf>
    <xf numFmtId="165"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7" fontId="4" fillId="0" borderId="0" xfId="8" applyNumberFormat="1"/>
    <xf numFmtId="0" fontId="15" fillId="14" borderId="51" xfId="8" applyFont="1" applyFill="1" applyBorder="1" applyAlignment="1">
      <alignment horizontal="center"/>
    </xf>
    <xf numFmtId="10" fontId="4" fillId="0" borderId="0" xfId="8" applyNumberFormat="1"/>
    <xf numFmtId="167" fontId="0" fillId="0" borderId="4" xfId="125" applyFont="1" applyBorder="1"/>
    <xf numFmtId="10" fontId="16" fillId="0" borderId="5" xfId="8" applyNumberFormat="1" applyFont="1" applyBorder="1" applyProtection="1">
      <protection locked="0"/>
    </xf>
    <xf numFmtId="167" fontId="4" fillId="11" borderId="4" xfId="125" applyFont="1" applyFill="1" applyBorder="1"/>
    <xf numFmtId="0" fontId="65" fillId="0" borderId="0" xfId="8" applyFont="1"/>
    <xf numFmtId="167"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7" fontId="4" fillId="0" borderId="4" xfId="125" applyFont="1" applyBorder="1"/>
    <xf numFmtId="167" fontId="4" fillId="0" borderId="58" xfId="125" applyFont="1" applyBorder="1"/>
    <xf numFmtId="10" fontId="4" fillId="0" borderId="59" xfId="8" applyNumberFormat="1" applyBorder="1"/>
    <xf numFmtId="167" fontId="4" fillId="11" borderId="58" xfId="125" applyFont="1" applyFill="1" applyBorder="1"/>
    <xf numFmtId="167"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5"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5"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5"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177" fontId="13" fillId="0" borderId="64" xfId="11" applyNumberFormat="1" applyFont="1" applyBorder="1" applyAlignment="1" applyProtection="1">
      <alignment horizontal="center"/>
      <protection locked="0"/>
    </xf>
    <xf numFmtId="9" fontId="4" fillId="0" borderId="0" xfId="11" applyFill="1" applyBorder="1" applyProtection="1"/>
    <xf numFmtId="177" fontId="4" fillId="0" borderId="4" xfId="125" applyNumberFormat="1" applyFont="1" applyBorder="1" applyAlignment="1" applyProtection="1">
      <alignment horizontal="center"/>
    </xf>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77" fontId="54" fillId="17" borderId="6" xfId="125" applyNumberFormat="1" applyFont="1" applyFill="1" applyBorder="1" applyAlignment="1" applyProtection="1">
      <alignment horizontal="center"/>
    </xf>
    <xf numFmtId="10" fontId="54" fillId="17" borderId="8" xfId="11" applyNumberFormat="1" applyFont="1" applyFill="1" applyBorder="1" applyAlignment="1" applyProtection="1">
      <alignment horizontal="center"/>
    </xf>
    <xf numFmtId="0" fontId="54" fillId="0" borderId="51" xfId="8" applyFont="1" applyBorder="1"/>
    <xf numFmtId="177" fontId="54" fillId="6" borderId="61" xfId="8" applyNumberFormat="1" applyFont="1" applyFill="1" applyBorder="1" applyAlignment="1">
      <alignment horizontal="center"/>
    </xf>
    <xf numFmtId="177" fontId="13" fillId="0" borderId="4" xfId="11" applyNumberFormat="1" applyFont="1" applyBorder="1" applyAlignment="1" applyProtection="1">
      <alignment horizontal="center"/>
      <protection locked="0"/>
    </xf>
    <xf numFmtId="177" fontId="4" fillId="0" borderId="4" xfId="125" applyNumberFormat="1" applyFont="1" applyFill="1" applyBorder="1" applyAlignment="1" applyProtection="1">
      <alignment horizontal="center"/>
    </xf>
    <xf numFmtId="177" fontId="54" fillId="17" borderId="61" xfId="125" applyNumberFormat="1" applyFont="1" applyFill="1" applyBorder="1" applyAlignment="1" applyProtection="1">
      <alignment horizontal="center"/>
    </xf>
    <xf numFmtId="10" fontId="54" fillId="17" borderId="54" xfId="11" applyNumberFormat="1" applyFont="1" applyFill="1" applyBorder="1" applyAlignment="1" applyProtection="1">
      <alignment horizontal="center"/>
    </xf>
    <xf numFmtId="177" fontId="54" fillId="6" borderId="80" xfId="8" applyNumberFormat="1" applyFont="1" applyFill="1" applyBorder="1" applyAlignment="1">
      <alignment horizontal="center"/>
    </xf>
    <xf numFmtId="10" fontId="54" fillId="6" borderId="28" xfId="11" applyNumberFormat="1" applyFont="1" applyFill="1" applyBorder="1" applyAlignment="1" applyProtection="1">
      <alignment horizontal="center"/>
    </xf>
    <xf numFmtId="177" fontId="30" fillId="6" borderId="61" xfId="125"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77" fontId="54" fillId="17" borderId="61" xfId="8" applyNumberFormat="1" applyFont="1" applyFill="1" applyBorder="1" applyAlignment="1">
      <alignment horizontal="center"/>
    </xf>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0" fontId="13" fillId="5" borderId="48" xfId="8" applyFont="1" applyFill="1" applyBorder="1" applyAlignment="1" applyProtection="1">
      <alignment horizontal="center"/>
      <protection locked="0"/>
    </xf>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5"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5" fontId="54" fillId="7" borderId="4" xfId="125" applyNumberFormat="1" applyFont="1" applyFill="1" applyBorder="1"/>
    <xf numFmtId="9" fontId="79" fillId="7" borderId="5" xfId="11" applyFont="1" applyFill="1" applyBorder="1"/>
    <xf numFmtId="164" fontId="4" fillId="0" borderId="4" xfId="125" applyNumberFormat="1" applyFont="1" applyFill="1" applyBorder="1" applyAlignment="1">
      <alignment horizontal="center"/>
    </xf>
    <xf numFmtId="164" fontId="4" fillId="0" borderId="4" xfId="125" applyNumberFormat="1" applyFont="1" applyBorder="1" applyAlignment="1">
      <alignment horizontal="center"/>
    </xf>
    <xf numFmtId="9" fontId="4" fillId="0" borderId="0" xfId="11" applyFont="1" applyFill="1" applyBorder="1"/>
    <xf numFmtId="166" fontId="4" fillId="0" borderId="4" xfId="125" applyNumberFormat="1" applyFont="1" applyBorder="1" applyAlignment="1">
      <alignment horizontal="center"/>
    </xf>
    <xf numFmtId="0" fontId="54" fillId="17" borderId="6" xfId="8" applyFont="1" applyFill="1" applyBorder="1"/>
    <xf numFmtId="0" fontId="54" fillId="17" borderId="8" xfId="8" applyFont="1" applyFill="1" applyBorder="1"/>
    <xf numFmtId="165" fontId="54" fillId="17" borderId="6" xfId="125" applyNumberFormat="1" applyFont="1" applyFill="1" applyBorder="1" applyAlignment="1">
      <alignment horizontal="center"/>
    </xf>
    <xf numFmtId="177" fontId="54" fillId="17" borderId="6" xfId="8" applyNumberFormat="1" applyFont="1" applyFill="1" applyBorder="1" applyAlignment="1">
      <alignment horizontal="center"/>
    </xf>
    <xf numFmtId="165" fontId="54" fillId="17" borderId="64" xfId="125" applyNumberFormat="1" applyFont="1" applyFill="1" applyBorder="1" applyAlignment="1">
      <alignment horizontal="center"/>
    </xf>
    <xf numFmtId="9" fontId="79" fillId="17" borderId="65" xfId="11" applyFont="1" applyFill="1" applyBorder="1" applyAlignment="1">
      <alignment horizontal="center"/>
    </xf>
    <xf numFmtId="177" fontId="54" fillId="6" borderId="64" xfId="8" applyNumberFormat="1" applyFont="1" applyFill="1" applyBorder="1" applyAlignment="1">
      <alignment horizontal="center"/>
    </xf>
    <xf numFmtId="165" fontId="54" fillId="7" borderId="4" xfId="125" applyNumberFormat="1" applyFont="1" applyFill="1" applyBorder="1" applyAlignment="1">
      <alignment horizontal="center"/>
    </xf>
    <xf numFmtId="9" fontId="79" fillId="7" borderId="5" xfId="11" applyFont="1" applyFill="1" applyBorder="1" applyAlignment="1">
      <alignment horizontal="center"/>
    </xf>
    <xf numFmtId="165" fontId="4" fillId="0" borderId="4" xfId="125" applyNumberFormat="1" applyFont="1" applyBorder="1" applyAlignment="1">
      <alignment horizontal="center"/>
    </xf>
    <xf numFmtId="165" fontId="4" fillId="0" borderId="4" xfId="125" applyNumberFormat="1" applyFont="1" applyFill="1" applyBorder="1" applyAlignment="1">
      <alignment horizontal="center"/>
    </xf>
    <xf numFmtId="170" fontId="55" fillId="0" borderId="0" xfId="8" applyNumberFormat="1" applyFont="1"/>
    <xf numFmtId="0" fontId="4" fillId="0" borderId="4" xfId="8" applyBorder="1" applyAlignment="1">
      <alignment horizontal="center"/>
    </xf>
    <xf numFmtId="165" fontId="30" fillId="6" borderId="6" xfId="8" applyNumberFormat="1" applyFont="1" applyFill="1" applyBorder="1" applyAlignment="1">
      <alignment horizontal="center"/>
    </xf>
    <xf numFmtId="10" fontId="30" fillId="6" borderId="8" xfId="11" applyNumberFormat="1" applyFont="1" applyFill="1" applyBorder="1" applyAlignment="1">
      <alignment horizontal="center"/>
    </xf>
    <xf numFmtId="177" fontId="30" fillId="6" borderId="6" xfId="8" applyNumberFormat="1" applyFont="1" applyFill="1" applyBorder="1" applyAlignment="1">
      <alignment horizontal="center"/>
    </xf>
    <xf numFmtId="177" fontId="42" fillId="11" borderId="4" xfId="8"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77" fontId="4" fillId="11" borderId="4" xfId="8" applyNumberFormat="1" applyFill="1" applyBorder="1" applyAlignment="1">
      <alignment horizontal="center"/>
    </xf>
    <xf numFmtId="177" fontId="4" fillId="11" borderId="61" xfId="8" applyNumberFormat="1" applyFill="1" applyBorder="1" applyAlignment="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77" fontId="54" fillId="11" borderId="4" xfId="8" applyNumberFormat="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77" fontId="77" fillId="0" borderId="0" xfId="125" applyNumberFormat="1" applyFont="1" applyBorder="1" applyAlignment="1" applyProtection="1">
      <alignment horizontal="center"/>
    </xf>
    <xf numFmtId="10" fontId="4" fillId="0" borderId="0" xfId="11" applyNumberFormat="1" applyBorder="1" applyAlignment="1" applyProtection="1">
      <alignment horizontal="center"/>
    </xf>
    <xf numFmtId="177" fontId="4" fillId="7" borderId="0" xfId="8" applyNumberFormat="1" applyFill="1" applyBorder="1" applyAlignment="1">
      <alignment horizontal="center"/>
    </xf>
    <xf numFmtId="10" fontId="4" fillId="7" borderId="0" xfId="11" applyNumberFormat="1" applyFill="1" applyBorder="1" applyAlignment="1" applyProtection="1">
      <alignment horizontal="center"/>
    </xf>
    <xf numFmtId="177" fontId="4" fillId="0" borderId="0" xfId="125" applyNumberFormat="1" applyFont="1" applyFill="1" applyBorder="1" applyAlignment="1" applyProtection="1">
      <alignment horizontal="center"/>
    </xf>
    <xf numFmtId="177" fontId="77" fillId="0" borderId="0" xfId="125" applyNumberFormat="1" applyFont="1" applyFill="1" applyBorder="1" applyAlignment="1" applyProtection="1">
      <alignment horizontal="center"/>
    </xf>
    <xf numFmtId="177" fontId="0" fillId="0" borderId="0" xfId="125" applyNumberFormat="1" applyFont="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77" fontId="54" fillId="7" borderId="0" xfId="125" applyNumberFormat="1" applyFont="1" applyFill="1" applyBorder="1" applyAlignment="1" applyProtection="1">
      <alignment horizontal="center"/>
    </xf>
    <xf numFmtId="10" fontId="54" fillId="7" borderId="0" xfId="11" applyNumberFormat="1" applyFont="1" applyFill="1" applyBorder="1" applyAlignment="1" applyProtection="1">
      <alignment horizontal="center"/>
    </xf>
    <xf numFmtId="177" fontId="54" fillId="7" borderId="0" xfId="8" applyNumberFormat="1" applyFont="1" applyFill="1" applyBorder="1" applyAlignment="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77" fontId="81" fillId="6" borderId="13" xfId="125" applyNumberFormat="1" applyFont="1" applyFill="1" applyBorder="1" applyAlignment="1" applyProtection="1">
      <alignment horizontal="center"/>
    </xf>
    <xf numFmtId="10" fontId="81" fillId="6" borderId="28" xfId="11" applyNumberFormat="1" applyFont="1" applyFill="1" applyBorder="1" applyAlignment="1" applyProtection="1">
      <alignment horizontal="center"/>
    </xf>
    <xf numFmtId="177" fontId="81" fillId="6" borderId="13" xfId="126" applyNumberFormat="1" applyFont="1" applyFill="1" applyBorder="1" applyAlignment="1" applyProtection="1">
      <alignment horizontal="center"/>
    </xf>
    <xf numFmtId="0" fontId="4" fillId="11" borderId="5" xfId="8" applyFill="1" applyBorder="1"/>
    <xf numFmtId="177" fontId="0" fillId="11" borderId="4" xfId="125" applyNumberFormat="1" applyFont="1" applyFill="1" applyBorder="1" applyAlignment="1" applyProtection="1">
      <alignment horizontal="center"/>
    </xf>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77" fontId="31" fillId="6" borderId="13" xfId="125" applyNumberFormat="1" applyFont="1" applyFill="1" applyBorder="1" applyAlignment="1" applyProtection="1">
      <alignment horizontal="center"/>
    </xf>
    <xf numFmtId="10" fontId="31" fillId="6" borderId="28" xfId="11" applyNumberFormat="1" applyFont="1" applyFill="1" applyBorder="1" applyAlignment="1" applyProtection="1">
      <alignment horizontal="center"/>
    </xf>
    <xf numFmtId="177" fontId="31" fillId="6" borderId="13" xfId="8" applyNumberFormat="1" applyFont="1" applyFill="1" applyBorder="1" applyAlignment="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68" fontId="77" fillId="6" borderId="13" xfId="125" applyNumberFormat="1" applyFont="1" applyFill="1" applyBorder="1" applyAlignment="1" applyProtection="1">
      <alignment horizontal="center"/>
    </xf>
    <xf numFmtId="168" fontId="31" fillId="6" borderId="13" xfId="125" applyNumberFormat="1" applyFont="1" applyFill="1" applyBorder="1" applyAlignment="1" applyProtection="1">
      <alignment horizontal="center"/>
    </xf>
    <xf numFmtId="10" fontId="0" fillId="6" borderId="28" xfId="11" applyNumberFormat="1" applyFont="1" applyFill="1" applyBorder="1" applyAlignment="1" applyProtection="1">
      <alignment horizontal="center"/>
    </xf>
    <xf numFmtId="177" fontId="54" fillId="6" borderId="13" xfId="8" applyNumberFormat="1" applyFont="1" applyFill="1" applyBorder="1" applyAlignment="1">
      <alignment horizontal="center"/>
    </xf>
    <xf numFmtId="10" fontId="54" fillId="6" borderId="48" xfId="8" applyNumberFormat="1" applyFont="1" applyFill="1" applyBorder="1" applyAlignment="1">
      <alignment horizontal="center"/>
    </xf>
    <xf numFmtId="0" fontId="80" fillId="0" borderId="0" xfId="8" applyFont="1" applyBorder="1" applyAlignment="1">
      <alignment horizontal="center"/>
    </xf>
    <xf numFmtId="9" fontId="4" fillId="0" borderId="0" xfId="11" applyFill="1" applyBorder="1" applyAlignment="1">
      <alignment horizontal="center"/>
    </xf>
    <xf numFmtId="177" fontId="4" fillId="0" borderId="0" xfId="8" applyNumberFormat="1" applyBorder="1" applyAlignment="1">
      <alignment horizontal="center"/>
    </xf>
    <xf numFmtId="165" fontId="77" fillId="0" borderId="0" xfId="125" applyNumberFormat="1" applyFont="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7" fontId="65" fillId="17" borderId="13" xfId="125" applyFont="1" applyFill="1" applyBorder="1"/>
    <xf numFmtId="10" fontId="66" fillId="17" borderId="28" xfId="11" applyNumberFormat="1" applyFont="1" applyFill="1" applyBorder="1"/>
    <xf numFmtId="167"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7" fontId="30" fillId="6" borderId="67" xfId="125" applyFont="1" applyFill="1" applyBorder="1"/>
    <xf numFmtId="10" fontId="30" fillId="6" borderId="68" xfId="8" applyNumberFormat="1" applyFont="1" applyFill="1" applyBorder="1"/>
    <xf numFmtId="167" fontId="31" fillId="6" borderId="70" xfId="125" applyFont="1" applyFill="1" applyBorder="1"/>
    <xf numFmtId="10" fontId="31" fillId="6" borderId="71" xfId="8" applyNumberFormat="1" applyFont="1" applyFill="1" applyBorder="1"/>
    <xf numFmtId="166"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65" fontId="30" fillId="7" borderId="0" xfId="8" applyNumberFormat="1" applyFont="1" applyFill="1" applyBorder="1" applyAlignment="1">
      <alignment horizontal="center"/>
    </xf>
    <xf numFmtId="10" fontId="30" fillId="7" borderId="0" xfId="11" applyNumberFormat="1" applyFont="1" applyFill="1" applyBorder="1" applyAlignment="1">
      <alignment horizontal="center"/>
    </xf>
    <xf numFmtId="177" fontId="30" fillId="7" borderId="0" xfId="8"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65" fontId="30" fillId="26" borderId="1" xfId="8" applyNumberFormat="1" applyFont="1" applyFill="1" applyBorder="1" applyAlignment="1">
      <alignment horizontal="center"/>
    </xf>
    <xf numFmtId="10" fontId="30" fillId="26" borderId="3" xfId="11" applyNumberFormat="1" applyFont="1" applyFill="1" applyBorder="1" applyAlignment="1">
      <alignment horizontal="center"/>
    </xf>
    <xf numFmtId="165" fontId="30" fillId="26" borderId="6" xfId="8" applyNumberFormat="1" applyFont="1" applyFill="1" applyBorder="1" applyAlignment="1">
      <alignment horizontal="center"/>
    </xf>
    <xf numFmtId="10" fontId="30" fillId="26" borderId="8" xfId="8" applyNumberFormat="1" applyFont="1" applyFill="1" applyBorder="1" applyAlignment="1">
      <alignment horizontal="center"/>
    </xf>
    <xf numFmtId="177" fontId="30" fillId="26" borderId="1" xfId="8" applyNumberFormat="1" applyFont="1" applyFill="1" applyBorder="1" applyAlignment="1">
      <alignment horizontal="center"/>
    </xf>
    <xf numFmtId="177" fontId="30" fillId="26" borderId="6"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7" fontId="54" fillId="17" borderId="13" xfId="8" applyNumberFormat="1" applyFont="1" applyFill="1" applyBorder="1"/>
    <xf numFmtId="10" fontId="54" fillId="17" borderId="28" xfId="8" applyNumberFormat="1" applyFont="1" applyFill="1" applyBorder="1"/>
    <xf numFmtId="166" fontId="54" fillId="17" borderId="13" xfId="6" applyNumberFormat="1" applyFont="1" applyFill="1" applyBorder="1"/>
    <xf numFmtId="167"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5"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5"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5"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7"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65" fontId="16" fillId="0" borderId="4" xfId="125" applyNumberFormat="1" applyFont="1" applyBorder="1" applyAlignment="1" applyProtection="1">
      <alignment horizontal="center"/>
      <protection locked="0"/>
    </xf>
    <xf numFmtId="165" fontId="16" fillId="0" borderId="4" xfId="125" applyNumberFormat="1" applyFont="1" applyFill="1" applyBorder="1" applyAlignment="1" applyProtection="1">
      <alignment horizontal="center"/>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44" fontId="13" fillId="0" borderId="4" xfId="127" applyFont="1" applyBorder="1" applyAlignment="1" applyProtection="1">
      <alignment horizontal="right"/>
      <protection locked="0"/>
    </xf>
    <xf numFmtId="10" fontId="42" fillId="7" borderId="85" xfId="11" applyNumberFormat="1" applyFont="1" applyFill="1" applyBorder="1" applyProtection="1"/>
    <xf numFmtId="44" fontId="8" fillId="11" borderId="4" xfId="127" applyFont="1" applyFill="1" applyBorder="1" applyProtection="1"/>
    <xf numFmtId="10" fontId="8" fillId="11" borderId="85" xfId="11" applyNumberFormat="1" applyFont="1" applyFill="1" applyBorder="1" applyProtection="1"/>
    <xf numFmtId="44" fontId="13" fillId="0" borderId="4" xfId="127" applyFont="1" applyBorder="1" applyAlignment="1" applyProtection="1">
      <alignment horizontal="right"/>
    </xf>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44" fontId="54" fillId="17" borderId="13" xfId="8" applyNumberFormat="1" applyFont="1" applyFill="1" applyBorder="1" applyAlignment="1">
      <alignment horizontal="right"/>
    </xf>
    <xf numFmtId="10" fontId="54" fillId="17" borderId="28" xfId="11" applyNumberFormat="1" applyFont="1" applyFill="1" applyBorder="1" applyProtection="1"/>
    <xf numFmtId="44" fontId="54" fillId="17" borderId="13" xfId="8" applyNumberFormat="1" applyFont="1" applyFill="1" applyBorder="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44" fontId="35" fillId="0" borderId="4" xfId="127" applyFont="1" applyBorder="1" applyAlignment="1" applyProtection="1">
      <alignment horizontal="right"/>
    </xf>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44" fontId="13" fillId="0" borderId="4" xfId="127" applyFont="1" applyBorder="1" applyAlignment="1" applyProtection="1"/>
    <xf numFmtId="44" fontId="13" fillId="7" borderId="4" xfId="127" applyFont="1" applyFill="1" applyBorder="1" applyAlignment="1" applyProtection="1">
      <alignment horizontal="right"/>
    </xf>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44" fontId="35" fillId="0" borderId="4" xfId="127" applyFont="1" applyBorder="1" applyAlignment="1" applyProtection="1">
      <alignment horizontal="right"/>
      <protection locked="0"/>
    </xf>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1" fillId="6" borderId="0" xfId="124" applyFont="1" applyFill="1" applyBorder="1" applyAlignment="1">
      <alignment horizontal="center" wrapText="1"/>
    </xf>
    <xf numFmtId="0" fontId="31" fillId="6" borderId="0" xfId="0" applyFont="1" applyFill="1" applyBorder="1" applyAlignment="1">
      <alignment horizontal="center" wrapText="1"/>
    </xf>
    <xf numFmtId="0" fontId="73"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61" fillId="0" borderId="0" xfId="0" applyFont="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69" fillId="7" borderId="5" xfId="0" applyFont="1" applyFill="1" applyBorder="1" applyAlignment="1">
      <alignment horizontal="center" vertic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58" fillId="7" borderId="51" xfId="0" applyFont="1" applyFill="1" applyBorder="1" applyAlignment="1">
      <alignment horizontal="center" vertical="center" wrapText="1"/>
    </xf>
    <xf numFmtId="0" fontId="58" fillId="7" borderId="5" xfId="0" applyFont="1" applyFill="1" applyBorder="1" applyAlignment="1">
      <alignment horizontal="center" vertic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xf numFmtId="0" fontId="48" fillId="24" borderId="5" xfId="8" applyFont="1" applyFill="1" applyBorder="1" applyAlignment="1">
      <alignment horizontal="right"/>
    </xf>
  </cellXfs>
  <cellStyles count="129">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Downloads/gl_8100-8199_frais_financier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is financier"/>
    </sheetNames>
    <sheetDataSet>
      <sheetData sheetId="0"/>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rimag.com/Entretien-Reparations-GL-7900-7999" TargetMode="Externa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781" t="str">
        <f>'État des Résultats'!C2</f>
        <v xml:space="preserve">Entreprise de restauration alimentaire 12 inc. </v>
      </c>
      <c r="C2" s="782"/>
      <c r="D2" s="782"/>
      <c r="E2" s="782"/>
      <c r="F2" s="782"/>
      <c r="G2" s="782"/>
      <c r="H2" s="782"/>
      <c r="I2" s="782"/>
      <c r="J2" s="782"/>
      <c r="K2" s="782"/>
      <c r="L2" s="782"/>
      <c r="M2" s="782"/>
      <c r="N2" s="782"/>
      <c r="O2" s="783"/>
    </row>
    <row r="3" spans="2:16" ht="16" x14ac:dyDescent="0.2">
      <c r="B3" s="784" t="str">
        <f>'État des Résultats'!C3</f>
        <v xml:space="preserve">États des résultats prévisionnels </v>
      </c>
      <c r="C3" s="785"/>
      <c r="D3" s="785"/>
      <c r="E3" s="785"/>
      <c r="F3" s="785"/>
      <c r="G3" s="785"/>
      <c r="H3" s="785"/>
      <c r="I3" s="785"/>
      <c r="J3" s="785"/>
      <c r="K3" s="785"/>
      <c r="L3" s="785"/>
      <c r="M3" s="785"/>
      <c r="N3" s="785"/>
      <c r="O3" s="786"/>
    </row>
    <row r="4" spans="2:16" ht="17" thickBot="1" x14ac:dyDescent="0.25">
      <c r="B4" s="784" t="str">
        <f>'État des Résultats'!C4</f>
        <v>Pour la période du 1er janvier 2021 au 31 décembre 2021</v>
      </c>
      <c r="C4" s="785"/>
      <c r="D4" s="785"/>
      <c r="E4" s="785"/>
      <c r="F4" s="785"/>
      <c r="G4" s="785"/>
      <c r="H4" s="785"/>
      <c r="I4" s="785"/>
      <c r="J4" s="785"/>
      <c r="K4" s="785"/>
      <c r="L4" s="785"/>
      <c r="M4" s="785"/>
      <c r="N4" s="785"/>
      <c r="O4" s="786"/>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787" t="s">
        <v>26</v>
      </c>
      <c r="C7" s="788"/>
      <c r="D7" s="73">
        <v>50</v>
      </c>
      <c r="E7" s="74">
        <f t="shared" ref="E7:O7" si="0">+D7</f>
        <v>50</v>
      </c>
      <c r="F7" s="75">
        <f t="shared" si="0"/>
        <v>50</v>
      </c>
      <c r="G7" s="75">
        <f t="shared" si="0"/>
        <v>50</v>
      </c>
      <c r="H7" s="75">
        <f t="shared" si="0"/>
        <v>50</v>
      </c>
      <c r="I7" s="75">
        <f t="shared" si="0"/>
        <v>50</v>
      </c>
      <c r="J7" s="75">
        <f t="shared" si="0"/>
        <v>50</v>
      </c>
      <c r="K7" s="75">
        <f t="shared" si="0"/>
        <v>50</v>
      </c>
      <c r="L7" s="75">
        <f t="shared" si="0"/>
        <v>50</v>
      </c>
      <c r="M7" s="75">
        <f t="shared" si="0"/>
        <v>50</v>
      </c>
      <c r="N7" s="75">
        <f t="shared" si="0"/>
        <v>50</v>
      </c>
      <c r="O7" s="76">
        <f t="shared" si="0"/>
        <v>50</v>
      </c>
    </row>
    <row r="8" spans="2:16" ht="15" thickTop="1" thickBot="1" x14ac:dyDescent="0.2">
      <c r="B8" s="789" t="s">
        <v>27</v>
      </c>
      <c r="C8" s="790"/>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topLeftCell="A2" zoomScale="125" zoomScaleNormal="125" zoomScalePageLayoutView="125" workbookViewId="0">
      <selection activeCell="AE4" sqref="AE4"/>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'État des Résultats'!C2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'État des Résultats'!C3</f>
        <v xml:space="preserve">États des résultats prévisionnels </v>
      </c>
      <c r="C3" s="943"/>
      <c r="AS3" s="899"/>
      <c r="AT3" s="370"/>
      <c r="AU3" s="370"/>
      <c r="AV3" s="370"/>
      <c r="AW3" s="370"/>
      <c r="AX3" s="370"/>
      <c r="AY3" s="370"/>
      <c r="AZ3" s="370"/>
      <c r="BA3" s="370"/>
      <c r="BB3" s="370"/>
      <c r="BC3" s="902"/>
    </row>
    <row r="4" spans="2:56" ht="22" thickBot="1" x14ac:dyDescent="0.3">
      <c r="B4" s="944" t="str">
        <f>'État des Résultats'!C4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'État des Résultats'!C6</f>
        <v>Nb de places</v>
      </c>
      <c r="C6" s="946"/>
      <c r="E6" s="693" t="str">
        <f>'Coût marchandises vendues'!D6</f>
        <v>Coût / place / jour</v>
      </c>
      <c r="F6" s="694">
        <f>+E34/$B$7/'Calendrier 2021'!D8</f>
        <v>1.2903225806451613</v>
      </c>
      <c r="G6" s="170"/>
      <c r="H6" s="693" t="str">
        <f>+E6</f>
        <v>Coût / place / jour</v>
      </c>
      <c r="I6" s="694">
        <f>+H34/$B$7/'Calendrier 2021'!E8</f>
        <v>1.4285714285714286</v>
      </c>
      <c r="J6" s="170"/>
      <c r="K6" s="693" t="str">
        <f>+H6</f>
        <v>Coût / place / jour</v>
      </c>
      <c r="L6" s="694">
        <f>+K34/$B$7/'Calendrier 2021'!F8</f>
        <v>1.2903225806451613</v>
      </c>
      <c r="M6" s="170"/>
      <c r="N6" s="693" t="str">
        <f>+K6</f>
        <v>Coût / place / jour</v>
      </c>
      <c r="O6" s="694">
        <f>+N34/$B$7/'Calendrier 2021'!G8</f>
        <v>1.3333333333333333</v>
      </c>
      <c r="P6" s="436"/>
      <c r="Q6" s="693" t="str">
        <f>+N6</f>
        <v>Coût / place / jour</v>
      </c>
      <c r="R6" s="694">
        <f>+Q34/$B$7/'Calendrier 2021'!H8</f>
        <v>1.2903225806451613</v>
      </c>
      <c r="S6" s="436"/>
      <c r="T6" s="693" t="str">
        <f>+Q6</f>
        <v>Coût / place / jour</v>
      </c>
      <c r="U6" s="694">
        <f>+T34/$B$7/'Calendrier 2021'!I8</f>
        <v>1.3333333333333333</v>
      </c>
      <c r="V6" s="170"/>
      <c r="W6" s="693" t="str">
        <f>+T6</f>
        <v>Coût / place / jour</v>
      </c>
      <c r="X6" s="694">
        <f>+W34/$B$7/'Calendrier 2021'!J8</f>
        <v>1.2903225806451613</v>
      </c>
      <c r="Y6" s="170"/>
      <c r="Z6" s="693" t="str">
        <f>+W6</f>
        <v>Coût / place / jour</v>
      </c>
      <c r="AA6" s="694">
        <f>+Z34/$B$7/'Calendrier 2021'!K8</f>
        <v>1.2903225806451613</v>
      </c>
      <c r="AB6" s="170"/>
      <c r="AC6" s="693" t="str">
        <f>+Z6</f>
        <v>Coût / place / jour</v>
      </c>
      <c r="AD6" s="694">
        <f>+AC34/$B$7/'Calendrier 2021'!L8</f>
        <v>1.3333333333333333</v>
      </c>
      <c r="AE6" s="170"/>
      <c r="AF6" s="693" t="str">
        <f>+AC6</f>
        <v>Coût / place / jour</v>
      </c>
      <c r="AG6" s="694">
        <f>+AF34/$B$7/'Calendrier 2021'!M8</f>
        <v>1.2903225806451613</v>
      </c>
      <c r="AH6" s="170"/>
      <c r="AI6" s="693" t="str">
        <f>+AF6</f>
        <v>Coût / place / jour</v>
      </c>
      <c r="AJ6" s="694">
        <f>+AI34/$B$7/'Calendrier 2021'!N8</f>
        <v>1.3333333333333333</v>
      </c>
      <c r="AK6" s="170"/>
      <c r="AL6" s="693" t="str">
        <f>+AI6</f>
        <v>Coût / place / jour</v>
      </c>
      <c r="AM6" s="694">
        <f>+AL34/$B$7/'Calendrier 2021'!O8</f>
        <v>1.2903225806451613</v>
      </c>
      <c r="AN6" s="170"/>
      <c r="AO6" s="170"/>
      <c r="AP6" s="695" t="str">
        <f>+AL6</f>
        <v>Coût / place / jour</v>
      </c>
      <c r="AQ6" s="696">
        <f>+AP34/$B$7/'% Occupation'!P9</f>
        <v>1.3150684931506849</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48">
        <f>'État des Résultats'!C7</f>
        <v>50</v>
      </c>
      <c r="C7" s="947"/>
      <c r="E7" s="438">
        <f>+E34/$AP34</f>
        <v>8.3333333333333329E-2</v>
      </c>
      <c r="F7" s="697"/>
      <c r="H7" s="438">
        <f>+H34/$AP34</f>
        <v>8.3333333333333329E-2</v>
      </c>
      <c r="I7" s="697"/>
      <c r="K7" s="438">
        <f>+K34/$AP34</f>
        <v>8.3333333333333329E-2</v>
      </c>
      <c r="L7" s="439"/>
      <c r="N7" s="438">
        <f>+N34/$AP34</f>
        <v>8.3333333333333329E-2</v>
      </c>
      <c r="O7" s="439"/>
      <c r="P7" s="698"/>
      <c r="Q7" s="438">
        <f>+Q34/$AP34</f>
        <v>8.3333333333333329E-2</v>
      </c>
      <c r="R7" s="439"/>
      <c r="S7" s="698"/>
      <c r="T7" s="438">
        <f>+T34/$AP34</f>
        <v>8.3333333333333329E-2</v>
      </c>
      <c r="U7" s="439"/>
      <c r="W7" s="438">
        <f>+W34/$AP34</f>
        <v>8.3333333333333329E-2</v>
      </c>
      <c r="X7" s="439"/>
      <c r="Z7" s="438">
        <f>+Z34/$AP34</f>
        <v>8.3333333333333329E-2</v>
      </c>
      <c r="AA7" s="439"/>
      <c r="AC7" s="438">
        <f>+AC34/$AP34</f>
        <v>8.3333333333333329E-2</v>
      </c>
      <c r="AD7" s="439"/>
      <c r="AF7" s="438">
        <f>+AF34/$AP34</f>
        <v>8.3333333333333329E-2</v>
      </c>
      <c r="AG7" s="439"/>
      <c r="AI7" s="438">
        <f>+AI34/$AP34</f>
        <v>8.3333333333333329E-2</v>
      </c>
      <c r="AJ7" s="439"/>
      <c r="AL7" s="438">
        <f>+AL34/$AP34</f>
        <v>8.3333333333333329E-2</v>
      </c>
      <c r="AM7" s="439"/>
      <c r="AP7" s="699">
        <f>+AP34/$AP34</f>
        <v>1</v>
      </c>
      <c r="AQ7" s="700" t="s">
        <v>137</v>
      </c>
      <c r="AS7" s="899"/>
      <c r="AT7" s="684">
        <f>AP34</f>
        <v>24000</v>
      </c>
      <c r="AU7" s="371" t="s">
        <v>44</v>
      </c>
      <c r="AV7" s="685">
        <f>'Formule pour le calcul D'!G114</f>
        <v>22875</v>
      </c>
      <c r="AW7" s="371" t="s">
        <v>45</v>
      </c>
      <c r="AX7" s="371" t="s">
        <v>46</v>
      </c>
      <c r="AY7" s="686">
        <f>'Formule pour le calcul D'!J106</f>
        <v>2.2200000000000002</v>
      </c>
      <c r="AZ7" s="371" t="s">
        <v>45</v>
      </c>
      <c r="BA7" s="687">
        <f>AT7/AV7/AY7</f>
        <v>0.47260375129227589</v>
      </c>
      <c r="BB7" s="371" t="s">
        <v>49</v>
      </c>
      <c r="BC7" s="902"/>
    </row>
    <row r="8" spans="2:56" ht="17" thickBot="1" x14ac:dyDescent="0.25">
      <c r="B8" s="920" t="s">
        <v>263</v>
      </c>
      <c r="C8" s="947"/>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0"/>
      <c r="AT8" s="376"/>
      <c r="AU8" s="376"/>
      <c r="AV8" s="376"/>
      <c r="AW8" s="376"/>
      <c r="AX8" s="376"/>
      <c r="AY8" s="376"/>
      <c r="AZ8" s="376"/>
      <c r="BA8" s="376"/>
      <c r="BB8" s="376"/>
      <c r="BC8" s="903"/>
    </row>
    <row r="9" spans="2:56" ht="15" thickTop="1" thickBot="1" x14ac:dyDescent="0.2">
      <c r="B9" s="904">
        <f>AP34/$B$7</f>
        <v>480</v>
      </c>
      <c r="C9" s="939"/>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331"/>
      <c r="AU9" s="331"/>
      <c r="AV9" s="331"/>
      <c r="AW9" s="331"/>
      <c r="AX9" s="331"/>
      <c r="AY9" s="331"/>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264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46">
        <v>7402</v>
      </c>
      <c r="C13" s="432" t="s">
        <v>265</v>
      </c>
      <c r="E13" s="710">
        <v>0</v>
      </c>
      <c r="F13" s="711">
        <f>E13/'État des Résultats'!$E$14</f>
        <v>0</v>
      </c>
      <c r="H13" s="710">
        <v>0</v>
      </c>
      <c r="I13" s="711">
        <f>H13/'État des Résultats'!$E$14</f>
        <v>0</v>
      </c>
      <c r="K13" s="710">
        <v>0</v>
      </c>
      <c r="L13" s="711">
        <f>K13/'État des Résultats'!$E$14</f>
        <v>0</v>
      </c>
      <c r="N13" s="710">
        <v>0</v>
      </c>
      <c r="O13" s="711">
        <f>N13/'État des Résultats'!$E$14</f>
        <v>0</v>
      </c>
      <c r="Q13" s="710">
        <v>0</v>
      </c>
      <c r="R13" s="711">
        <f>Q13/'État des Résultats'!$E$14</f>
        <v>0</v>
      </c>
      <c r="T13" s="710">
        <v>0</v>
      </c>
      <c r="U13" s="711">
        <f>T13/'État des Résultats'!$E$14</f>
        <v>0</v>
      </c>
      <c r="W13" s="710">
        <v>0</v>
      </c>
      <c r="X13" s="711">
        <f>W13/'État des Résultats'!$E$14</f>
        <v>0</v>
      </c>
      <c r="Z13" s="710">
        <v>0</v>
      </c>
      <c r="AA13" s="711">
        <f>Z13/'État des Résultats'!$E$14</f>
        <v>0</v>
      </c>
      <c r="AC13" s="710">
        <v>0</v>
      </c>
      <c r="AD13" s="711">
        <f>AC13/'État des Résultats'!$E$14</f>
        <v>0</v>
      </c>
      <c r="AF13" s="710">
        <v>0</v>
      </c>
      <c r="AG13" s="711">
        <f>AF13/'État des Résultats'!$E$14</f>
        <v>0</v>
      </c>
      <c r="AI13" s="710">
        <v>0</v>
      </c>
      <c r="AJ13" s="711">
        <f>AI13/'État des Résultats'!$E$14</f>
        <v>0</v>
      </c>
      <c r="AL13" s="710">
        <v>0</v>
      </c>
      <c r="AM13" s="711">
        <f>AL13/'État des Résultats'!$E$14</f>
        <v>0</v>
      </c>
      <c r="AP13" s="712">
        <f>SUM(+$AL13+$AI13+$AF13+$AC13+$Z13+$W13+$T13+$Q13+$N13+$K13+$H13+$E13)</f>
        <v>0</v>
      </c>
      <c r="AQ13" s="713">
        <f>+AP13/'État des Résultats'!$AP$14</f>
        <v>0</v>
      </c>
    </row>
    <row r="14" spans="2:56" x14ac:dyDescent="0.15">
      <c r="B14" s="746">
        <v>7404</v>
      </c>
      <c r="C14" s="432" t="s">
        <v>266</v>
      </c>
      <c r="E14" s="714">
        <v>0</v>
      </c>
      <c r="F14" s="711">
        <f>E14/'État des Résultats'!$E$14</f>
        <v>0</v>
      </c>
      <c r="H14" s="714">
        <v>0</v>
      </c>
      <c r="I14" s="711">
        <f>H14/'État des Résultats'!$E$14</f>
        <v>0</v>
      </c>
      <c r="K14" s="714">
        <v>0</v>
      </c>
      <c r="L14" s="711">
        <f>K14/'État des Résultats'!$E$14</f>
        <v>0</v>
      </c>
      <c r="N14" s="714">
        <v>0</v>
      </c>
      <c r="O14" s="711">
        <f>N14/'État des Résultats'!$E$14</f>
        <v>0</v>
      </c>
      <c r="Q14" s="714">
        <v>0</v>
      </c>
      <c r="R14" s="711">
        <f>Q14/'État des Résultats'!$E$14</f>
        <v>0</v>
      </c>
      <c r="T14" s="714">
        <v>0</v>
      </c>
      <c r="U14" s="711">
        <f>T14/'État des Résultats'!$E$14</f>
        <v>0</v>
      </c>
      <c r="W14" s="714">
        <v>0</v>
      </c>
      <c r="X14" s="711">
        <f>W14/'État des Résultats'!$E$14</f>
        <v>0</v>
      </c>
      <c r="Z14" s="714">
        <v>0</v>
      </c>
      <c r="AA14" s="711">
        <f>Z14/'État des Résultats'!$E$14</f>
        <v>0</v>
      </c>
      <c r="AC14" s="714">
        <v>0</v>
      </c>
      <c r="AD14" s="711">
        <f>AC14/'État des Résultats'!$E$14</f>
        <v>0</v>
      </c>
      <c r="AF14" s="714">
        <v>0</v>
      </c>
      <c r="AG14" s="711">
        <f>AF14/'État des Résultats'!$E$14</f>
        <v>0</v>
      </c>
      <c r="AI14" s="714">
        <v>0</v>
      </c>
      <c r="AJ14" s="711">
        <f>AI14/'État des Résultats'!$E$14</f>
        <v>0</v>
      </c>
      <c r="AL14" s="714">
        <v>0</v>
      </c>
      <c r="AM14" s="711">
        <f>AL14/'État des Résultats'!$E$14</f>
        <v>0</v>
      </c>
      <c r="AP14" s="712">
        <f>SUM(+$AL14+$AI14+$AF14+$AC14+$Z14+$W14+$T14+$Q14+$N14+$K14+$H14+$E14)</f>
        <v>0</v>
      </c>
      <c r="AQ14" s="713">
        <f>+AP14/'État des Résultats'!$AP$14</f>
        <v>0</v>
      </c>
    </row>
    <row r="15" spans="2:56" x14ac:dyDescent="0.15">
      <c r="B15" s="709">
        <v>7406</v>
      </c>
      <c r="C15" s="394" t="s">
        <v>267</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32" si="0">SUM(+$AL15+$AI15+$AF15+$AC15+$Z15+$W15+$T15+$Q15+$N15+$K15+$H15+$E15)</f>
        <v>0</v>
      </c>
      <c r="AQ15" s="713">
        <f>+AP15/'État des Résultats'!$AP$14</f>
        <v>0</v>
      </c>
    </row>
    <row r="16" spans="2:56" x14ac:dyDescent="0.15">
      <c r="B16" s="709">
        <v>7408</v>
      </c>
      <c r="C16" s="394" t="s">
        <v>268</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45" x14ac:dyDescent="0.15">
      <c r="B17" s="709">
        <v>7410</v>
      </c>
      <c r="C17" s="394" t="s">
        <v>269</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45" x14ac:dyDescent="0.15">
      <c r="B18" s="709">
        <v>7412</v>
      </c>
      <c r="C18" s="394" t="s">
        <v>270</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45" x14ac:dyDescent="0.15">
      <c r="B19" s="709">
        <v>7414</v>
      </c>
      <c r="C19" s="394" t="s">
        <v>271</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45" x14ac:dyDescent="0.15">
      <c r="B20" s="709">
        <v>7416</v>
      </c>
      <c r="C20" s="394" t="s">
        <v>272</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45" x14ac:dyDescent="0.15">
      <c r="B21" s="746">
        <v>7418</v>
      </c>
      <c r="C21" s="432" t="s">
        <v>273</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45" x14ac:dyDescent="0.15">
      <c r="B22" s="709">
        <v>7420</v>
      </c>
      <c r="C22" s="394" t="s">
        <v>274</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45" x14ac:dyDescent="0.15">
      <c r="B23" s="746">
        <v>7422</v>
      </c>
      <c r="C23" s="432" t="s">
        <v>275</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45" x14ac:dyDescent="0.15">
      <c r="B24" s="709">
        <v>7424</v>
      </c>
      <c r="C24" s="394" t="s">
        <v>276</v>
      </c>
      <c r="E24" s="710">
        <v>0</v>
      </c>
      <c r="F24" s="711">
        <f>E24/'État des Résultats'!$E$14</f>
        <v>0</v>
      </c>
      <c r="H24" s="710">
        <v>0</v>
      </c>
      <c r="I24" s="711">
        <f>H24/'État des Résultats'!$E$14</f>
        <v>0</v>
      </c>
      <c r="K24" s="710">
        <v>0</v>
      </c>
      <c r="L24" s="711">
        <f>K24/'État des Résultats'!$E$14</f>
        <v>0</v>
      </c>
      <c r="N24" s="710">
        <v>0</v>
      </c>
      <c r="O24" s="711">
        <f>N24/'État des Résultats'!$E$14</f>
        <v>0</v>
      </c>
      <c r="Q24" s="710">
        <v>0</v>
      </c>
      <c r="R24" s="711">
        <f>Q24/'État des Résultats'!$E$14</f>
        <v>0</v>
      </c>
      <c r="T24" s="710">
        <v>0</v>
      </c>
      <c r="U24" s="711">
        <f>T24/'État des Résultats'!$E$14</f>
        <v>0</v>
      </c>
      <c r="W24" s="710">
        <v>0</v>
      </c>
      <c r="X24" s="711">
        <f>W24/'État des Résultats'!$E$14</f>
        <v>0</v>
      </c>
      <c r="Z24" s="710">
        <v>0</v>
      </c>
      <c r="AA24" s="711">
        <f>Z24/'État des Résultats'!$E$14</f>
        <v>0</v>
      </c>
      <c r="AC24" s="710">
        <v>0</v>
      </c>
      <c r="AD24" s="711">
        <f>AC24/'État des Résultats'!$E$14</f>
        <v>0</v>
      </c>
      <c r="AF24" s="710">
        <v>0</v>
      </c>
      <c r="AG24" s="711">
        <f>AF24/'État des Résultats'!$E$14</f>
        <v>0</v>
      </c>
      <c r="AI24" s="710">
        <v>0</v>
      </c>
      <c r="AJ24" s="711">
        <f>AI24/'État des Résultats'!$E$14</f>
        <v>0</v>
      </c>
      <c r="AL24" s="710">
        <v>0</v>
      </c>
      <c r="AM24" s="711">
        <f>AL24/'État des Résultats'!$E$14</f>
        <v>0</v>
      </c>
      <c r="AP24" s="712">
        <f t="shared" si="0"/>
        <v>0</v>
      </c>
      <c r="AQ24" s="713">
        <f>+AP24/'État des Résultats'!$AP$14</f>
        <v>0</v>
      </c>
    </row>
    <row r="25" spans="2:45" x14ac:dyDescent="0.15">
      <c r="B25" s="709">
        <v>7426</v>
      </c>
      <c r="C25" s="394" t="s">
        <v>277</v>
      </c>
      <c r="E25" s="710">
        <v>0</v>
      </c>
      <c r="F25" s="711">
        <f>E25/'État des Résultats'!$E$14</f>
        <v>0</v>
      </c>
      <c r="H25" s="710">
        <v>0</v>
      </c>
      <c r="I25" s="711">
        <f>H25/'État des Résultats'!$E$14</f>
        <v>0</v>
      </c>
      <c r="K25" s="710">
        <v>0</v>
      </c>
      <c r="L25" s="711">
        <f>K25/'État des Résultats'!$E$14</f>
        <v>0</v>
      </c>
      <c r="N25" s="710">
        <v>0</v>
      </c>
      <c r="O25" s="711">
        <f>N25/'État des Résultats'!$E$14</f>
        <v>0</v>
      </c>
      <c r="Q25" s="710">
        <v>0</v>
      </c>
      <c r="R25" s="711">
        <f>Q25/'État des Résultats'!$E$14</f>
        <v>0</v>
      </c>
      <c r="T25" s="710">
        <v>0</v>
      </c>
      <c r="U25" s="711">
        <f>T25/'État des Résultats'!$E$14</f>
        <v>0</v>
      </c>
      <c r="W25" s="710">
        <v>0</v>
      </c>
      <c r="X25" s="711">
        <f>W25/'État des Résultats'!$E$14</f>
        <v>0</v>
      </c>
      <c r="Z25" s="710">
        <v>0</v>
      </c>
      <c r="AA25" s="711">
        <f>Z25/'État des Résultats'!$E$14</f>
        <v>0</v>
      </c>
      <c r="AC25" s="710">
        <v>0</v>
      </c>
      <c r="AD25" s="711">
        <f>AC25/'État des Résultats'!$E$14</f>
        <v>0</v>
      </c>
      <c r="AF25" s="710">
        <v>0</v>
      </c>
      <c r="AG25" s="711">
        <f>AF25/'État des Résultats'!$E$14</f>
        <v>0</v>
      </c>
      <c r="AI25" s="710">
        <v>0</v>
      </c>
      <c r="AJ25" s="711">
        <f>AI25/'État des Résultats'!$E$14</f>
        <v>0</v>
      </c>
      <c r="AL25" s="710">
        <v>0</v>
      </c>
      <c r="AM25" s="711">
        <f>AL25/'État des Résultats'!$E$14</f>
        <v>0</v>
      </c>
      <c r="AP25" s="712">
        <f t="shared" si="0"/>
        <v>0</v>
      </c>
      <c r="AQ25" s="713">
        <f>+AP25/'État des Résultats'!$AP$14</f>
        <v>0</v>
      </c>
    </row>
    <row r="26" spans="2:45" x14ac:dyDescent="0.15">
      <c r="B26" s="746">
        <v>7428</v>
      </c>
      <c r="C26" s="432" t="s">
        <v>278</v>
      </c>
      <c r="E26" s="710">
        <v>0</v>
      </c>
      <c r="F26" s="711">
        <f>E26/'État des Résultats'!$E$14</f>
        <v>0</v>
      </c>
      <c r="H26" s="710">
        <v>0</v>
      </c>
      <c r="I26" s="711">
        <f>H26/'État des Résultats'!$E$14</f>
        <v>0</v>
      </c>
      <c r="K26" s="710">
        <v>0</v>
      </c>
      <c r="L26" s="711">
        <f>K26/'État des Résultats'!$E$14</f>
        <v>0</v>
      </c>
      <c r="N26" s="710">
        <v>0</v>
      </c>
      <c r="O26" s="711">
        <f>N26/'État des Résultats'!$E$14</f>
        <v>0</v>
      </c>
      <c r="Q26" s="710">
        <v>0</v>
      </c>
      <c r="R26" s="711">
        <f>Q26/'État des Résultats'!$E$14</f>
        <v>0</v>
      </c>
      <c r="T26" s="710">
        <v>0</v>
      </c>
      <c r="U26" s="711">
        <f>T26/'État des Résultats'!$E$14</f>
        <v>0</v>
      </c>
      <c r="W26" s="710">
        <v>0</v>
      </c>
      <c r="X26" s="711">
        <f>W26/'État des Résultats'!$E$14</f>
        <v>0</v>
      </c>
      <c r="Z26" s="710">
        <v>0</v>
      </c>
      <c r="AA26" s="711">
        <f>Z26/'État des Résultats'!$E$14</f>
        <v>0</v>
      </c>
      <c r="AC26" s="710">
        <v>0</v>
      </c>
      <c r="AD26" s="711">
        <f>AC26/'État des Résultats'!$E$14</f>
        <v>0</v>
      </c>
      <c r="AF26" s="710">
        <v>0</v>
      </c>
      <c r="AG26" s="711">
        <f>AF26/'État des Résultats'!$E$14</f>
        <v>0</v>
      </c>
      <c r="AI26" s="710">
        <v>0</v>
      </c>
      <c r="AJ26" s="711">
        <f>AI26/'État des Résultats'!$E$14</f>
        <v>0</v>
      </c>
      <c r="AL26" s="710">
        <v>0</v>
      </c>
      <c r="AM26" s="711">
        <f>AL26/'État des Résultats'!$E$14</f>
        <v>0</v>
      </c>
      <c r="AP26" s="712">
        <f t="shared" si="0"/>
        <v>0</v>
      </c>
      <c r="AQ26" s="713">
        <f>+AP26/'État des Résultats'!$AP$14</f>
        <v>0</v>
      </c>
    </row>
    <row r="27" spans="2:45" x14ac:dyDescent="0.15">
      <c r="B27" s="709">
        <v>7430</v>
      </c>
      <c r="C27" s="394" t="s">
        <v>279</v>
      </c>
      <c r="E27" s="710">
        <v>0</v>
      </c>
      <c r="F27" s="711">
        <f>E27/'État des Résultats'!$E$14</f>
        <v>0</v>
      </c>
      <c r="H27" s="710">
        <v>0</v>
      </c>
      <c r="I27" s="711">
        <f>H27/'État des Résultats'!$E$14</f>
        <v>0</v>
      </c>
      <c r="K27" s="710">
        <v>0</v>
      </c>
      <c r="L27" s="711">
        <f>K27/'État des Résultats'!$E$14</f>
        <v>0</v>
      </c>
      <c r="N27" s="710">
        <v>0</v>
      </c>
      <c r="O27" s="711">
        <f>N27/'État des Résultats'!$E$14</f>
        <v>0</v>
      </c>
      <c r="Q27" s="710">
        <v>0</v>
      </c>
      <c r="R27" s="711">
        <f>Q27/'État des Résultats'!$E$14</f>
        <v>0</v>
      </c>
      <c r="T27" s="710">
        <v>0</v>
      </c>
      <c r="U27" s="711">
        <f>T27/'État des Résultats'!$E$14</f>
        <v>0</v>
      </c>
      <c r="W27" s="710">
        <v>0</v>
      </c>
      <c r="X27" s="711">
        <f>W27/'État des Résultats'!$E$14</f>
        <v>0</v>
      </c>
      <c r="Z27" s="710">
        <v>0</v>
      </c>
      <c r="AA27" s="711">
        <f>Z27/'État des Résultats'!$E$14</f>
        <v>0</v>
      </c>
      <c r="AC27" s="710">
        <v>0</v>
      </c>
      <c r="AD27" s="711">
        <f>AC27/'État des Résultats'!$E$14</f>
        <v>0</v>
      </c>
      <c r="AF27" s="710">
        <v>0</v>
      </c>
      <c r="AG27" s="711">
        <f>AF27/'État des Résultats'!$E$14</f>
        <v>0</v>
      </c>
      <c r="AI27" s="710">
        <v>0</v>
      </c>
      <c r="AJ27" s="711">
        <f>AI27/'État des Résultats'!$E$14</f>
        <v>0</v>
      </c>
      <c r="AL27" s="710">
        <v>0</v>
      </c>
      <c r="AM27" s="711">
        <f>AL27/'État des Résultats'!$E$14</f>
        <v>0</v>
      </c>
      <c r="AP27" s="712">
        <f t="shared" si="0"/>
        <v>0</v>
      </c>
      <c r="AQ27" s="713">
        <f>+AP27/'État des Résultats'!$AP$14</f>
        <v>0</v>
      </c>
    </row>
    <row r="28" spans="2:45" x14ac:dyDescent="0.15">
      <c r="B28" s="709">
        <v>7432</v>
      </c>
      <c r="C28" s="394" t="s">
        <v>280</v>
      </c>
      <c r="E28" s="710">
        <v>0</v>
      </c>
      <c r="F28" s="711">
        <f>E28/'État des Résultats'!$E$14</f>
        <v>0</v>
      </c>
      <c r="H28" s="710">
        <v>0</v>
      </c>
      <c r="I28" s="711">
        <f>H28/'État des Résultats'!$E$14</f>
        <v>0</v>
      </c>
      <c r="K28" s="710">
        <v>0</v>
      </c>
      <c r="L28" s="711">
        <f>K28/'État des Résultats'!$E$14</f>
        <v>0</v>
      </c>
      <c r="N28" s="710">
        <v>0</v>
      </c>
      <c r="O28" s="711">
        <f>N28/'État des Résultats'!$E$14</f>
        <v>0</v>
      </c>
      <c r="Q28" s="710">
        <v>0</v>
      </c>
      <c r="R28" s="711">
        <f>Q28/'État des Résultats'!$E$14</f>
        <v>0</v>
      </c>
      <c r="T28" s="710">
        <v>0</v>
      </c>
      <c r="U28" s="711">
        <f>T28/'État des Résultats'!$E$14</f>
        <v>0</v>
      </c>
      <c r="W28" s="710">
        <v>0</v>
      </c>
      <c r="X28" s="711">
        <f>W28/'État des Résultats'!$E$14</f>
        <v>0</v>
      </c>
      <c r="Z28" s="710">
        <v>0</v>
      </c>
      <c r="AA28" s="711">
        <f>Z28/'État des Résultats'!$E$14</f>
        <v>0</v>
      </c>
      <c r="AC28" s="710">
        <v>0</v>
      </c>
      <c r="AD28" s="711">
        <f>AC28/'État des Résultats'!$E$14</f>
        <v>0</v>
      </c>
      <c r="AF28" s="710">
        <v>0</v>
      </c>
      <c r="AG28" s="711">
        <f>AF28/'État des Résultats'!$E$14</f>
        <v>0</v>
      </c>
      <c r="AI28" s="710">
        <v>0</v>
      </c>
      <c r="AJ28" s="711">
        <f>AI28/'État des Résultats'!$E$14</f>
        <v>0</v>
      </c>
      <c r="AL28" s="710">
        <v>0</v>
      </c>
      <c r="AM28" s="711">
        <f>AL28/'État des Résultats'!$E$14</f>
        <v>0</v>
      </c>
      <c r="AP28" s="712">
        <f t="shared" si="0"/>
        <v>0</v>
      </c>
      <c r="AQ28" s="713">
        <f>+AP28/'État des Résultats'!$AP$14</f>
        <v>0</v>
      </c>
    </row>
    <row r="29" spans="2:45" x14ac:dyDescent="0.15">
      <c r="B29" s="709">
        <v>7436</v>
      </c>
      <c r="C29" s="394" t="s">
        <v>281</v>
      </c>
      <c r="E29" s="710">
        <v>0</v>
      </c>
      <c r="F29" s="711">
        <f>E29/'État des Résultats'!$E$14</f>
        <v>0</v>
      </c>
      <c r="H29" s="710">
        <v>0</v>
      </c>
      <c r="I29" s="711">
        <f>H29/'État des Résultats'!$E$14</f>
        <v>0</v>
      </c>
      <c r="K29" s="710">
        <v>0</v>
      </c>
      <c r="L29" s="711">
        <f>K29/'État des Résultats'!$E$14</f>
        <v>0</v>
      </c>
      <c r="N29" s="710">
        <v>0</v>
      </c>
      <c r="O29" s="711">
        <f>N29/'État des Résultats'!$E$14</f>
        <v>0</v>
      </c>
      <c r="Q29" s="710">
        <v>0</v>
      </c>
      <c r="R29" s="711">
        <f>Q29/'État des Résultats'!$E$14</f>
        <v>0</v>
      </c>
      <c r="T29" s="710">
        <v>0</v>
      </c>
      <c r="U29" s="711">
        <f>T29/'État des Résultats'!$E$14</f>
        <v>0</v>
      </c>
      <c r="W29" s="710">
        <v>0</v>
      </c>
      <c r="X29" s="711">
        <f>W29/'État des Résultats'!$E$14</f>
        <v>0</v>
      </c>
      <c r="Z29" s="710">
        <v>0</v>
      </c>
      <c r="AA29" s="711">
        <f>Z29/'État des Résultats'!$E$14</f>
        <v>0</v>
      </c>
      <c r="AC29" s="710">
        <v>0</v>
      </c>
      <c r="AD29" s="711">
        <f>AC29/'État des Résultats'!$E$14</f>
        <v>0</v>
      </c>
      <c r="AF29" s="710">
        <v>0</v>
      </c>
      <c r="AG29" s="711">
        <f>AF29/'État des Résultats'!$E$14</f>
        <v>0</v>
      </c>
      <c r="AI29" s="710">
        <v>0</v>
      </c>
      <c r="AJ29" s="711">
        <f>AI29/'État des Résultats'!$E$14</f>
        <v>0</v>
      </c>
      <c r="AL29" s="710">
        <v>0</v>
      </c>
      <c r="AM29" s="711">
        <f>AL29/'État des Résultats'!$E$14</f>
        <v>0</v>
      </c>
      <c r="AP29" s="712">
        <f t="shared" si="0"/>
        <v>0</v>
      </c>
      <c r="AQ29" s="713">
        <f>+AP29/'État des Résultats'!$AP$14</f>
        <v>0</v>
      </c>
    </row>
    <row r="30" spans="2:45" x14ac:dyDescent="0.15">
      <c r="B30" s="746">
        <v>7438</v>
      </c>
      <c r="C30" s="432" t="s">
        <v>282</v>
      </c>
      <c r="E30" s="710">
        <v>0</v>
      </c>
      <c r="F30" s="711">
        <f>E30/'État des Résultats'!$E$14</f>
        <v>0</v>
      </c>
      <c r="H30" s="710">
        <v>0</v>
      </c>
      <c r="I30" s="711">
        <f>H30/'État des Résultats'!$E$14</f>
        <v>0</v>
      </c>
      <c r="K30" s="710">
        <v>0</v>
      </c>
      <c r="L30" s="711">
        <f>K30/'État des Résultats'!$E$14</f>
        <v>0</v>
      </c>
      <c r="N30" s="710">
        <v>0</v>
      </c>
      <c r="O30" s="711">
        <f>N30/'État des Résultats'!$E$14</f>
        <v>0</v>
      </c>
      <c r="Q30" s="710">
        <v>0</v>
      </c>
      <c r="R30" s="711">
        <f>Q30/'État des Résultats'!$E$14</f>
        <v>0</v>
      </c>
      <c r="T30" s="710">
        <v>0</v>
      </c>
      <c r="U30" s="711">
        <f>T30/'État des Résultats'!$E$14</f>
        <v>0</v>
      </c>
      <c r="W30" s="710">
        <v>0</v>
      </c>
      <c r="X30" s="711">
        <f>W30/'État des Résultats'!$E$14</f>
        <v>0</v>
      </c>
      <c r="Z30" s="710">
        <v>0</v>
      </c>
      <c r="AA30" s="711">
        <f>Z30/'État des Résultats'!$E$14</f>
        <v>0</v>
      </c>
      <c r="AC30" s="710">
        <v>0</v>
      </c>
      <c r="AD30" s="711">
        <f>AC30/'État des Résultats'!$E$14</f>
        <v>0</v>
      </c>
      <c r="AF30" s="710">
        <v>0</v>
      </c>
      <c r="AG30" s="711">
        <f>AF30/'État des Résultats'!$E$14</f>
        <v>0</v>
      </c>
      <c r="AI30" s="710">
        <v>0</v>
      </c>
      <c r="AJ30" s="711">
        <f>AI30/'État des Résultats'!$E$14</f>
        <v>0</v>
      </c>
      <c r="AL30" s="710">
        <v>0</v>
      </c>
      <c r="AM30" s="711">
        <f>AL30/'État des Résultats'!$E$14</f>
        <v>0</v>
      </c>
      <c r="AP30" s="712">
        <f t="shared" si="0"/>
        <v>0</v>
      </c>
      <c r="AQ30" s="713">
        <f>+AP30/'État des Résultats'!$AP$14</f>
        <v>0</v>
      </c>
    </row>
    <row r="31" spans="2:45" x14ac:dyDescent="0.15">
      <c r="B31" s="709">
        <v>7440</v>
      </c>
      <c r="C31" s="394" t="s">
        <v>283</v>
      </c>
      <c r="E31" s="710">
        <v>0</v>
      </c>
      <c r="F31" s="711">
        <f>E31/'État des Résultats'!$E$14</f>
        <v>0</v>
      </c>
      <c r="H31" s="710">
        <v>0</v>
      </c>
      <c r="I31" s="711">
        <f>H31/'État des Résultats'!$E$14</f>
        <v>0</v>
      </c>
      <c r="K31" s="710">
        <v>0</v>
      </c>
      <c r="L31" s="711">
        <f>K31/'État des Résultats'!$E$14</f>
        <v>0</v>
      </c>
      <c r="N31" s="710">
        <v>0</v>
      </c>
      <c r="O31" s="711">
        <f>N31/'État des Résultats'!$E$14</f>
        <v>0</v>
      </c>
      <c r="Q31" s="710">
        <v>0</v>
      </c>
      <c r="R31" s="711">
        <f>Q31/'État des Résultats'!$E$14</f>
        <v>0</v>
      </c>
      <c r="T31" s="710">
        <v>0</v>
      </c>
      <c r="U31" s="711">
        <f>T31/'État des Résultats'!$E$14</f>
        <v>0</v>
      </c>
      <c r="W31" s="710">
        <v>0</v>
      </c>
      <c r="X31" s="711">
        <f>W31/'État des Résultats'!$E$14</f>
        <v>0</v>
      </c>
      <c r="Z31" s="710">
        <v>0</v>
      </c>
      <c r="AA31" s="711">
        <f>Z31/'État des Résultats'!$E$14</f>
        <v>0</v>
      </c>
      <c r="AC31" s="710">
        <v>0</v>
      </c>
      <c r="AD31" s="711">
        <f>AC31/'État des Résultats'!$E$14</f>
        <v>0</v>
      </c>
      <c r="AF31" s="710">
        <v>0</v>
      </c>
      <c r="AG31" s="711">
        <f>AF31/'État des Résultats'!$E$14</f>
        <v>0</v>
      </c>
      <c r="AI31" s="710">
        <v>0</v>
      </c>
      <c r="AJ31" s="711">
        <f>AI31/'État des Résultats'!$E$14</f>
        <v>0</v>
      </c>
      <c r="AL31" s="710">
        <v>0</v>
      </c>
      <c r="AM31" s="711">
        <f>AL31/'État des Résultats'!$E$14</f>
        <v>0</v>
      </c>
      <c r="AP31" s="712">
        <f t="shared" si="0"/>
        <v>0</v>
      </c>
      <c r="AQ31" s="713">
        <f>+AP31/'État des Résultats'!$AP$14</f>
        <v>0</v>
      </c>
    </row>
    <row r="32" spans="2:45" x14ac:dyDescent="0.15">
      <c r="B32" s="709">
        <v>7499</v>
      </c>
      <c r="C32" s="394" t="s">
        <v>284</v>
      </c>
      <c r="E32" s="710">
        <v>2000</v>
      </c>
      <c r="F32" s="711">
        <f>E32/'État des Résultats'!$E$14</f>
        <v>5.221230043479793E-2</v>
      </c>
      <c r="H32" s="710">
        <v>2000</v>
      </c>
      <c r="I32" s="711">
        <f>H32/'État des Résultats'!$E$14</f>
        <v>5.221230043479793E-2</v>
      </c>
      <c r="K32" s="710">
        <v>2000</v>
      </c>
      <c r="L32" s="711">
        <f>K32/'État des Résultats'!$E$14</f>
        <v>5.221230043479793E-2</v>
      </c>
      <c r="N32" s="710">
        <v>2000</v>
      </c>
      <c r="O32" s="711">
        <f>N32/'État des Résultats'!$E$14</f>
        <v>5.221230043479793E-2</v>
      </c>
      <c r="Q32" s="710">
        <v>2000</v>
      </c>
      <c r="R32" s="711">
        <f>Q32/'État des Résultats'!$E$14</f>
        <v>5.221230043479793E-2</v>
      </c>
      <c r="T32" s="710">
        <v>2000</v>
      </c>
      <c r="U32" s="711">
        <f>T32/'État des Résultats'!$E$14</f>
        <v>5.221230043479793E-2</v>
      </c>
      <c r="W32" s="710">
        <v>2000</v>
      </c>
      <c r="X32" s="711">
        <f>W32/'État des Résultats'!$E$14</f>
        <v>5.221230043479793E-2</v>
      </c>
      <c r="Z32" s="710">
        <v>2000</v>
      </c>
      <c r="AA32" s="711">
        <f>Z32/'État des Résultats'!$E$14</f>
        <v>5.221230043479793E-2</v>
      </c>
      <c r="AC32" s="710">
        <v>2000</v>
      </c>
      <c r="AD32" s="711">
        <f>AC32/'État des Résultats'!$E$14</f>
        <v>5.221230043479793E-2</v>
      </c>
      <c r="AF32" s="710">
        <v>2000</v>
      </c>
      <c r="AG32" s="711">
        <f>AF32/'État des Résultats'!$E$14</f>
        <v>5.221230043479793E-2</v>
      </c>
      <c r="AI32" s="710">
        <v>2000</v>
      </c>
      <c r="AJ32" s="711">
        <f>AI32/'État des Résultats'!$E$14</f>
        <v>5.221230043479793E-2</v>
      </c>
      <c r="AL32" s="710">
        <v>2000</v>
      </c>
      <c r="AM32" s="711">
        <f>AL32/'État des Résultats'!$E$14</f>
        <v>5.221230043479793E-2</v>
      </c>
      <c r="AP32" s="712">
        <f t="shared" si="0"/>
        <v>24000</v>
      </c>
      <c r="AQ32" s="713">
        <f>+AP32/'État des Résultats'!$AP$14</f>
        <v>4.245459182895045E-2</v>
      </c>
    </row>
    <row r="33" spans="2:69" ht="14" thickBot="1" x14ac:dyDescent="0.2">
      <c r="B33" s="749"/>
      <c r="C33" s="750"/>
      <c r="D33" s="741"/>
      <c r="E33" s="714"/>
      <c r="F33" s="747"/>
      <c r="G33" s="741"/>
      <c r="H33" s="714"/>
      <c r="I33" s="747"/>
      <c r="J33" s="741"/>
      <c r="K33" s="714"/>
      <c r="L33" s="747"/>
      <c r="M33" s="741"/>
      <c r="N33" s="714"/>
      <c r="O33" s="747"/>
      <c r="P33" s="741"/>
      <c r="Q33" s="714"/>
      <c r="R33" s="747"/>
      <c r="S33" s="741"/>
      <c r="T33" s="714"/>
      <c r="U33" s="747"/>
      <c r="V33" s="741"/>
      <c r="W33" s="714"/>
      <c r="X33" s="747"/>
      <c r="Y33" s="741"/>
      <c r="Z33" s="714"/>
      <c r="AA33" s="747"/>
      <c r="AB33" s="741"/>
      <c r="AC33" s="714"/>
      <c r="AD33" s="747"/>
      <c r="AE33" s="741"/>
      <c r="AF33" s="714"/>
      <c r="AG33" s="747"/>
      <c r="AH33" s="741"/>
      <c r="AI33" s="714"/>
      <c r="AJ33" s="747"/>
      <c r="AK33" s="741"/>
      <c r="AL33" s="714"/>
      <c r="AM33" s="747"/>
      <c r="AN33" s="741"/>
      <c r="AO33" s="741"/>
      <c r="AP33" s="712"/>
      <c r="AQ33" s="748"/>
      <c r="AR33" s="741"/>
      <c r="AS33" s="741"/>
      <c r="AT33" s="741"/>
      <c r="AU33" s="741"/>
      <c r="AV33" s="741"/>
      <c r="AW33" s="741"/>
      <c r="AX33" s="741"/>
      <c r="AY33" s="741"/>
    </row>
    <row r="34" spans="2:69" ht="15" thickTop="1" thickBot="1" x14ac:dyDescent="0.2">
      <c r="B34" s="499">
        <v>7400</v>
      </c>
      <c r="C34" s="500" t="s">
        <v>285</v>
      </c>
      <c r="D34" s="214"/>
      <c r="E34" s="719">
        <f>SUM(E13:E32)</f>
        <v>2000</v>
      </c>
      <c r="F34" s="720">
        <f>SUM(F13:F32)</f>
        <v>5.221230043479793E-2</v>
      </c>
      <c r="G34" s="214"/>
      <c r="H34" s="719">
        <f>SUM(H13:H32)</f>
        <v>2000</v>
      </c>
      <c r="I34" s="720">
        <f>SUM(I13:I32)</f>
        <v>5.221230043479793E-2</v>
      </c>
      <c r="J34" s="214"/>
      <c r="K34" s="719">
        <f>SUM(K13:K32)</f>
        <v>2000</v>
      </c>
      <c r="L34" s="720">
        <f>SUM(L13:L32)</f>
        <v>5.221230043479793E-2</v>
      </c>
      <c r="M34" s="214"/>
      <c r="N34" s="719">
        <f>SUM(N13:N32)</f>
        <v>2000</v>
      </c>
      <c r="O34" s="720">
        <f>SUM(O13:O32)</f>
        <v>5.221230043479793E-2</v>
      </c>
      <c r="P34" s="214"/>
      <c r="Q34" s="719">
        <f>SUM(Q13:Q32)</f>
        <v>2000</v>
      </c>
      <c r="R34" s="720">
        <f>SUM(R13:R32)</f>
        <v>5.221230043479793E-2</v>
      </c>
      <c r="S34" s="214"/>
      <c r="T34" s="719">
        <f>SUM(T13:T32)</f>
        <v>2000</v>
      </c>
      <c r="U34" s="720">
        <f>SUM(U13:U32)</f>
        <v>5.221230043479793E-2</v>
      </c>
      <c r="V34" s="214"/>
      <c r="W34" s="719">
        <f>SUM(W13:W32)</f>
        <v>2000</v>
      </c>
      <c r="X34" s="720">
        <f>SUM(X13:X32)</f>
        <v>5.221230043479793E-2</v>
      </c>
      <c r="Y34" s="214"/>
      <c r="Z34" s="719">
        <f>SUM(Z13:Z32)</f>
        <v>2000</v>
      </c>
      <c r="AA34" s="720">
        <f>SUM(AA13:AA32)</f>
        <v>5.221230043479793E-2</v>
      </c>
      <c r="AB34" s="214"/>
      <c r="AC34" s="719">
        <f>SUM(AC13:AC32)</f>
        <v>2000</v>
      </c>
      <c r="AD34" s="720">
        <f>SUM(AD13:AD32)</f>
        <v>5.221230043479793E-2</v>
      </c>
      <c r="AE34" s="214"/>
      <c r="AF34" s="719">
        <f>SUM(AF13:AF32)</f>
        <v>2000</v>
      </c>
      <c r="AG34" s="720">
        <f>SUM(AG13:AG32)</f>
        <v>5.221230043479793E-2</v>
      </c>
      <c r="AH34" s="214"/>
      <c r="AI34" s="719">
        <f>SUM(AI13:AI32)</f>
        <v>2000</v>
      </c>
      <c r="AJ34" s="720">
        <f>SUM(AJ13:AJ32)</f>
        <v>5.221230043479793E-2</v>
      </c>
      <c r="AK34" s="214"/>
      <c r="AL34" s="719">
        <f>SUM(AL13:AL32)</f>
        <v>2000</v>
      </c>
      <c r="AM34" s="720">
        <f>SUM(AM13:AM32)</f>
        <v>5.221230043479793E-2</v>
      </c>
      <c r="AN34" s="214"/>
      <c r="AO34" s="214"/>
      <c r="AP34" s="719">
        <f>SUM(AP13:AP32)</f>
        <v>24000</v>
      </c>
      <c r="AQ34" s="720">
        <f>SUM(AQ13:AQ32)</f>
        <v>4.245459182895045E-2</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722"/>
    </row>
  </sheetData>
  <sheetProtection algorithmName="SHA-512" hashValue="nD4MuqUnNjFflsJrzVowBnVhxQ4OeZjluGuIuZ6PcNupz2vB5TFUJQqb4B+1SM7lKop4pyBdjZzk2O+75U2x6Q==" saltValue="IfreX5lvF1rBW3u0AnSAh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'Coût marchandises vendues'!B2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'Coût marchandises vendues'!B3</f>
        <v xml:space="preserve">États des résultats prévisionnels </v>
      </c>
      <c r="C3" s="943"/>
      <c r="AS3" s="899"/>
      <c r="AT3" s="370"/>
      <c r="AU3" s="370"/>
      <c r="AV3" s="370"/>
      <c r="AW3" s="370"/>
      <c r="AX3" s="370"/>
      <c r="AY3" s="370"/>
      <c r="AZ3" s="370"/>
      <c r="BA3" s="370"/>
      <c r="BB3" s="370"/>
      <c r="BC3" s="902"/>
    </row>
    <row r="4" spans="2:56" ht="20" customHeight="1" thickBot="1" x14ac:dyDescent="0.3">
      <c r="B4" s="944" t="str">
        <f>'Coût marchandises vendues'!B4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51" t="str">
        <f>'État des Résultats'!C6</f>
        <v>Nb de places</v>
      </c>
      <c r="C6" s="952"/>
      <c r="E6" s="693" t="str">
        <f>'Coût d''occupation '!E6</f>
        <v>Coût / place / jour</v>
      </c>
      <c r="F6" s="694">
        <f>+E24/$B$7/31</f>
        <v>7.0322580645161295E-2</v>
      </c>
      <c r="G6" s="170"/>
      <c r="H6" s="693" t="str">
        <f>+E6</f>
        <v>Coût / place / jour</v>
      </c>
      <c r="I6" s="694">
        <f>+H24/$B$7/28</f>
        <v>7.7857142857142861E-2</v>
      </c>
      <c r="J6" s="170"/>
      <c r="K6" s="693" t="str">
        <f>+H6</f>
        <v>Coût / place / jour</v>
      </c>
      <c r="L6" s="694">
        <f>+K24/$B$7/31</f>
        <v>7.0322580645161295E-2</v>
      </c>
      <c r="M6" s="170"/>
      <c r="N6" s="693" t="str">
        <f>+K6</f>
        <v>Coût / place / jour</v>
      </c>
      <c r="O6" s="694">
        <f>+N24/$B$7/30</f>
        <v>7.2666666666666671E-2</v>
      </c>
      <c r="P6" s="436"/>
      <c r="Q6" s="693" t="str">
        <f>+N6</f>
        <v>Coût / place / jour</v>
      </c>
      <c r="R6" s="694">
        <f>+Q24/$B$7/31</f>
        <v>7.0322580645161295E-2</v>
      </c>
      <c r="S6" s="436"/>
      <c r="T6" s="693" t="str">
        <f>+Q6</f>
        <v>Coût / place / jour</v>
      </c>
      <c r="U6" s="694">
        <f>+T24/$B$7/30</f>
        <v>7.2666666666666671E-2</v>
      </c>
      <c r="V6" s="170"/>
      <c r="W6" s="693" t="str">
        <f>+T6</f>
        <v>Coût / place / jour</v>
      </c>
      <c r="X6" s="694">
        <f>+W24/$B$7/31</f>
        <v>7.0322580645161295E-2</v>
      </c>
      <c r="Y6" s="170"/>
      <c r="Z6" s="693" t="str">
        <f>+W6</f>
        <v>Coût / place / jour</v>
      </c>
      <c r="AA6" s="694">
        <f>+Z24/$B$7/31</f>
        <v>7.0322580645161295E-2</v>
      </c>
      <c r="AB6" s="170"/>
      <c r="AC6" s="693" t="str">
        <f>+Z6</f>
        <v>Coût / place / jour</v>
      </c>
      <c r="AD6" s="694">
        <f>+AC24/$B$7/30</f>
        <v>7.2666666666666671E-2</v>
      </c>
      <c r="AE6" s="170"/>
      <c r="AF6" s="693" t="str">
        <f>+AC6</f>
        <v>Coût / place / jour</v>
      </c>
      <c r="AG6" s="694">
        <f>+AF24/$B$7/31</f>
        <v>7.0322580645161295E-2</v>
      </c>
      <c r="AH6" s="170"/>
      <c r="AI6" s="693" t="str">
        <f>+AF6</f>
        <v>Coût / place / jour</v>
      </c>
      <c r="AJ6" s="694">
        <f>+AI24/$B$7/30</f>
        <v>7.2666666666666671E-2</v>
      </c>
      <c r="AK6" s="170"/>
      <c r="AL6" s="693" t="str">
        <f>+AI6</f>
        <v>Coût / place / jour</v>
      </c>
      <c r="AM6" s="694">
        <f>+AL24/$B$7/31</f>
        <v>7.0322580645161295E-2</v>
      </c>
      <c r="AN6" s="170"/>
      <c r="AO6" s="170"/>
      <c r="AP6" s="695" t="str">
        <f>+AL6</f>
        <v>Coût / place / jour</v>
      </c>
      <c r="AQ6" s="696">
        <f>+AP24/$B$7/365</f>
        <v>7.1671232876712329E-2</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53">
        <f>'État des Résultats'!C7</f>
        <v>50</v>
      </c>
      <c r="C7" s="954"/>
      <c r="E7" s="438">
        <f>+E24/$AP24</f>
        <v>8.3333333333333329E-2</v>
      </c>
      <c r="F7" s="697"/>
      <c r="H7" s="438">
        <f>+H24/$AP24</f>
        <v>8.3333333333333329E-2</v>
      </c>
      <c r="I7" s="697"/>
      <c r="K7" s="438">
        <f>+K24/$AP24</f>
        <v>8.3333333333333329E-2</v>
      </c>
      <c r="L7" s="439"/>
      <c r="N7" s="438">
        <f>+N24/$AP24</f>
        <v>8.3333333333333329E-2</v>
      </c>
      <c r="O7" s="439"/>
      <c r="P7" s="698"/>
      <c r="Q7" s="438">
        <f>+Q24/$AP24</f>
        <v>8.3333333333333329E-2</v>
      </c>
      <c r="R7" s="439"/>
      <c r="S7" s="698"/>
      <c r="T7" s="438">
        <f>+T24/$AP24</f>
        <v>8.3333333333333329E-2</v>
      </c>
      <c r="U7" s="439"/>
      <c r="W7" s="438">
        <f>+W24/$AP24</f>
        <v>8.3333333333333329E-2</v>
      </c>
      <c r="X7" s="439"/>
      <c r="Z7" s="438">
        <f>+Z24/$AP24</f>
        <v>8.3333333333333329E-2</v>
      </c>
      <c r="AA7" s="439"/>
      <c r="AC7" s="438">
        <f>+AC24/$AP24</f>
        <v>8.3333333333333329E-2</v>
      </c>
      <c r="AD7" s="439"/>
      <c r="AF7" s="438">
        <f>+AF24/$AP24</f>
        <v>8.3333333333333329E-2</v>
      </c>
      <c r="AG7" s="439"/>
      <c r="AI7" s="438">
        <f>+AI24/$AP24</f>
        <v>8.3333333333333329E-2</v>
      </c>
      <c r="AJ7" s="439"/>
      <c r="AL7" s="438">
        <f>+AL24/$AP24</f>
        <v>8.3333333333333329E-2</v>
      </c>
      <c r="AM7" s="439"/>
      <c r="AP7" s="699">
        <f>+AP24/$AP24</f>
        <v>1</v>
      </c>
      <c r="AQ7" s="700" t="s">
        <v>137</v>
      </c>
      <c r="AS7" s="899"/>
      <c r="AT7" s="684">
        <f>AP24</f>
        <v>1308</v>
      </c>
      <c r="AU7" s="371" t="s">
        <v>44</v>
      </c>
      <c r="AV7" s="685">
        <f>'Formule pour le calcul D'!G114</f>
        <v>22875</v>
      </c>
      <c r="AW7" s="371" t="s">
        <v>45</v>
      </c>
      <c r="AX7" s="371" t="s">
        <v>46</v>
      </c>
      <c r="AY7" s="686">
        <f>'Formule pour le calcul D'!J106</f>
        <v>2.2200000000000002</v>
      </c>
      <c r="AZ7" s="371" t="s">
        <v>45</v>
      </c>
      <c r="BA7" s="687">
        <f>AT7/AV7/AY7</f>
        <v>2.5756904445429035E-2</v>
      </c>
      <c r="BB7" s="371" t="s">
        <v>49</v>
      </c>
      <c r="BC7" s="902"/>
    </row>
    <row r="8" spans="2:56" ht="17" thickBot="1" x14ac:dyDescent="0.25">
      <c r="B8" s="955" t="s">
        <v>286</v>
      </c>
      <c r="C8" s="954"/>
      <c r="E8" s="702" t="str">
        <f>'État des Résultats'!E8</f>
        <v>Pér.01</v>
      </c>
      <c r="F8" s="701" t="s">
        <v>139</v>
      </c>
      <c r="G8" s="385"/>
      <c r="H8" s="702" t="str">
        <f>'État des Résultats'!H8</f>
        <v>Pér.02</v>
      </c>
      <c r="I8" s="701" t="s">
        <v>139</v>
      </c>
      <c r="J8" s="385"/>
      <c r="K8" s="702" t="str">
        <f>'État des Résultats'!K8</f>
        <v>Pér.03</v>
      </c>
      <c r="L8" s="701" t="s">
        <v>139</v>
      </c>
      <c r="M8" s="385"/>
      <c r="N8" s="702" t="str">
        <f>'État des Résultats'!N8</f>
        <v>Pér.04</v>
      </c>
      <c r="O8" s="701" t="s">
        <v>139</v>
      </c>
      <c r="P8" s="440"/>
      <c r="Q8" s="702" t="str">
        <f>'État des Résultats'!Q8</f>
        <v>Pér.05</v>
      </c>
      <c r="R8" s="701" t="s">
        <v>139</v>
      </c>
      <c r="S8" s="440"/>
      <c r="T8" s="702" t="str">
        <f>'État des Résultats'!T8</f>
        <v>Pér.06</v>
      </c>
      <c r="U8" s="701" t="s">
        <v>139</v>
      </c>
      <c r="V8" s="385"/>
      <c r="W8" s="702" t="str">
        <f>'État des Résultats'!W8</f>
        <v>Pér.07</v>
      </c>
      <c r="X8" s="701" t="s">
        <v>139</v>
      </c>
      <c r="Y8" s="385"/>
      <c r="Z8" s="702" t="str">
        <f>'État des Résultats'!Z8</f>
        <v>Pér.08</v>
      </c>
      <c r="AA8" s="701" t="s">
        <v>139</v>
      </c>
      <c r="AB8" s="385"/>
      <c r="AC8" s="702" t="str">
        <f>'État des Résultats'!AC8</f>
        <v>Pér.09</v>
      </c>
      <c r="AD8" s="701" t="s">
        <v>139</v>
      </c>
      <c r="AE8" s="385"/>
      <c r="AF8" s="702" t="str">
        <f>'État des Résultats'!AF8</f>
        <v>Pér.10</v>
      </c>
      <c r="AG8" s="701" t="s">
        <v>139</v>
      </c>
      <c r="AH8" s="385"/>
      <c r="AI8" s="702" t="str">
        <f>'État des Résultats'!AI8</f>
        <v>Pér.11</v>
      </c>
      <c r="AJ8" s="701" t="s">
        <v>139</v>
      </c>
      <c r="AK8" s="385"/>
      <c r="AL8" s="702" t="str">
        <f>'État des Résultats'!AL8</f>
        <v>Pér.12</v>
      </c>
      <c r="AM8" s="701" t="s">
        <v>139</v>
      </c>
      <c r="AN8" s="703" t="s">
        <v>2</v>
      </c>
      <c r="AO8" s="385"/>
      <c r="AP8" s="704" t="str">
        <f>'État des Résultats'!AP8</f>
        <v>Total</v>
      </c>
      <c r="AQ8" s="701" t="s">
        <v>139</v>
      </c>
      <c r="AS8" s="900"/>
      <c r="AT8" s="376"/>
      <c r="AU8" s="376"/>
      <c r="AV8" s="376"/>
      <c r="AW8" s="376"/>
      <c r="AX8" s="376"/>
      <c r="AY8" s="376"/>
      <c r="AZ8" s="376"/>
      <c r="BA8" s="376"/>
      <c r="BB8" s="376"/>
      <c r="BC8" s="903"/>
    </row>
    <row r="9" spans="2:56" ht="15" thickTop="1" thickBot="1" x14ac:dyDescent="0.2">
      <c r="B9" s="949">
        <f>AP24/$B$7</f>
        <v>26.16</v>
      </c>
      <c r="C9" s="950"/>
      <c r="E9" s="752" t="s">
        <v>287</v>
      </c>
      <c r="F9" s="753"/>
      <c r="G9" s="754"/>
      <c r="H9" s="755" t="s">
        <v>288</v>
      </c>
      <c r="I9" s="756"/>
      <c r="J9" s="757"/>
      <c r="K9" s="755" t="s">
        <v>289</v>
      </c>
      <c r="L9" s="756"/>
      <c r="M9" s="757"/>
      <c r="N9" s="752" t="s">
        <v>290</v>
      </c>
      <c r="O9" s="758"/>
      <c r="P9" s="759"/>
      <c r="Q9" s="752" t="s">
        <v>291</v>
      </c>
      <c r="R9" s="758"/>
      <c r="S9" s="759"/>
      <c r="T9" s="755" t="s">
        <v>292</v>
      </c>
      <c r="U9" s="756"/>
      <c r="V9" s="757"/>
      <c r="W9" s="755" t="s">
        <v>293</v>
      </c>
      <c r="X9" s="756"/>
      <c r="Y9" s="757"/>
      <c r="Z9" s="755" t="s">
        <v>294</v>
      </c>
      <c r="AA9" s="756"/>
      <c r="AB9" s="757"/>
      <c r="AC9" s="755" t="s">
        <v>295</v>
      </c>
      <c r="AD9" s="756"/>
      <c r="AE9" s="757"/>
      <c r="AF9" s="755" t="s">
        <v>296</v>
      </c>
      <c r="AG9" s="756"/>
      <c r="AH9" s="757"/>
      <c r="AI9" s="755" t="s">
        <v>297</v>
      </c>
      <c r="AJ9" s="756"/>
      <c r="AK9" s="757"/>
      <c r="AL9" s="755" t="s">
        <v>298</v>
      </c>
      <c r="AM9" s="756"/>
      <c r="AN9" s="757"/>
      <c r="AO9" s="757"/>
      <c r="AP9" s="760" t="s">
        <v>299</v>
      </c>
      <c r="AQ9" s="761"/>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4" t="s">
        <v>300</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7505</v>
      </c>
      <c r="C13" s="394" t="s">
        <v>301</v>
      </c>
      <c r="E13" s="710">
        <v>1</v>
      </c>
      <c r="F13" s="711">
        <f t="shared" ref="F13:F22" si="0">E13/E$24</f>
        <v>9.1743119266055051E-3</v>
      </c>
      <c r="H13" s="763">
        <v>1</v>
      </c>
      <c r="I13" s="711">
        <f t="shared" ref="I13:I22" si="1">H13/H$24</f>
        <v>9.1743119266055051E-3</v>
      </c>
      <c r="K13" s="763">
        <v>1</v>
      </c>
      <c r="L13" s="711">
        <f t="shared" ref="L13:L22" si="2">K13/K$24</f>
        <v>9.1743119266055051E-3</v>
      </c>
      <c r="N13" s="763">
        <v>1</v>
      </c>
      <c r="O13" s="711">
        <f t="shared" ref="O13:O22" si="3">N13/N$24</f>
        <v>9.1743119266055051E-3</v>
      </c>
      <c r="Q13" s="763">
        <v>1</v>
      </c>
      <c r="R13" s="711">
        <f t="shared" ref="R13:R22" si="4">Q13/Q$24</f>
        <v>9.1743119266055051E-3</v>
      </c>
      <c r="T13" s="763">
        <v>1</v>
      </c>
      <c r="U13" s="711">
        <f t="shared" ref="U13:U22" si="5">T13/T$24</f>
        <v>9.1743119266055051E-3</v>
      </c>
      <c r="W13" s="763">
        <v>1</v>
      </c>
      <c r="X13" s="711">
        <f t="shared" ref="X13:X22" si="6">W13/W$24</f>
        <v>9.1743119266055051E-3</v>
      </c>
      <c r="Z13" s="763">
        <v>1</v>
      </c>
      <c r="AA13" s="711">
        <f t="shared" ref="AA13:AA22" si="7">Z13/Z$24</f>
        <v>9.1743119266055051E-3</v>
      </c>
      <c r="AC13" s="763">
        <v>1</v>
      </c>
      <c r="AD13" s="711">
        <f t="shared" ref="AD13:AD22" si="8">AC13/AC$24</f>
        <v>9.1743119266055051E-3</v>
      </c>
      <c r="AF13" s="763">
        <v>1</v>
      </c>
      <c r="AG13" s="711">
        <f t="shared" ref="AG13:AG22" si="9">AF13/AF$24</f>
        <v>9.1743119266055051E-3</v>
      </c>
      <c r="AI13" s="763">
        <v>1</v>
      </c>
      <c r="AJ13" s="711">
        <f t="shared" ref="AJ13:AJ22" si="10">AI13/AI$24</f>
        <v>9.1743119266055051E-3</v>
      </c>
      <c r="AL13" s="763">
        <v>1</v>
      </c>
      <c r="AM13" s="711">
        <f t="shared" ref="AM13:AM22" si="11">AL13/AL$24</f>
        <v>9.1743119266055051E-3</v>
      </c>
      <c r="AP13" s="712">
        <f>SUM(+$AL13+$AI13+$AF13+$AC13+$Z13+$W13+$T13+$Q13+$N13+$K13+$H13+$E13)</f>
        <v>12</v>
      </c>
      <c r="AQ13" s="713">
        <f t="shared" ref="AQ13:AQ22" si="12">AP13/AP$24</f>
        <v>9.1743119266055051E-3</v>
      </c>
    </row>
    <row r="14" spans="2:56" x14ac:dyDescent="0.15">
      <c r="B14" s="709">
        <v>7510</v>
      </c>
      <c r="C14" s="394" t="s">
        <v>302</v>
      </c>
      <c r="E14" s="714">
        <v>1</v>
      </c>
      <c r="F14" s="715">
        <f t="shared" si="0"/>
        <v>9.1743119266055051E-3</v>
      </c>
      <c r="H14" s="764">
        <v>1</v>
      </c>
      <c r="I14" s="715">
        <f t="shared" si="1"/>
        <v>9.1743119266055051E-3</v>
      </c>
      <c r="K14" s="764">
        <v>1</v>
      </c>
      <c r="L14" s="715">
        <f t="shared" si="2"/>
        <v>9.1743119266055051E-3</v>
      </c>
      <c r="N14" s="764">
        <v>1</v>
      </c>
      <c r="O14" s="715">
        <f t="shared" si="3"/>
        <v>9.1743119266055051E-3</v>
      </c>
      <c r="Q14" s="764">
        <v>1</v>
      </c>
      <c r="R14" s="715">
        <f t="shared" si="4"/>
        <v>9.1743119266055051E-3</v>
      </c>
      <c r="T14" s="764">
        <v>1</v>
      </c>
      <c r="U14" s="715">
        <f t="shared" si="5"/>
        <v>9.1743119266055051E-3</v>
      </c>
      <c r="W14" s="764">
        <v>1</v>
      </c>
      <c r="X14" s="715">
        <f t="shared" si="6"/>
        <v>9.1743119266055051E-3</v>
      </c>
      <c r="Z14" s="764">
        <v>1</v>
      </c>
      <c r="AA14" s="715">
        <f t="shared" si="7"/>
        <v>9.1743119266055051E-3</v>
      </c>
      <c r="AC14" s="764">
        <v>1</v>
      </c>
      <c r="AD14" s="715">
        <f t="shared" si="8"/>
        <v>9.1743119266055051E-3</v>
      </c>
      <c r="AF14" s="764">
        <v>1</v>
      </c>
      <c r="AG14" s="715">
        <f t="shared" si="9"/>
        <v>9.1743119266055051E-3</v>
      </c>
      <c r="AI14" s="764">
        <v>1</v>
      </c>
      <c r="AJ14" s="715">
        <f t="shared" si="10"/>
        <v>9.1743119266055051E-3</v>
      </c>
      <c r="AL14" s="764">
        <v>1</v>
      </c>
      <c r="AM14" s="715">
        <f t="shared" si="11"/>
        <v>9.1743119266055051E-3</v>
      </c>
      <c r="AP14" s="712">
        <f>SUM(+$AL14+$AI14+$AF14+$AC14+$Z14+$W14+$T14+$Q14+$N14+$K14+$H14+$E14)</f>
        <v>12</v>
      </c>
      <c r="AQ14" s="765">
        <f t="shared" si="12"/>
        <v>9.1743119266055051E-3</v>
      </c>
    </row>
    <row r="15" spans="2:56" x14ac:dyDescent="0.15">
      <c r="B15" s="709">
        <v>7520</v>
      </c>
      <c r="C15" s="394" t="s">
        <v>303</v>
      </c>
      <c r="E15" s="710">
        <v>100</v>
      </c>
      <c r="F15" s="715">
        <f t="shared" si="0"/>
        <v>0.91743119266055051</v>
      </c>
      <c r="G15" s="716" t="s">
        <v>2</v>
      </c>
      <c r="H15" s="763">
        <v>100</v>
      </c>
      <c r="I15" s="715">
        <f t="shared" si="1"/>
        <v>0.91743119266055051</v>
      </c>
      <c r="K15" s="763">
        <v>100</v>
      </c>
      <c r="L15" s="715">
        <f t="shared" si="2"/>
        <v>0.91743119266055051</v>
      </c>
      <c r="N15" s="763">
        <v>100</v>
      </c>
      <c r="O15" s="715">
        <f t="shared" si="3"/>
        <v>0.91743119266055051</v>
      </c>
      <c r="Q15" s="763">
        <v>100</v>
      </c>
      <c r="R15" s="715">
        <f t="shared" si="4"/>
        <v>0.91743119266055051</v>
      </c>
      <c r="T15" s="763">
        <v>100</v>
      </c>
      <c r="U15" s="715">
        <f t="shared" si="5"/>
        <v>0.91743119266055051</v>
      </c>
      <c r="W15" s="763">
        <v>100</v>
      </c>
      <c r="X15" s="715">
        <f t="shared" si="6"/>
        <v>0.91743119266055051</v>
      </c>
      <c r="Z15" s="763">
        <v>100</v>
      </c>
      <c r="AA15" s="715">
        <f t="shared" si="7"/>
        <v>0.91743119266055051</v>
      </c>
      <c r="AC15" s="763">
        <v>100</v>
      </c>
      <c r="AD15" s="715">
        <f t="shared" si="8"/>
        <v>0.91743119266055051</v>
      </c>
      <c r="AF15" s="763">
        <v>100</v>
      </c>
      <c r="AG15" s="715">
        <f t="shared" si="9"/>
        <v>0.91743119266055051</v>
      </c>
      <c r="AI15" s="763">
        <v>100</v>
      </c>
      <c r="AJ15" s="715">
        <f t="shared" si="10"/>
        <v>0.91743119266055051</v>
      </c>
      <c r="AL15" s="763">
        <v>100</v>
      </c>
      <c r="AM15" s="715">
        <f t="shared" si="11"/>
        <v>0.91743119266055051</v>
      </c>
      <c r="AP15" s="712">
        <f t="shared" ref="AP15:AP22" si="13">SUM(+$AL15+$AI15+$AF15+$AC15+$Z15+$W15+$T15+$Q15+$N15+$K15+$H15+$E15)</f>
        <v>1200</v>
      </c>
      <c r="AQ15" s="765">
        <f t="shared" si="12"/>
        <v>0.91743119266055051</v>
      </c>
    </row>
    <row r="16" spans="2:56" x14ac:dyDescent="0.15">
      <c r="B16" s="709">
        <v>7525</v>
      </c>
      <c r="C16" s="394" t="s">
        <v>304</v>
      </c>
      <c r="E16" s="710">
        <v>1</v>
      </c>
      <c r="F16" s="715">
        <f t="shared" si="0"/>
        <v>9.1743119266055051E-3</v>
      </c>
      <c r="H16" s="763">
        <v>1</v>
      </c>
      <c r="I16" s="715">
        <f t="shared" si="1"/>
        <v>9.1743119266055051E-3</v>
      </c>
      <c r="K16" s="763">
        <v>1</v>
      </c>
      <c r="L16" s="715">
        <f t="shared" si="2"/>
        <v>9.1743119266055051E-3</v>
      </c>
      <c r="N16" s="763">
        <v>1</v>
      </c>
      <c r="O16" s="715">
        <f t="shared" si="3"/>
        <v>9.1743119266055051E-3</v>
      </c>
      <c r="Q16" s="763">
        <v>1</v>
      </c>
      <c r="R16" s="715">
        <f t="shared" si="4"/>
        <v>9.1743119266055051E-3</v>
      </c>
      <c r="T16" s="763">
        <v>1</v>
      </c>
      <c r="U16" s="715">
        <f t="shared" si="5"/>
        <v>9.1743119266055051E-3</v>
      </c>
      <c r="W16" s="763">
        <v>1</v>
      </c>
      <c r="X16" s="715">
        <f t="shared" si="6"/>
        <v>9.1743119266055051E-3</v>
      </c>
      <c r="Z16" s="763">
        <v>1</v>
      </c>
      <c r="AA16" s="715">
        <f t="shared" si="7"/>
        <v>9.1743119266055051E-3</v>
      </c>
      <c r="AC16" s="763">
        <v>1</v>
      </c>
      <c r="AD16" s="715">
        <f t="shared" si="8"/>
        <v>9.1743119266055051E-3</v>
      </c>
      <c r="AF16" s="763">
        <v>1</v>
      </c>
      <c r="AG16" s="715">
        <f t="shared" si="9"/>
        <v>9.1743119266055051E-3</v>
      </c>
      <c r="AI16" s="763">
        <v>1</v>
      </c>
      <c r="AJ16" s="715">
        <f t="shared" si="10"/>
        <v>9.1743119266055051E-3</v>
      </c>
      <c r="AL16" s="763">
        <v>1</v>
      </c>
      <c r="AM16" s="715">
        <f t="shared" si="11"/>
        <v>9.1743119266055051E-3</v>
      </c>
      <c r="AP16" s="712">
        <f t="shared" si="13"/>
        <v>12</v>
      </c>
      <c r="AQ16" s="765">
        <f t="shared" si="12"/>
        <v>9.1743119266055051E-3</v>
      </c>
    </row>
    <row r="17" spans="2:69" x14ac:dyDescent="0.15">
      <c r="B17" s="709">
        <v>7530</v>
      </c>
      <c r="C17" s="394" t="s">
        <v>305</v>
      </c>
      <c r="E17" s="710">
        <v>1</v>
      </c>
      <c r="F17" s="715">
        <f t="shared" si="0"/>
        <v>9.1743119266055051E-3</v>
      </c>
      <c r="H17" s="763">
        <v>1</v>
      </c>
      <c r="I17" s="715">
        <f t="shared" si="1"/>
        <v>9.1743119266055051E-3</v>
      </c>
      <c r="K17" s="763">
        <v>1</v>
      </c>
      <c r="L17" s="715">
        <f t="shared" si="2"/>
        <v>9.1743119266055051E-3</v>
      </c>
      <c r="N17" s="763">
        <v>1</v>
      </c>
      <c r="O17" s="715">
        <f t="shared" si="3"/>
        <v>9.1743119266055051E-3</v>
      </c>
      <c r="Q17" s="763">
        <v>1</v>
      </c>
      <c r="R17" s="715">
        <f t="shared" si="4"/>
        <v>9.1743119266055051E-3</v>
      </c>
      <c r="T17" s="763">
        <v>1</v>
      </c>
      <c r="U17" s="715">
        <f t="shared" si="5"/>
        <v>9.1743119266055051E-3</v>
      </c>
      <c r="W17" s="763">
        <v>1</v>
      </c>
      <c r="X17" s="715">
        <f t="shared" si="6"/>
        <v>9.1743119266055051E-3</v>
      </c>
      <c r="Z17" s="763">
        <v>1</v>
      </c>
      <c r="AA17" s="715">
        <f t="shared" si="7"/>
        <v>9.1743119266055051E-3</v>
      </c>
      <c r="AC17" s="763">
        <v>1</v>
      </c>
      <c r="AD17" s="715">
        <f t="shared" si="8"/>
        <v>9.1743119266055051E-3</v>
      </c>
      <c r="AF17" s="763">
        <v>1</v>
      </c>
      <c r="AG17" s="715">
        <f t="shared" si="9"/>
        <v>9.1743119266055051E-3</v>
      </c>
      <c r="AI17" s="763">
        <v>1</v>
      </c>
      <c r="AJ17" s="715">
        <f t="shared" si="10"/>
        <v>9.1743119266055051E-3</v>
      </c>
      <c r="AL17" s="763">
        <v>1</v>
      </c>
      <c r="AM17" s="715">
        <f t="shared" si="11"/>
        <v>9.1743119266055051E-3</v>
      </c>
      <c r="AP17" s="712">
        <f t="shared" si="13"/>
        <v>12</v>
      </c>
      <c r="AQ17" s="765">
        <f t="shared" si="12"/>
        <v>9.1743119266055051E-3</v>
      </c>
    </row>
    <row r="18" spans="2:69" x14ac:dyDescent="0.15">
      <c r="B18" s="709">
        <v>7535</v>
      </c>
      <c r="C18" s="394" t="s">
        <v>306</v>
      </c>
      <c r="E18" s="710">
        <v>1</v>
      </c>
      <c r="F18" s="715">
        <f t="shared" si="0"/>
        <v>9.1743119266055051E-3</v>
      </c>
      <c r="H18" s="763">
        <v>1</v>
      </c>
      <c r="I18" s="715">
        <f t="shared" si="1"/>
        <v>9.1743119266055051E-3</v>
      </c>
      <c r="K18" s="763">
        <v>1</v>
      </c>
      <c r="L18" s="715">
        <f t="shared" si="2"/>
        <v>9.1743119266055051E-3</v>
      </c>
      <c r="N18" s="763">
        <v>1</v>
      </c>
      <c r="O18" s="715">
        <f t="shared" si="3"/>
        <v>9.1743119266055051E-3</v>
      </c>
      <c r="Q18" s="763">
        <v>1</v>
      </c>
      <c r="R18" s="715">
        <f t="shared" si="4"/>
        <v>9.1743119266055051E-3</v>
      </c>
      <c r="T18" s="763">
        <v>1</v>
      </c>
      <c r="U18" s="715">
        <f t="shared" si="5"/>
        <v>9.1743119266055051E-3</v>
      </c>
      <c r="W18" s="763">
        <v>1</v>
      </c>
      <c r="X18" s="715">
        <f t="shared" si="6"/>
        <v>9.1743119266055051E-3</v>
      </c>
      <c r="Z18" s="763">
        <v>1</v>
      </c>
      <c r="AA18" s="715">
        <f t="shared" si="7"/>
        <v>9.1743119266055051E-3</v>
      </c>
      <c r="AC18" s="763">
        <v>1</v>
      </c>
      <c r="AD18" s="715">
        <f t="shared" si="8"/>
        <v>9.1743119266055051E-3</v>
      </c>
      <c r="AF18" s="763">
        <v>1</v>
      </c>
      <c r="AG18" s="715">
        <f t="shared" si="9"/>
        <v>9.1743119266055051E-3</v>
      </c>
      <c r="AI18" s="763">
        <v>1</v>
      </c>
      <c r="AJ18" s="715">
        <f t="shared" si="10"/>
        <v>9.1743119266055051E-3</v>
      </c>
      <c r="AL18" s="763">
        <v>1</v>
      </c>
      <c r="AM18" s="715">
        <f t="shared" si="11"/>
        <v>9.1743119266055051E-3</v>
      </c>
      <c r="AP18" s="712">
        <f t="shared" si="13"/>
        <v>12</v>
      </c>
      <c r="AQ18" s="765">
        <f t="shared" si="12"/>
        <v>9.1743119266055051E-3</v>
      </c>
      <c r="AS18" s="210"/>
    </row>
    <row r="19" spans="2:69" x14ac:dyDescent="0.15">
      <c r="B19" s="709">
        <v>7550</v>
      </c>
      <c r="C19" s="394" t="s">
        <v>307</v>
      </c>
      <c r="E19" s="710">
        <v>1</v>
      </c>
      <c r="F19" s="715">
        <f t="shared" si="0"/>
        <v>9.1743119266055051E-3</v>
      </c>
      <c r="H19" s="763">
        <v>1</v>
      </c>
      <c r="I19" s="715">
        <f t="shared" si="1"/>
        <v>9.1743119266055051E-3</v>
      </c>
      <c r="K19" s="763">
        <v>1</v>
      </c>
      <c r="L19" s="715">
        <f t="shared" si="2"/>
        <v>9.1743119266055051E-3</v>
      </c>
      <c r="N19" s="763">
        <v>1</v>
      </c>
      <c r="O19" s="715">
        <f t="shared" si="3"/>
        <v>9.1743119266055051E-3</v>
      </c>
      <c r="Q19" s="763">
        <v>1</v>
      </c>
      <c r="R19" s="715">
        <f t="shared" si="4"/>
        <v>9.1743119266055051E-3</v>
      </c>
      <c r="T19" s="763">
        <v>1</v>
      </c>
      <c r="U19" s="715">
        <f t="shared" si="5"/>
        <v>9.1743119266055051E-3</v>
      </c>
      <c r="W19" s="763">
        <v>1</v>
      </c>
      <c r="X19" s="715">
        <f t="shared" si="6"/>
        <v>9.1743119266055051E-3</v>
      </c>
      <c r="Z19" s="763">
        <v>1</v>
      </c>
      <c r="AA19" s="715">
        <f t="shared" si="7"/>
        <v>9.1743119266055051E-3</v>
      </c>
      <c r="AC19" s="763">
        <v>1</v>
      </c>
      <c r="AD19" s="715">
        <f t="shared" si="8"/>
        <v>9.1743119266055051E-3</v>
      </c>
      <c r="AF19" s="763">
        <v>1</v>
      </c>
      <c r="AG19" s="715">
        <f t="shared" si="9"/>
        <v>9.1743119266055051E-3</v>
      </c>
      <c r="AI19" s="763">
        <v>1</v>
      </c>
      <c r="AJ19" s="715">
        <f t="shared" si="10"/>
        <v>9.1743119266055051E-3</v>
      </c>
      <c r="AL19" s="763">
        <v>1</v>
      </c>
      <c r="AM19" s="715">
        <f t="shared" si="11"/>
        <v>9.1743119266055051E-3</v>
      </c>
      <c r="AP19" s="712">
        <f t="shared" si="13"/>
        <v>12</v>
      </c>
      <c r="AQ19" s="765">
        <f t="shared" si="12"/>
        <v>9.1743119266055051E-3</v>
      </c>
    </row>
    <row r="20" spans="2:69" x14ac:dyDescent="0.15">
      <c r="B20" s="709">
        <v>7555</v>
      </c>
      <c r="C20" s="394" t="s">
        <v>308</v>
      </c>
      <c r="E20" s="710">
        <v>1</v>
      </c>
      <c r="F20" s="715">
        <f t="shared" si="0"/>
        <v>9.1743119266055051E-3</v>
      </c>
      <c r="H20" s="763">
        <v>1</v>
      </c>
      <c r="I20" s="715">
        <f t="shared" si="1"/>
        <v>9.1743119266055051E-3</v>
      </c>
      <c r="K20" s="763">
        <v>1</v>
      </c>
      <c r="L20" s="715">
        <f t="shared" si="2"/>
        <v>9.1743119266055051E-3</v>
      </c>
      <c r="N20" s="763">
        <v>1</v>
      </c>
      <c r="O20" s="715">
        <f t="shared" si="3"/>
        <v>9.1743119266055051E-3</v>
      </c>
      <c r="Q20" s="763">
        <v>1</v>
      </c>
      <c r="R20" s="715">
        <f t="shared" si="4"/>
        <v>9.1743119266055051E-3</v>
      </c>
      <c r="T20" s="763">
        <v>1</v>
      </c>
      <c r="U20" s="715">
        <f t="shared" si="5"/>
        <v>9.1743119266055051E-3</v>
      </c>
      <c r="W20" s="763">
        <v>1</v>
      </c>
      <c r="X20" s="715">
        <f t="shared" si="6"/>
        <v>9.1743119266055051E-3</v>
      </c>
      <c r="Z20" s="763">
        <v>1</v>
      </c>
      <c r="AA20" s="715">
        <f t="shared" si="7"/>
        <v>9.1743119266055051E-3</v>
      </c>
      <c r="AC20" s="763">
        <v>1</v>
      </c>
      <c r="AD20" s="715">
        <f t="shared" si="8"/>
        <v>9.1743119266055051E-3</v>
      </c>
      <c r="AF20" s="763">
        <v>1</v>
      </c>
      <c r="AG20" s="715">
        <f t="shared" si="9"/>
        <v>9.1743119266055051E-3</v>
      </c>
      <c r="AI20" s="763">
        <v>1</v>
      </c>
      <c r="AJ20" s="715">
        <f t="shared" si="10"/>
        <v>9.1743119266055051E-3</v>
      </c>
      <c r="AL20" s="763">
        <v>1</v>
      </c>
      <c r="AM20" s="715">
        <f t="shared" si="11"/>
        <v>9.1743119266055051E-3</v>
      </c>
      <c r="AP20" s="712">
        <f t="shared" si="13"/>
        <v>12</v>
      </c>
      <c r="AQ20" s="765">
        <f t="shared" si="12"/>
        <v>9.1743119266055051E-3</v>
      </c>
    </row>
    <row r="21" spans="2:69" x14ac:dyDescent="0.15">
      <c r="B21" s="709">
        <v>7560</v>
      </c>
      <c r="C21" s="394" t="s">
        <v>309</v>
      </c>
      <c r="E21" s="710">
        <v>1</v>
      </c>
      <c r="F21" s="715">
        <f t="shared" si="0"/>
        <v>9.1743119266055051E-3</v>
      </c>
      <c r="H21" s="763">
        <v>1</v>
      </c>
      <c r="I21" s="715">
        <f t="shared" si="1"/>
        <v>9.1743119266055051E-3</v>
      </c>
      <c r="K21" s="763">
        <v>1</v>
      </c>
      <c r="L21" s="715">
        <f t="shared" si="2"/>
        <v>9.1743119266055051E-3</v>
      </c>
      <c r="N21" s="763">
        <v>1</v>
      </c>
      <c r="O21" s="715">
        <f t="shared" si="3"/>
        <v>9.1743119266055051E-3</v>
      </c>
      <c r="Q21" s="763">
        <v>1</v>
      </c>
      <c r="R21" s="715">
        <f t="shared" si="4"/>
        <v>9.1743119266055051E-3</v>
      </c>
      <c r="T21" s="763">
        <v>1</v>
      </c>
      <c r="U21" s="715">
        <f t="shared" si="5"/>
        <v>9.1743119266055051E-3</v>
      </c>
      <c r="W21" s="763">
        <v>1</v>
      </c>
      <c r="X21" s="715">
        <f t="shared" si="6"/>
        <v>9.1743119266055051E-3</v>
      </c>
      <c r="Z21" s="763">
        <v>1</v>
      </c>
      <c r="AA21" s="715">
        <f t="shared" si="7"/>
        <v>9.1743119266055051E-3</v>
      </c>
      <c r="AC21" s="763">
        <v>1</v>
      </c>
      <c r="AD21" s="715">
        <f t="shared" si="8"/>
        <v>9.1743119266055051E-3</v>
      </c>
      <c r="AF21" s="763">
        <v>1</v>
      </c>
      <c r="AG21" s="715">
        <f t="shared" si="9"/>
        <v>9.1743119266055051E-3</v>
      </c>
      <c r="AI21" s="763">
        <v>1</v>
      </c>
      <c r="AJ21" s="715">
        <f t="shared" si="10"/>
        <v>9.1743119266055051E-3</v>
      </c>
      <c r="AL21" s="763">
        <v>1</v>
      </c>
      <c r="AM21" s="715">
        <f t="shared" si="11"/>
        <v>9.1743119266055051E-3</v>
      </c>
      <c r="AP21" s="712">
        <f t="shared" si="13"/>
        <v>12</v>
      </c>
      <c r="AQ21" s="765">
        <f t="shared" si="12"/>
        <v>9.1743119266055051E-3</v>
      </c>
    </row>
    <row r="22" spans="2:69" x14ac:dyDescent="0.15">
      <c r="B22" s="709">
        <v>7599</v>
      </c>
      <c r="C22" s="394" t="s">
        <v>310</v>
      </c>
      <c r="E22" s="710">
        <v>1</v>
      </c>
      <c r="F22" s="715">
        <f t="shared" si="0"/>
        <v>9.1743119266055051E-3</v>
      </c>
      <c r="H22" s="763">
        <v>1</v>
      </c>
      <c r="I22" s="715">
        <f t="shared" si="1"/>
        <v>9.1743119266055051E-3</v>
      </c>
      <c r="K22" s="763">
        <v>1</v>
      </c>
      <c r="L22" s="715">
        <f t="shared" si="2"/>
        <v>9.1743119266055051E-3</v>
      </c>
      <c r="N22" s="763">
        <v>1</v>
      </c>
      <c r="O22" s="715">
        <f t="shared" si="3"/>
        <v>9.1743119266055051E-3</v>
      </c>
      <c r="Q22" s="763">
        <v>1</v>
      </c>
      <c r="R22" s="715">
        <f t="shared" si="4"/>
        <v>9.1743119266055051E-3</v>
      </c>
      <c r="T22" s="763">
        <v>1</v>
      </c>
      <c r="U22" s="715">
        <f t="shared" si="5"/>
        <v>9.1743119266055051E-3</v>
      </c>
      <c r="W22" s="763">
        <v>1</v>
      </c>
      <c r="X22" s="715">
        <f t="shared" si="6"/>
        <v>9.1743119266055051E-3</v>
      </c>
      <c r="Z22" s="763">
        <v>1</v>
      </c>
      <c r="AA22" s="715">
        <f t="shared" si="7"/>
        <v>9.1743119266055051E-3</v>
      </c>
      <c r="AC22" s="763">
        <v>1</v>
      </c>
      <c r="AD22" s="715">
        <f t="shared" si="8"/>
        <v>9.1743119266055051E-3</v>
      </c>
      <c r="AF22" s="763">
        <v>1</v>
      </c>
      <c r="AG22" s="715">
        <f t="shared" si="9"/>
        <v>9.1743119266055051E-3</v>
      </c>
      <c r="AI22" s="763">
        <v>1</v>
      </c>
      <c r="AJ22" s="715">
        <f t="shared" si="10"/>
        <v>9.1743119266055051E-3</v>
      </c>
      <c r="AL22" s="763">
        <v>1</v>
      </c>
      <c r="AM22" s="715">
        <f t="shared" si="11"/>
        <v>9.1743119266055051E-3</v>
      </c>
      <c r="AP22" s="712">
        <f t="shared" si="13"/>
        <v>12</v>
      </c>
      <c r="AQ22" s="765">
        <f t="shared" si="12"/>
        <v>9.1743119266055051E-3</v>
      </c>
    </row>
    <row r="23" spans="2:69" ht="14" thickBot="1" x14ac:dyDescent="0.2">
      <c r="B23" s="709"/>
      <c r="C23" s="394"/>
      <c r="E23" s="710"/>
      <c r="F23" s="747"/>
      <c r="H23" s="763"/>
      <c r="I23" s="747"/>
      <c r="K23" s="763"/>
      <c r="L23" s="747"/>
      <c r="N23" s="763"/>
      <c r="O23" s="747"/>
      <c r="Q23" s="763"/>
      <c r="R23" s="747"/>
      <c r="T23" s="763"/>
      <c r="U23" s="747"/>
      <c r="W23" s="763"/>
      <c r="X23" s="747"/>
      <c r="Z23" s="763"/>
      <c r="AA23" s="747"/>
      <c r="AC23" s="763"/>
      <c r="AD23" s="747"/>
      <c r="AF23" s="763"/>
      <c r="AG23" s="747"/>
      <c r="AI23" s="763"/>
      <c r="AJ23" s="747"/>
      <c r="AL23" s="763"/>
      <c r="AM23" s="747"/>
      <c r="AP23" s="712"/>
      <c r="AQ23" s="748"/>
    </row>
    <row r="24" spans="2:69" ht="15" thickTop="1" thickBot="1" x14ac:dyDescent="0.2">
      <c r="B24" s="499">
        <v>7500</v>
      </c>
      <c r="C24" s="500" t="s">
        <v>311</v>
      </c>
      <c r="D24" s="214"/>
      <c r="E24" s="719">
        <f>SUM(E13:E23)</f>
        <v>109</v>
      </c>
      <c r="F24" s="720">
        <f>SUM(F13:F23)</f>
        <v>0.99999999999999978</v>
      </c>
      <c r="G24" s="214"/>
      <c r="H24" s="721">
        <f>SUM(H13:H23)</f>
        <v>109</v>
      </c>
      <c r="I24" s="720">
        <f>SUM(I13:I23)</f>
        <v>0.99999999999999978</v>
      </c>
      <c r="J24" s="214"/>
      <c r="K24" s="719">
        <f>SUM(K13:K23)</f>
        <v>109</v>
      </c>
      <c r="L24" s="720">
        <f>SUM(L13:L23)</f>
        <v>0.99999999999999978</v>
      </c>
      <c r="M24" s="214"/>
      <c r="N24" s="719">
        <f>SUM(N13:N23)</f>
        <v>109</v>
      </c>
      <c r="O24" s="720">
        <f>SUM(O13:O23)</f>
        <v>0.99999999999999978</v>
      </c>
      <c r="P24" s="214"/>
      <c r="Q24" s="719">
        <f>SUM(Q13:Q23)</f>
        <v>109</v>
      </c>
      <c r="R24" s="720">
        <f>SUM(R13:R23)</f>
        <v>0.99999999999999978</v>
      </c>
      <c r="S24" s="214"/>
      <c r="T24" s="719">
        <f>SUM(T13:T23)</f>
        <v>109</v>
      </c>
      <c r="U24" s="720">
        <f>SUM(U13:U23)</f>
        <v>0.99999999999999978</v>
      </c>
      <c r="V24" s="214"/>
      <c r="W24" s="719">
        <f>SUM(W13:W23)</f>
        <v>109</v>
      </c>
      <c r="X24" s="720">
        <f>SUM(X13:X23)</f>
        <v>0.99999999999999978</v>
      </c>
      <c r="Y24" s="214"/>
      <c r="Z24" s="719">
        <f>SUM(Z13:Z23)</f>
        <v>109</v>
      </c>
      <c r="AA24" s="720">
        <f>SUM(AA13:AA23)</f>
        <v>0.99999999999999978</v>
      </c>
      <c r="AB24" s="214"/>
      <c r="AC24" s="719">
        <f>SUM(AC13:AC23)</f>
        <v>109</v>
      </c>
      <c r="AD24" s="720">
        <f>SUM(AD13:AD23)</f>
        <v>0.99999999999999978</v>
      </c>
      <c r="AE24" s="214"/>
      <c r="AF24" s="719">
        <f>SUM(AF13:AF23)</f>
        <v>109</v>
      </c>
      <c r="AG24" s="720">
        <f>SUM(AG13:AG23)</f>
        <v>0.99999999999999978</v>
      </c>
      <c r="AH24" s="214"/>
      <c r="AI24" s="719">
        <f>SUM(AI13:AI23)</f>
        <v>109</v>
      </c>
      <c r="AJ24" s="720">
        <f>SUM(AJ13:AJ23)</f>
        <v>0.99999999999999978</v>
      </c>
      <c r="AK24" s="214"/>
      <c r="AL24" s="719">
        <f>SUM(AL13:AL23)</f>
        <v>109</v>
      </c>
      <c r="AM24" s="720">
        <f>SUM(AM13:AM23)</f>
        <v>0.99999999999999978</v>
      </c>
      <c r="AN24" s="214"/>
      <c r="AO24" s="214"/>
      <c r="AP24" s="719">
        <f>SUM(AP13:AP23)</f>
        <v>1308</v>
      </c>
      <c r="AQ24" s="720">
        <f>SUM(AQ13:AQ23)</f>
        <v>0.99999999999999978</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722"/>
    </row>
  </sheetData>
  <sheetProtection algorithmName="SHA-512" hashValue="aDjZ0LFh6waks7s3Yi2NYOn1cSwEU6Y1mHvNPQpHyfHm2hUlEW7zNxpU3k0NCQ6RAuRKSTWxNnXUKakj98gPFg==" saltValue="wgFi3K+353Y2/cMK8qAhdg=="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'Coût marchandises vendues'!B2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'Coût marchandises vendues'!B3</f>
        <v xml:space="preserve">États des résultats prévisionnels </v>
      </c>
      <c r="C3" s="943"/>
      <c r="AS3" s="899"/>
      <c r="AT3" s="370"/>
      <c r="AU3" s="370"/>
      <c r="AV3" s="370"/>
      <c r="AW3" s="370"/>
      <c r="AX3" s="370"/>
      <c r="AY3" s="370"/>
      <c r="AZ3" s="370"/>
      <c r="BA3" s="370"/>
      <c r="BB3" s="370"/>
      <c r="BC3" s="902"/>
    </row>
    <row r="4" spans="2:56" ht="20" customHeight="1" thickBot="1" x14ac:dyDescent="0.3">
      <c r="B4" s="944" t="str">
        <f>'Coût marchandises vendues'!B4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'Coût marchandises vendues'!B6</f>
        <v>Nb de places</v>
      </c>
      <c r="C6" s="946"/>
      <c r="E6" s="693" t="str">
        <f>'Coût marchandises vendues'!D6</f>
        <v>Coût / place / jour</v>
      </c>
      <c r="F6" s="694">
        <f>+E25/$B$7/'Calendrier 2021'!D8</f>
        <v>0.64516129032258063</v>
      </c>
      <c r="G6" s="170"/>
      <c r="H6" s="693" t="str">
        <f>+E6</f>
        <v>Coût / place / jour</v>
      </c>
      <c r="I6" s="694">
        <f>+H25/$B$7/'Calendrier 2021'!E8</f>
        <v>0.7142857142857143</v>
      </c>
      <c r="J6" s="170"/>
      <c r="K6" s="693" t="str">
        <f>+H6</f>
        <v>Coût / place / jour</v>
      </c>
      <c r="L6" s="694">
        <f>+K25/$B$7/'Calendrier 2021'!F8</f>
        <v>0.64516129032258063</v>
      </c>
      <c r="M6" s="170"/>
      <c r="N6" s="693" t="str">
        <f>+K6</f>
        <v>Coût / place / jour</v>
      </c>
      <c r="O6" s="694">
        <f>+N25/$B$7/'Calendrier 2021'!G8</f>
        <v>0.66666666666666663</v>
      </c>
      <c r="P6" s="436"/>
      <c r="Q6" s="693" t="str">
        <f>+N6</f>
        <v>Coût / place / jour</v>
      </c>
      <c r="R6" s="694">
        <f>+Q25/$B$7/'Calendrier 2021'!H8</f>
        <v>0.64516129032258063</v>
      </c>
      <c r="S6" s="436"/>
      <c r="T6" s="693" t="str">
        <f>+Q6</f>
        <v>Coût / place / jour</v>
      </c>
      <c r="U6" s="694">
        <f>+T25/$B$7/'Calendrier 2021'!I8</f>
        <v>0.66666666666666663</v>
      </c>
      <c r="V6" s="170"/>
      <c r="W6" s="693" t="str">
        <f>+T6</f>
        <v>Coût / place / jour</v>
      </c>
      <c r="X6" s="694">
        <f>+W25/$B$7/'Calendrier 2021'!J8</f>
        <v>0.64516129032258063</v>
      </c>
      <c r="Y6" s="170"/>
      <c r="Z6" s="693" t="str">
        <f>+W6</f>
        <v>Coût / place / jour</v>
      </c>
      <c r="AA6" s="694">
        <f>+Z25/$B$7/'Calendrier 2021'!K8</f>
        <v>0.64516129032258063</v>
      </c>
      <c r="AB6" s="170"/>
      <c r="AC6" s="693" t="str">
        <f>+Z6</f>
        <v>Coût / place / jour</v>
      </c>
      <c r="AD6" s="694">
        <f>+AC25/$B$7/'Calendrier 2021'!L8</f>
        <v>0.66666666666666663</v>
      </c>
      <c r="AE6" s="170"/>
      <c r="AF6" s="693" t="str">
        <f>+AC6</f>
        <v>Coût / place / jour</v>
      </c>
      <c r="AG6" s="694">
        <f>+AF25/$B$7/'Calendrier 2021'!M8</f>
        <v>0.64516129032258063</v>
      </c>
      <c r="AH6" s="170"/>
      <c r="AI6" s="693" t="str">
        <f>+AF6</f>
        <v>Coût / place / jour</v>
      </c>
      <c r="AJ6" s="694">
        <f>+AI25/$B$7/'Calendrier 2021'!N8</f>
        <v>0.66666666666666663</v>
      </c>
      <c r="AK6" s="170"/>
      <c r="AL6" s="693" t="str">
        <f>+AI6</f>
        <v>Coût / place / jour</v>
      </c>
      <c r="AM6" s="694">
        <f>+AL25/$B$7/'Calendrier 2021'!O8</f>
        <v>0.64516129032258063</v>
      </c>
      <c r="AN6" s="170"/>
      <c r="AO6" s="170"/>
      <c r="AP6" s="695" t="str">
        <f>+AL6</f>
        <v>Coût / place / jour</v>
      </c>
      <c r="AQ6" s="696">
        <f>+AP25/$B$7/'% Occupation'!P9</f>
        <v>0.65753424657534243</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20">
        <f>'État des Résultats'!C7</f>
        <v>50</v>
      </c>
      <c r="C7" s="947"/>
      <c r="E7" s="438">
        <f>+E25/$AP25</f>
        <v>8.3333333333333329E-2</v>
      </c>
      <c r="F7" s="697"/>
      <c r="H7" s="438">
        <f>+H25/$AP25</f>
        <v>8.3333333333333329E-2</v>
      </c>
      <c r="I7" s="697"/>
      <c r="K7" s="438">
        <f>+K25/$AP25</f>
        <v>8.3333333333333329E-2</v>
      </c>
      <c r="L7" s="439"/>
      <c r="N7" s="438">
        <f>+N25/$AP25</f>
        <v>8.3333333333333329E-2</v>
      </c>
      <c r="O7" s="439"/>
      <c r="P7" s="698"/>
      <c r="Q7" s="438">
        <f>+Q25/$AP25</f>
        <v>8.3333333333333329E-2</v>
      </c>
      <c r="R7" s="439"/>
      <c r="S7" s="698"/>
      <c r="T7" s="438">
        <f>+T25/$AP25</f>
        <v>8.3333333333333329E-2</v>
      </c>
      <c r="U7" s="439"/>
      <c r="W7" s="438">
        <f>+W25/$AP25</f>
        <v>8.3333333333333329E-2</v>
      </c>
      <c r="X7" s="439"/>
      <c r="Z7" s="438">
        <f>+Z25/$AP25</f>
        <v>8.3333333333333329E-2</v>
      </c>
      <c r="AA7" s="439"/>
      <c r="AC7" s="438">
        <f>+AC25/$AP25</f>
        <v>8.3333333333333329E-2</v>
      </c>
      <c r="AD7" s="439"/>
      <c r="AF7" s="438">
        <f>+AF25/$AP25</f>
        <v>8.3333333333333329E-2</v>
      </c>
      <c r="AG7" s="439"/>
      <c r="AI7" s="438">
        <f>+AI25/$AP25</f>
        <v>8.3333333333333329E-2</v>
      </c>
      <c r="AJ7" s="439"/>
      <c r="AL7" s="438">
        <f>+AL25/$AP25</f>
        <v>8.3333333333333329E-2</v>
      </c>
      <c r="AM7" s="439"/>
      <c r="AP7" s="699">
        <f>+AP25/$AP25</f>
        <v>1</v>
      </c>
      <c r="AQ7" s="700" t="s">
        <v>137</v>
      </c>
      <c r="AS7" s="899"/>
      <c r="AT7" s="684">
        <f>AP25</f>
        <v>12000</v>
      </c>
      <c r="AU7" s="371" t="s">
        <v>44</v>
      </c>
      <c r="AV7" s="685">
        <f>'Formule pour le calcul D'!G114</f>
        <v>22875</v>
      </c>
      <c r="AW7" s="371" t="s">
        <v>45</v>
      </c>
      <c r="AX7" s="371" t="s">
        <v>46</v>
      </c>
      <c r="AY7" s="686">
        <f>'Formule pour le calcul D'!J106</f>
        <v>2.2200000000000002</v>
      </c>
      <c r="AZ7" s="371" t="s">
        <v>45</v>
      </c>
      <c r="BA7" s="687">
        <f>AT7/AV7/AY7</f>
        <v>0.23630187564613794</v>
      </c>
      <c r="BB7" s="371" t="s">
        <v>49</v>
      </c>
      <c r="BC7" s="902"/>
    </row>
    <row r="8" spans="2:56" ht="17" thickBot="1" x14ac:dyDescent="0.25">
      <c r="B8" s="920" t="s">
        <v>325</v>
      </c>
      <c r="C8" s="947"/>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0"/>
      <c r="AT8" s="376"/>
      <c r="AU8" s="376"/>
      <c r="AV8" s="376"/>
      <c r="AW8" s="376"/>
      <c r="AX8" s="376"/>
      <c r="AY8" s="376"/>
      <c r="AZ8" s="376"/>
      <c r="BA8" s="376"/>
      <c r="BB8" s="376"/>
      <c r="BC8" s="903"/>
    </row>
    <row r="9" spans="2:56" ht="15" thickTop="1" thickBot="1" x14ac:dyDescent="0.2">
      <c r="B9" s="956">
        <f>AP25/$B$7</f>
        <v>240</v>
      </c>
      <c r="C9" s="957"/>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30"/>
      <c r="AS9" s="730"/>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4" t="s">
        <v>312</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66">
        <v>7610</v>
      </c>
      <c r="C13" s="767" t="s">
        <v>313</v>
      </c>
      <c r="E13" s="710">
        <v>1000</v>
      </c>
      <c r="F13" s="711">
        <f>E13/'État des Résultats'!$E$14</f>
        <v>2.6106150217398965E-2</v>
      </c>
      <c r="H13" s="710">
        <v>1000</v>
      </c>
      <c r="I13" s="711">
        <f>H13/'État des Résultats'!$E$14</f>
        <v>2.6106150217398965E-2</v>
      </c>
      <c r="K13" s="710">
        <v>1000</v>
      </c>
      <c r="L13" s="711">
        <f>K13/'État des Résultats'!$E$14</f>
        <v>2.6106150217398965E-2</v>
      </c>
      <c r="N13" s="710">
        <v>1000</v>
      </c>
      <c r="O13" s="711">
        <f>N13/'État des Résultats'!$E$14</f>
        <v>2.6106150217398965E-2</v>
      </c>
      <c r="Q13" s="710">
        <v>1000</v>
      </c>
      <c r="R13" s="711">
        <f>Q13/'État des Résultats'!$E$14</f>
        <v>2.6106150217398965E-2</v>
      </c>
      <c r="T13" s="710">
        <v>1000</v>
      </c>
      <c r="U13" s="711">
        <f>T13/'État des Résultats'!$E$14</f>
        <v>2.6106150217398965E-2</v>
      </c>
      <c r="W13" s="710">
        <v>1000</v>
      </c>
      <c r="X13" s="711">
        <f>W13/'État des Résultats'!$E$14</f>
        <v>2.6106150217398965E-2</v>
      </c>
      <c r="Z13" s="710">
        <v>1000</v>
      </c>
      <c r="AA13" s="711">
        <f>Z13/'État des Résultats'!$E$14</f>
        <v>2.6106150217398965E-2</v>
      </c>
      <c r="AC13" s="710">
        <v>1000</v>
      </c>
      <c r="AD13" s="711">
        <f>AC13/'État des Résultats'!$E$14</f>
        <v>2.6106150217398965E-2</v>
      </c>
      <c r="AF13" s="710">
        <v>1000</v>
      </c>
      <c r="AG13" s="711">
        <f>AF13/'État des Résultats'!$E$14</f>
        <v>2.6106150217398965E-2</v>
      </c>
      <c r="AI13" s="710">
        <v>1000</v>
      </c>
      <c r="AJ13" s="711">
        <f>AI13/'État des Résultats'!$E$14</f>
        <v>2.6106150217398965E-2</v>
      </c>
      <c r="AL13" s="710">
        <v>1000</v>
      </c>
      <c r="AM13" s="711">
        <f>AL13/'État des Résultats'!$E$14</f>
        <v>2.6106150217398965E-2</v>
      </c>
      <c r="AP13" s="712">
        <f>SUM(+$AL13+$AI13+$AF13+$AC13+$Z13+$W13+$T13+$Q13+$N13+$K13+$H13+$E13)</f>
        <v>12000</v>
      </c>
      <c r="AQ13" s="713">
        <f>AP13/'État des Résultats'!$AP$14</f>
        <v>2.1227295914475225E-2</v>
      </c>
    </row>
    <row r="14" spans="2:56" x14ac:dyDescent="0.15">
      <c r="B14" s="766">
        <v>7615</v>
      </c>
      <c r="C14" s="767" t="s">
        <v>314</v>
      </c>
      <c r="E14" s="710">
        <v>0</v>
      </c>
      <c r="F14" s="711">
        <f>E14/'État des Résultats'!$E$14</f>
        <v>0</v>
      </c>
      <c r="H14" s="710">
        <v>0</v>
      </c>
      <c r="I14" s="711">
        <f>H14/'État des Résultats'!$E$14</f>
        <v>0</v>
      </c>
      <c r="K14" s="710">
        <v>0</v>
      </c>
      <c r="L14" s="711">
        <f>K14/'État des Résultats'!$E$14</f>
        <v>0</v>
      </c>
      <c r="N14" s="710">
        <v>0</v>
      </c>
      <c r="O14" s="711">
        <f>N14/'État des Résultats'!$E$14</f>
        <v>0</v>
      </c>
      <c r="Q14" s="710">
        <v>0</v>
      </c>
      <c r="R14" s="711">
        <f>Q14/'État des Résultats'!$E$14</f>
        <v>0</v>
      </c>
      <c r="T14" s="710">
        <v>0</v>
      </c>
      <c r="U14" s="711">
        <f>T14/'État des Résultats'!$E$14</f>
        <v>0</v>
      </c>
      <c r="W14" s="710">
        <v>0</v>
      </c>
      <c r="X14" s="711">
        <f>W14/'État des Résultats'!$E$14</f>
        <v>0</v>
      </c>
      <c r="Z14" s="710">
        <v>0</v>
      </c>
      <c r="AA14" s="711">
        <f>Z14/'État des Résultats'!$E$14</f>
        <v>0</v>
      </c>
      <c r="AC14" s="710">
        <v>0</v>
      </c>
      <c r="AD14" s="711">
        <f>AC14/'État des Résultats'!$E$14</f>
        <v>0</v>
      </c>
      <c r="AF14" s="710">
        <v>0</v>
      </c>
      <c r="AG14" s="711">
        <f>AF14/'État des Résultats'!$E$14</f>
        <v>0</v>
      </c>
      <c r="AI14" s="710">
        <v>0</v>
      </c>
      <c r="AJ14" s="711">
        <f>AI14/'État des Résultats'!$E$14</f>
        <v>0</v>
      </c>
      <c r="AL14" s="710">
        <v>0</v>
      </c>
      <c r="AM14" s="711">
        <f>AL14/'État des Résultats'!$E$14</f>
        <v>0</v>
      </c>
      <c r="AP14" s="712">
        <f>SUM(+$AL14+$AI14+$AF14+$AC14+$Z14+$W14+$T14+$Q14+$N14+$K14+$H14+$E14)</f>
        <v>0</v>
      </c>
      <c r="AQ14" s="713">
        <f>AP14/'État des Résultats'!$AP$14</f>
        <v>0</v>
      </c>
    </row>
    <row r="15" spans="2:56" x14ac:dyDescent="0.15">
      <c r="B15" s="768">
        <v>7620</v>
      </c>
      <c r="C15" s="769" t="s">
        <v>315</v>
      </c>
      <c r="E15" s="714">
        <v>0</v>
      </c>
      <c r="F15" s="711">
        <f>E15/'État des Résultats'!$E$14</f>
        <v>0</v>
      </c>
      <c r="H15" s="714">
        <v>0</v>
      </c>
      <c r="I15" s="711">
        <f>H15/'État des Résultats'!$E$14</f>
        <v>0</v>
      </c>
      <c r="K15" s="714">
        <v>0</v>
      </c>
      <c r="L15" s="711">
        <f>K15/'État des Résultats'!$E$14</f>
        <v>0</v>
      </c>
      <c r="N15" s="714">
        <v>0</v>
      </c>
      <c r="O15" s="711">
        <f>N15/'État des Résultats'!$E$14</f>
        <v>0</v>
      </c>
      <c r="Q15" s="714">
        <v>0</v>
      </c>
      <c r="R15" s="711">
        <f>Q15/'État des Résultats'!$E$14</f>
        <v>0</v>
      </c>
      <c r="T15" s="714">
        <v>0</v>
      </c>
      <c r="U15" s="711">
        <f>T15/'État des Résultats'!$E$14</f>
        <v>0</v>
      </c>
      <c r="W15" s="714">
        <v>0</v>
      </c>
      <c r="X15" s="711">
        <f>W15/'État des Résultats'!$E$14</f>
        <v>0</v>
      </c>
      <c r="Z15" s="714">
        <v>0</v>
      </c>
      <c r="AA15" s="711">
        <f>Z15/'État des Résultats'!$E$14</f>
        <v>0</v>
      </c>
      <c r="AC15" s="714">
        <v>0</v>
      </c>
      <c r="AD15" s="711">
        <f>AC15/'État des Résultats'!$E$14</f>
        <v>0</v>
      </c>
      <c r="AF15" s="714">
        <v>0</v>
      </c>
      <c r="AG15" s="711">
        <f>AF15/'État des Résultats'!$E$14</f>
        <v>0</v>
      </c>
      <c r="AI15" s="714">
        <v>0</v>
      </c>
      <c r="AJ15" s="711">
        <f>AI15/'État des Résultats'!$E$14</f>
        <v>0</v>
      </c>
      <c r="AL15" s="714">
        <v>0</v>
      </c>
      <c r="AM15" s="711">
        <f>AL15/'État des Résultats'!$E$14</f>
        <v>0</v>
      </c>
      <c r="AP15" s="712">
        <f>SUM(+$AL15+$AI15+$AF15+$AC15+$Z15+$W15+$T15+$Q15+$N15+$K15+$H15+$E15)</f>
        <v>0</v>
      </c>
      <c r="AQ15" s="713">
        <f>AP15/'État des Résultats'!$AP$14</f>
        <v>0</v>
      </c>
    </row>
    <row r="16" spans="2:56" x14ac:dyDescent="0.15">
      <c r="B16" s="768">
        <v>7630</v>
      </c>
      <c r="C16" s="769" t="s">
        <v>316</v>
      </c>
      <c r="E16" s="710">
        <v>0</v>
      </c>
      <c r="F16" s="711">
        <f>E16/'État des Résultats'!$E$14</f>
        <v>0</v>
      </c>
      <c r="G16" s="716" t="s">
        <v>2</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ref="AP16:AP23" si="0">SUM(+$AL16+$AI16+$AF16+$AC16+$Z16+$W16+$T16+$Q16+$N16+$K16+$H16+$E16)</f>
        <v>0</v>
      </c>
      <c r="AQ16" s="713">
        <f>AP16/'État des Résultats'!$AP$14</f>
        <v>0</v>
      </c>
    </row>
    <row r="17" spans="2:69" x14ac:dyDescent="0.15">
      <c r="B17" s="768">
        <v>7640</v>
      </c>
      <c r="C17" s="769" t="s">
        <v>317</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69" x14ac:dyDescent="0.15">
      <c r="B18" s="768">
        <v>7650</v>
      </c>
      <c r="C18" s="769" t="s">
        <v>318</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row>
    <row r="19" spans="2:69" x14ac:dyDescent="0.15">
      <c r="B19" s="768">
        <v>7660</v>
      </c>
      <c r="C19" s="769" t="s">
        <v>319</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c r="AS19" s="210"/>
    </row>
    <row r="20" spans="2:69" x14ac:dyDescent="0.15">
      <c r="B20" s="768">
        <v>7670</v>
      </c>
      <c r="C20" s="769" t="s">
        <v>320</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69" x14ac:dyDescent="0.15">
      <c r="B21" s="768">
        <v>7680</v>
      </c>
      <c r="C21" s="769" t="s">
        <v>321</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69" x14ac:dyDescent="0.15">
      <c r="B22" s="768">
        <v>7690</v>
      </c>
      <c r="C22" s="769" t="s">
        <v>322</v>
      </c>
      <c r="E22" s="710">
        <v>0</v>
      </c>
      <c r="F22" s="711">
        <f>E22/'État des Résultats'!$E$14</f>
        <v>0</v>
      </c>
      <c r="H22" s="710">
        <v>0</v>
      </c>
      <c r="I22" s="711">
        <f>H22/'État des Résultats'!$E$14</f>
        <v>0</v>
      </c>
      <c r="K22" s="710">
        <v>0</v>
      </c>
      <c r="L22" s="711">
        <f>K22/'État des Résultats'!$E$14</f>
        <v>0</v>
      </c>
      <c r="N22" s="710">
        <v>0</v>
      </c>
      <c r="O22" s="711">
        <f>N22/'État des Résultats'!$E$14</f>
        <v>0</v>
      </c>
      <c r="Q22" s="710">
        <v>0</v>
      </c>
      <c r="R22" s="711">
        <f>Q22/'État des Résultats'!$E$14</f>
        <v>0</v>
      </c>
      <c r="T22" s="710">
        <v>0</v>
      </c>
      <c r="U22" s="711">
        <f>T22/'État des Résultats'!$E$14</f>
        <v>0</v>
      </c>
      <c r="W22" s="710">
        <v>0</v>
      </c>
      <c r="X22" s="711">
        <f>W22/'État des Résultats'!$E$14</f>
        <v>0</v>
      </c>
      <c r="Z22" s="710">
        <v>0</v>
      </c>
      <c r="AA22" s="711">
        <f>Z22/'État des Résultats'!$E$14</f>
        <v>0</v>
      </c>
      <c r="AC22" s="710">
        <v>0</v>
      </c>
      <c r="AD22" s="711">
        <f>AC22/'État des Résultats'!$E$14</f>
        <v>0</v>
      </c>
      <c r="AF22" s="710">
        <v>0</v>
      </c>
      <c r="AG22" s="711">
        <f>AF22/'État des Résultats'!$E$14</f>
        <v>0</v>
      </c>
      <c r="AI22" s="710">
        <v>0</v>
      </c>
      <c r="AJ22" s="711">
        <f>AI22/'État des Résultats'!$E$14</f>
        <v>0</v>
      </c>
      <c r="AL22" s="710">
        <v>0</v>
      </c>
      <c r="AM22" s="711">
        <f>AL22/'État des Résultats'!$E$14</f>
        <v>0</v>
      </c>
      <c r="AP22" s="712">
        <f t="shared" si="0"/>
        <v>0</v>
      </c>
      <c r="AQ22" s="713">
        <f>AP22/'État des Résultats'!$AP$14</f>
        <v>0</v>
      </c>
    </row>
    <row r="23" spans="2:69" x14ac:dyDescent="0.15">
      <c r="B23" s="768">
        <v>7699</v>
      </c>
      <c r="C23" s="769" t="s">
        <v>323</v>
      </c>
      <c r="E23" s="710">
        <v>0</v>
      </c>
      <c r="F23" s="711">
        <f>E23/'État des Résultats'!$E$14</f>
        <v>0</v>
      </c>
      <c r="H23" s="710">
        <v>0</v>
      </c>
      <c r="I23" s="711">
        <f>H23/'État des Résultats'!$E$14</f>
        <v>0</v>
      </c>
      <c r="K23" s="710">
        <v>0</v>
      </c>
      <c r="L23" s="711">
        <f>K23/'État des Résultats'!$E$14</f>
        <v>0</v>
      </c>
      <c r="N23" s="710">
        <v>0</v>
      </c>
      <c r="O23" s="711">
        <f>N23/'État des Résultats'!$E$14</f>
        <v>0</v>
      </c>
      <c r="Q23" s="710">
        <v>0</v>
      </c>
      <c r="R23" s="711">
        <f>Q23/'État des Résultats'!$E$14</f>
        <v>0</v>
      </c>
      <c r="T23" s="710">
        <v>0</v>
      </c>
      <c r="U23" s="711">
        <f>T23/'État des Résultats'!$E$14</f>
        <v>0</v>
      </c>
      <c r="W23" s="710">
        <v>0</v>
      </c>
      <c r="X23" s="711">
        <f>W23/'État des Résultats'!$E$14</f>
        <v>0</v>
      </c>
      <c r="Z23" s="710">
        <v>0</v>
      </c>
      <c r="AA23" s="711">
        <f>Z23/'État des Résultats'!$E$14</f>
        <v>0</v>
      </c>
      <c r="AC23" s="710">
        <v>0</v>
      </c>
      <c r="AD23" s="711">
        <f>AC23/'État des Résultats'!$E$14</f>
        <v>0</v>
      </c>
      <c r="AF23" s="710">
        <v>0</v>
      </c>
      <c r="AG23" s="711">
        <f>AF23/'État des Résultats'!$E$14</f>
        <v>0</v>
      </c>
      <c r="AI23" s="710">
        <v>0</v>
      </c>
      <c r="AJ23" s="711">
        <f>AI23/'État des Résultats'!$E$14</f>
        <v>0</v>
      </c>
      <c r="AL23" s="710">
        <v>0</v>
      </c>
      <c r="AM23" s="711">
        <f>AL23/'État des Résultats'!$E$14</f>
        <v>0</v>
      </c>
      <c r="AP23" s="712">
        <f t="shared" si="0"/>
        <v>0</v>
      </c>
      <c r="AQ23" s="713">
        <f>AP23/'État des Résultats'!$AP$14</f>
        <v>0</v>
      </c>
    </row>
    <row r="24" spans="2:69" ht="14" thickBot="1" x14ac:dyDescent="0.2">
      <c r="B24" s="770" t="s">
        <v>2</v>
      </c>
      <c r="C24" s="771"/>
      <c r="E24" s="772" t="s">
        <v>2</v>
      </c>
      <c r="F24" s="717" t="s">
        <v>2</v>
      </c>
      <c r="H24" s="772" t="s">
        <v>2</v>
      </c>
      <c r="I24" s="717" t="s">
        <v>2</v>
      </c>
      <c r="K24" s="772" t="s">
        <v>2</v>
      </c>
      <c r="L24" s="717" t="s">
        <v>2</v>
      </c>
      <c r="N24" s="772" t="s">
        <v>2</v>
      </c>
      <c r="O24" s="717" t="s">
        <v>2</v>
      </c>
      <c r="Q24" s="772" t="s">
        <v>2</v>
      </c>
      <c r="R24" s="717" t="s">
        <v>2</v>
      </c>
      <c r="S24" s="773"/>
      <c r="T24" s="772" t="s">
        <v>2</v>
      </c>
      <c r="U24" s="717" t="s">
        <v>2</v>
      </c>
      <c r="W24" s="772" t="s">
        <v>2</v>
      </c>
      <c r="X24" s="717" t="s">
        <v>2</v>
      </c>
      <c r="Z24" s="772" t="s">
        <v>2</v>
      </c>
      <c r="AA24" s="717" t="s">
        <v>2</v>
      </c>
      <c r="AC24" s="772" t="s">
        <v>2</v>
      </c>
      <c r="AD24" s="717" t="s">
        <v>2</v>
      </c>
      <c r="AF24" s="772" t="s">
        <v>2</v>
      </c>
      <c r="AG24" s="717" t="s">
        <v>2</v>
      </c>
      <c r="AI24" s="772" t="s">
        <v>2</v>
      </c>
      <c r="AJ24" s="717" t="s">
        <v>2</v>
      </c>
      <c r="AL24" s="772" t="s">
        <v>2</v>
      </c>
      <c r="AM24" s="717" t="s">
        <v>2</v>
      </c>
      <c r="AP24" s="712" t="s">
        <v>2</v>
      </c>
      <c r="AQ24" s="718" t="s">
        <v>2</v>
      </c>
    </row>
    <row r="25" spans="2:69" ht="15" thickTop="1" thickBot="1" x14ac:dyDescent="0.2">
      <c r="B25" s="499">
        <v>7600</v>
      </c>
      <c r="C25" s="500" t="s">
        <v>324</v>
      </c>
      <c r="D25" s="214"/>
      <c r="E25" s="719">
        <f>SUM(E13:E23)</f>
        <v>1000</v>
      </c>
      <c r="F25" s="720">
        <f>SUM(F13:F23)</f>
        <v>2.6106150217398965E-2</v>
      </c>
      <c r="G25" s="214"/>
      <c r="H25" s="719">
        <f>SUM(H13:H23)</f>
        <v>1000</v>
      </c>
      <c r="I25" s="720">
        <f>SUM(I13:I23)</f>
        <v>2.6106150217398965E-2</v>
      </c>
      <c r="J25" s="214"/>
      <c r="K25" s="719">
        <f>SUM(K13:K23)</f>
        <v>1000</v>
      </c>
      <c r="L25" s="720">
        <f>SUM(L13:L23)</f>
        <v>2.6106150217398965E-2</v>
      </c>
      <c r="M25" s="214"/>
      <c r="N25" s="719">
        <f>SUM(N13:N23)</f>
        <v>1000</v>
      </c>
      <c r="O25" s="720">
        <f>SUM(O13:O23)</f>
        <v>2.6106150217398965E-2</v>
      </c>
      <c r="P25" s="214"/>
      <c r="Q25" s="719">
        <f>SUM(Q13:Q23)</f>
        <v>1000</v>
      </c>
      <c r="R25" s="720">
        <f>SUM(R13:R23)</f>
        <v>2.6106150217398965E-2</v>
      </c>
      <c r="S25" s="214"/>
      <c r="T25" s="719">
        <f>SUM(T13:T23)</f>
        <v>1000</v>
      </c>
      <c r="U25" s="720">
        <f>SUM(U13:U23)</f>
        <v>2.6106150217398965E-2</v>
      </c>
      <c r="V25" s="214"/>
      <c r="W25" s="719">
        <f>SUM(W13:W23)</f>
        <v>1000</v>
      </c>
      <c r="X25" s="720">
        <f>SUM(X13:X23)</f>
        <v>2.6106150217398965E-2</v>
      </c>
      <c r="Y25" s="214"/>
      <c r="Z25" s="719">
        <f>SUM(Z13:Z23)</f>
        <v>1000</v>
      </c>
      <c r="AA25" s="720">
        <f>SUM(AA13:AA23)</f>
        <v>2.6106150217398965E-2</v>
      </c>
      <c r="AB25" s="214"/>
      <c r="AC25" s="719">
        <f>SUM(AC13:AC23)</f>
        <v>1000</v>
      </c>
      <c r="AD25" s="720">
        <f>SUM(AD13:AD23)</f>
        <v>2.6106150217398965E-2</v>
      </c>
      <c r="AE25" s="214"/>
      <c r="AF25" s="719">
        <f>SUM(AF13:AF23)</f>
        <v>1000</v>
      </c>
      <c r="AG25" s="720">
        <f>SUM(AG13:AG23)</f>
        <v>2.6106150217398965E-2</v>
      </c>
      <c r="AH25" s="214"/>
      <c r="AI25" s="719">
        <f>SUM(AI13:AI23)</f>
        <v>1000</v>
      </c>
      <c r="AJ25" s="720">
        <f>SUM(AJ13:AJ23)</f>
        <v>2.6106150217398965E-2</v>
      </c>
      <c r="AK25" s="214"/>
      <c r="AL25" s="719">
        <f>SUM(AL13:AL23)</f>
        <v>1000</v>
      </c>
      <c r="AM25" s="720">
        <f>SUM(AM13:AM23)</f>
        <v>2.6106150217398965E-2</v>
      </c>
      <c r="AN25" s="214"/>
      <c r="AO25" s="214"/>
      <c r="AP25" s="719">
        <f>SUM(AP13:AP23)</f>
        <v>12000</v>
      </c>
      <c r="AQ25" s="720">
        <f>SUM(AQ13:AQ23)</f>
        <v>2.1227295914475225E-2</v>
      </c>
      <c r="AR25" s="214"/>
      <c r="AS25" s="214"/>
      <c r="AT25" s="214"/>
      <c r="AU25" s="252"/>
    </row>
    <row r="26" spans="2:69" ht="14" thickTop="1" x14ac:dyDescent="0.15">
      <c r="L26" s="316"/>
      <c r="O26" s="316"/>
      <c r="R26" s="316"/>
      <c r="U26" s="316"/>
      <c r="X26" s="316"/>
      <c r="AA26" s="316"/>
      <c r="AD26" s="316"/>
      <c r="AG26" s="316"/>
      <c r="AJ26" s="316"/>
      <c r="AM26" s="316"/>
      <c r="AQ26" s="316"/>
    </row>
    <row r="27" spans="2:69" x14ac:dyDescent="0.15">
      <c r="R27" s="316"/>
      <c r="U27" s="316"/>
      <c r="X27" s="316"/>
      <c r="AD27" s="316"/>
      <c r="AG27" s="316"/>
      <c r="AJ27" s="316"/>
      <c r="AM27" s="316"/>
    </row>
    <row r="28" spans="2:69" x14ac:dyDescent="0.15">
      <c r="U28" s="316"/>
      <c r="AG28" s="316"/>
      <c r="AJ28" s="316"/>
      <c r="AM28" s="316"/>
    </row>
    <row r="29" spans="2:69" x14ac:dyDescent="0.15">
      <c r="C29" s="161" t="s">
        <v>2</v>
      </c>
      <c r="E29" s="161" t="s">
        <v>2</v>
      </c>
      <c r="G29" s="161" t="s">
        <v>2</v>
      </c>
      <c r="H29" s="161" t="s">
        <v>2</v>
      </c>
      <c r="U29" s="316"/>
      <c r="AG29" s="316"/>
      <c r="AJ29" s="316"/>
      <c r="AM29" s="316"/>
    </row>
    <row r="30" spans="2:69" x14ac:dyDescent="0.15">
      <c r="H30" s="161" t="s">
        <v>2</v>
      </c>
      <c r="AG30" s="316"/>
      <c r="AJ30" s="316"/>
      <c r="AM30" s="316"/>
    </row>
    <row r="31" spans="2:69" x14ac:dyDescent="0.15">
      <c r="H31" s="161" t="s">
        <v>2</v>
      </c>
      <c r="AM31" s="316"/>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722"/>
    </row>
  </sheetData>
  <sheetProtection algorithmName="SHA-512" hashValue="wv2mODKOOV34nwdoRwToyi+hctJyqO5yyk4vunzE4vkZOj9Udt6bV0e8siIYBWeVGpY71kDTMkmThlloOhAbdQ==" saltValue="oS+72dVv84cqDV93Yluhj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election activeCell="G1" sqref="G1"/>
    </sheetView>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'Coût marchandises vendues'!B2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'Coût marchandises vendues'!B3</f>
        <v xml:space="preserve">États des résultats prévisionnels </v>
      </c>
      <c r="C3" s="943"/>
      <c r="AS3" s="899"/>
      <c r="AT3" s="370"/>
      <c r="AU3" s="370"/>
      <c r="AV3" s="370"/>
      <c r="AW3" s="370"/>
      <c r="AX3" s="370"/>
      <c r="AY3" s="370"/>
      <c r="AZ3" s="370"/>
      <c r="BA3" s="370"/>
      <c r="BB3" s="370"/>
      <c r="BC3" s="902"/>
    </row>
    <row r="4" spans="2:56" ht="20" customHeight="1" thickBot="1" x14ac:dyDescent="0.3">
      <c r="B4" s="944" t="str">
        <f>'Coût marchandises vendues'!B4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'Coût marchandises vendues'!B6</f>
        <v>Nb de places</v>
      </c>
      <c r="C6" s="946"/>
      <c r="E6" s="693" t="str">
        <f>'Mark &amp; Communication marketing'!E6</f>
        <v>Coût / place / jour</v>
      </c>
      <c r="F6" s="694">
        <f>+E23/$B$7/'Calendrier 2021'!D8</f>
        <v>0.64516129032258063</v>
      </c>
      <c r="G6" s="170"/>
      <c r="H6" s="693" t="str">
        <f>+E6</f>
        <v>Coût / place / jour</v>
      </c>
      <c r="I6" s="694">
        <f>+H23/$B$7/'Calendrier 2021'!E8</f>
        <v>0.7142857142857143</v>
      </c>
      <c r="J6" s="170"/>
      <c r="K6" s="693" t="str">
        <f>+H6</f>
        <v>Coût / place / jour</v>
      </c>
      <c r="L6" s="694">
        <f>+K23/$B$7/'Calendrier 2021'!F8</f>
        <v>0.64516129032258063</v>
      </c>
      <c r="M6" s="170"/>
      <c r="N6" s="693" t="str">
        <f>+K6</f>
        <v>Coût / place / jour</v>
      </c>
      <c r="O6" s="694">
        <f>+N23/$B$7/'Calendrier 2021'!G8</f>
        <v>0.66666666666666663</v>
      </c>
      <c r="P6" s="436"/>
      <c r="Q6" s="693" t="str">
        <f>+N6</f>
        <v>Coût / place / jour</v>
      </c>
      <c r="R6" s="694">
        <f>+Q23/$B$7/'Calendrier 2021'!H8</f>
        <v>0.64516129032258063</v>
      </c>
      <c r="S6" s="436"/>
      <c r="T6" s="693" t="str">
        <f>+Q6</f>
        <v>Coût / place / jour</v>
      </c>
      <c r="U6" s="694">
        <f>+T23/$B$7/'Calendrier 2021'!I8</f>
        <v>0.66666666666666663</v>
      </c>
      <c r="V6" s="170"/>
      <c r="W6" s="693" t="str">
        <f>+T6</f>
        <v>Coût / place / jour</v>
      </c>
      <c r="X6" s="694">
        <f>+W23/$B$7/'Calendrier 2021'!J8</f>
        <v>0.64516129032258063</v>
      </c>
      <c r="Y6" s="170"/>
      <c r="Z6" s="693" t="str">
        <f>+W6</f>
        <v>Coût / place / jour</v>
      </c>
      <c r="AA6" s="694">
        <f>+Z23/$B$7/'Calendrier 2021'!K8</f>
        <v>0.64516129032258063</v>
      </c>
      <c r="AB6" s="170"/>
      <c r="AC6" s="693" t="str">
        <f>+Z6</f>
        <v>Coût / place / jour</v>
      </c>
      <c r="AD6" s="694">
        <f>+AC23/$B$7/'Calendrier 2021'!L8</f>
        <v>0.66666666666666663</v>
      </c>
      <c r="AE6" s="170"/>
      <c r="AF6" s="693" t="str">
        <f>+AC6</f>
        <v>Coût / place / jour</v>
      </c>
      <c r="AG6" s="694">
        <f>+AF23/$B$7/'Calendrier 2021'!M8</f>
        <v>0.64516129032258063</v>
      </c>
      <c r="AH6" s="170"/>
      <c r="AI6" s="693" t="str">
        <f>+AF6</f>
        <v>Coût / place / jour</v>
      </c>
      <c r="AJ6" s="694">
        <f>+AI23/$B$7/'Calendrier 2021'!N8</f>
        <v>0.66666666666666663</v>
      </c>
      <c r="AK6" s="170"/>
      <c r="AL6" s="693" t="str">
        <f>+AI6</f>
        <v>Coût / place / jour</v>
      </c>
      <c r="AM6" s="694">
        <f>+AL23/$B$7/'Calendrier 2021'!O8</f>
        <v>0.64516129032258063</v>
      </c>
      <c r="AN6" s="170"/>
      <c r="AO6" s="170"/>
      <c r="AP6" s="695" t="str">
        <f>+AL6</f>
        <v>Coût / place / jour</v>
      </c>
      <c r="AQ6" s="696">
        <f>+AP23/$B$7/'% Occupation'!P9</f>
        <v>0.65753424657534243</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48">
        <f>'Coût marchandises vendues'!B7</f>
        <v>50</v>
      </c>
      <c r="C7" s="947"/>
      <c r="E7" s="438">
        <f>+E23/$AP23</f>
        <v>8.3333333333333329E-2</v>
      </c>
      <c r="F7" s="697"/>
      <c r="H7" s="438">
        <f>+H23/$AP23</f>
        <v>8.3333333333333329E-2</v>
      </c>
      <c r="I7" s="697"/>
      <c r="K7" s="438">
        <f>+K23/$AP23</f>
        <v>8.3333333333333329E-2</v>
      </c>
      <c r="L7" s="439"/>
      <c r="N7" s="438">
        <f>+N23/$AP23</f>
        <v>8.3333333333333329E-2</v>
      </c>
      <c r="O7" s="439"/>
      <c r="P7" s="698"/>
      <c r="Q7" s="438">
        <f>+Q23/$AP23</f>
        <v>8.3333333333333329E-2</v>
      </c>
      <c r="R7" s="439"/>
      <c r="S7" s="698"/>
      <c r="T7" s="438">
        <f>+T23/$AP23</f>
        <v>8.3333333333333329E-2</v>
      </c>
      <c r="U7" s="439"/>
      <c r="W7" s="438">
        <f>+W23/$AP23</f>
        <v>8.3333333333333329E-2</v>
      </c>
      <c r="X7" s="439"/>
      <c r="Z7" s="438">
        <f>+Z23/$AP23</f>
        <v>8.3333333333333329E-2</v>
      </c>
      <c r="AA7" s="439"/>
      <c r="AC7" s="438">
        <f>+AC23/$AP23</f>
        <v>8.3333333333333329E-2</v>
      </c>
      <c r="AD7" s="439"/>
      <c r="AF7" s="438">
        <f>+AF23/$AP23</f>
        <v>8.3333333333333329E-2</v>
      </c>
      <c r="AG7" s="439"/>
      <c r="AI7" s="438">
        <f>+AI23/$AP23</f>
        <v>8.3333333333333329E-2</v>
      </c>
      <c r="AJ7" s="439"/>
      <c r="AL7" s="438">
        <f>+AL23/$AP23</f>
        <v>8.3333333333333329E-2</v>
      </c>
      <c r="AM7" s="439"/>
      <c r="AP7" s="699">
        <f>+AP23/$AP23</f>
        <v>1</v>
      </c>
      <c r="AQ7" s="700" t="s">
        <v>137</v>
      </c>
      <c r="AS7" s="899"/>
      <c r="AT7" s="684">
        <f>AP23</f>
        <v>12000</v>
      </c>
      <c r="AU7" s="371" t="s">
        <v>44</v>
      </c>
      <c r="AV7" s="685">
        <f>'Formule pour le calcul D'!G114</f>
        <v>22875</v>
      </c>
      <c r="AW7" s="371" t="s">
        <v>45</v>
      </c>
      <c r="AX7" s="371" t="s">
        <v>46</v>
      </c>
      <c r="AY7" s="686">
        <f>'Formule pour le calcul D'!J106</f>
        <v>2.2200000000000002</v>
      </c>
      <c r="AZ7" s="371" t="s">
        <v>45</v>
      </c>
      <c r="BA7" s="687">
        <f>AT7/AV7/AY7</f>
        <v>0.23630187564613794</v>
      </c>
      <c r="BB7" s="371" t="s">
        <v>49</v>
      </c>
      <c r="BC7" s="902"/>
    </row>
    <row r="8" spans="2:56" ht="17" thickBot="1" x14ac:dyDescent="0.25">
      <c r="B8" s="920" t="s">
        <v>337</v>
      </c>
      <c r="C8" s="947"/>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04" t="str">
        <f>'État des Résultats'!AP8</f>
        <v>Total</v>
      </c>
      <c r="AQ8" s="701" t="str">
        <f>AM8</f>
        <v>(%)</v>
      </c>
      <c r="AS8" s="900"/>
      <c r="AT8" s="376"/>
      <c r="AU8" s="376"/>
      <c r="AV8" s="376"/>
      <c r="AW8" s="376"/>
      <c r="AX8" s="376"/>
      <c r="AY8" s="376"/>
      <c r="AZ8" s="376"/>
      <c r="BA8" s="376"/>
      <c r="BB8" s="376"/>
      <c r="BC8" s="903"/>
    </row>
    <row r="9" spans="2:56" ht="15" thickTop="1" thickBot="1" x14ac:dyDescent="0.2">
      <c r="B9" s="956">
        <f>AP23/$B$7</f>
        <v>240</v>
      </c>
      <c r="C9" s="957"/>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7" thickTop="1" x14ac:dyDescent="0.2">
      <c r="B11" s="706"/>
      <c r="C11" s="775" t="s">
        <v>326</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7705</v>
      </c>
      <c r="C13" s="394" t="s">
        <v>327</v>
      </c>
      <c r="E13" s="710">
        <v>1000</v>
      </c>
      <c r="F13" s="711">
        <f>E13/'État des Résultats'!$E$14</f>
        <v>2.6106150217398965E-2</v>
      </c>
      <c r="H13" s="710">
        <v>1000</v>
      </c>
      <c r="I13" s="711">
        <f>H13/'État des Résultats'!$E$14</f>
        <v>2.6106150217398965E-2</v>
      </c>
      <c r="K13" s="710">
        <v>1000</v>
      </c>
      <c r="L13" s="711">
        <f>K13/'État des Résultats'!$E$14</f>
        <v>2.6106150217398965E-2</v>
      </c>
      <c r="N13" s="710">
        <v>1000</v>
      </c>
      <c r="O13" s="711">
        <f>N13/'État des Résultats'!$E$14</f>
        <v>2.6106150217398965E-2</v>
      </c>
      <c r="Q13" s="710">
        <v>1000</v>
      </c>
      <c r="R13" s="711">
        <f>Q13/'État des Résultats'!$E$14</f>
        <v>2.6106150217398965E-2</v>
      </c>
      <c r="T13" s="710">
        <v>1000</v>
      </c>
      <c r="U13" s="711">
        <f>T13/'État des Résultats'!$E$14</f>
        <v>2.6106150217398965E-2</v>
      </c>
      <c r="W13" s="710">
        <v>1000</v>
      </c>
      <c r="X13" s="711">
        <f>W13/'État des Résultats'!$E$14</f>
        <v>2.6106150217398965E-2</v>
      </c>
      <c r="Z13" s="710">
        <v>1000</v>
      </c>
      <c r="AA13" s="711">
        <f>Z13/'État des Résultats'!$E$14</f>
        <v>2.6106150217398965E-2</v>
      </c>
      <c r="AC13" s="710">
        <v>1000</v>
      </c>
      <c r="AD13" s="711">
        <f>AC13/'État des Résultats'!$E$14</f>
        <v>2.6106150217398965E-2</v>
      </c>
      <c r="AF13" s="710">
        <v>1000</v>
      </c>
      <c r="AG13" s="711">
        <f>AF13/'État des Résultats'!$E$14</f>
        <v>2.6106150217398965E-2</v>
      </c>
      <c r="AI13" s="710">
        <v>1000</v>
      </c>
      <c r="AJ13" s="711">
        <f>AI13/'État des Résultats'!$E$14</f>
        <v>2.6106150217398965E-2</v>
      </c>
      <c r="AL13" s="710">
        <v>1000</v>
      </c>
      <c r="AM13" s="711">
        <f>AL13/'État des Résultats'!$E$14</f>
        <v>2.6106150217398965E-2</v>
      </c>
      <c r="AP13" s="712">
        <f>SUM(+$AL13+$AI13+$AF13+$AC13+$Z13+$W13+$T13+$Q13+$N13+$K13+$H13+$E13)</f>
        <v>12000</v>
      </c>
      <c r="AQ13" s="713">
        <f>AP13/'État des Résultats'!$AP$14</f>
        <v>2.1227295914475225E-2</v>
      </c>
    </row>
    <row r="14" spans="2:56" x14ac:dyDescent="0.15">
      <c r="B14" s="709">
        <v>7710</v>
      </c>
      <c r="C14" s="394" t="s">
        <v>328</v>
      </c>
      <c r="E14" s="710">
        <v>0</v>
      </c>
      <c r="F14" s="711">
        <f>E14/'État des Résultats'!$E$14</f>
        <v>0</v>
      </c>
      <c r="H14" s="710">
        <v>0</v>
      </c>
      <c r="I14" s="711">
        <f>H14/'État des Résultats'!$E$14</f>
        <v>0</v>
      </c>
      <c r="K14" s="710">
        <v>0</v>
      </c>
      <c r="L14" s="711">
        <f>K14/'État des Résultats'!$E$14</f>
        <v>0</v>
      </c>
      <c r="N14" s="710">
        <v>0</v>
      </c>
      <c r="O14" s="711">
        <f>N14/'État des Résultats'!$E$14</f>
        <v>0</v>
      </c>
      <c r="Q14" s="710">
        <v>0</v>
      </c>
      <c r="R14" s="711">
        <f>Q14/'État des Résultats'!$E$14</f>
        <v>0</v>
      </c>
      <c r="T14" s="710">
        <v>0</v>
      </c>
      <c r="U14" s="711">
        <f>T14/'État des Résultats'!$E$14</f>
        <v>0</v>
      </c>
      <c r="W14" s="710">
        <v>0</v>
      </c>
      <c r="X14" s="711">
        <f>W14/'État des Résultats'!$E$14</f>
        <v>0</v>
      </c>
      <c r="Z14" s="710">
        <v>0</v>
      </c>
      <c r="AA14" s="711">
        <f>Z14/'État des Résultats'!$E$14</f>
        <v>0</v>
      </c>
      <c r="AC14" s="710">
        <v>0</v>
      </c>
      <c r="AD14" s="711">
        <f>AC14/'État des Résultats'!$E$14</f>
        <v>0</v>
      </c>
      <c r="AF14" s="710">
        <v>0</v>
      </c>
      <c r="AG14" s="711">
        <f>AF14/'État des Résultats'!$E$14</f>
        <v>0</v>
      </c>
      <c r="AI14" s="710">
        <v>0</v>
      </c>
      <c r="AJ14" s="711">
        <f>AI14/'État des Résultats'!$E$14</f>
        <v>0</v>
      </c>
      <c r="AL14" s="710">
        <v>0</v>
      </c>
      <c r="AM14" s="711">
        <f>AL14/'État des Résultats'!$E$14</f>
        <v>0</v>
      </c>
      <c r="AP14" s="712">
        <f>SUM(+$AL14+$AI14+$AF14+$AC14+$Z14+$W14+$T14+$Q14+$N14+$K14+$H14+$E14)</f>
        <v>0</v>
      </c>
      <c r="AQ14" s="713">
        <f>AP14/'État des Résultats'!$AP$14</f>
        <v>0</v>
      </c>
    </row>
    <row r="15" spans="2:56" x14ac:dyDescent="0.15">
      <c r="B15" s="709">
        <v>7715</v>
      </c>
      <c r="C15" s="394" t="s">
        <v>329</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0</v>
      </c>
      <c r="R15" s="711">
        <f>Q15/'État des Résultats'!$E$14</f>
        <v>0</v>
      </c>
      <c r="T15" s="710">
        <v>0</v>
      </c>
      <c r="U15" s="711">
        <f>T15/'État des Résultats'!$E$14</f>
        <v>0</v>
      </c>
      <c r="W15" s="710">
        <v>0</v>
      </c>
      <c r="X15" s="711">
        <f>W15/'État des Résultats'!$E$14</f>
        <v>0</v>
      </c>
      <c r="Z15" s="710">
        <v>0</v>
      </c>
      <c r="AA15" s="711">
        <f>Z15/'État des Résultats'!$E$14</f>
        <v>0</v>
      </c>
      <c r="AC15" s="710">
        <v>0</v>
      </c>
      <c r="AD15" s="711">
        <f>AC15/'État des Résultats'!$E$14</f>
        <v>0</v>
      </c>
      <c r="AF15" s="710">
        <v>0</v>
      </c>
      <c r="AG15" s="711">
        <f>AF15/'État des Résultats'!$E$14</f>
        <v>0</v>
      </c>
      <c r="AI15" s="710">
        <v>0</v>
      </c>
      <c r="AJ15" s="711">
        <f>AI15/'État des Résultats'!$E$14</f>
        <v>0</v>
      </c>
      <c r="AL15" s="710">
        <v>0</v>
      </c>
      <c r="AM15" s="711">
        <f>AL15/'État des Résultats'!$E$14</f>
        <v>0</v>
      </c>
      <c r="AP15" s="712">
        <f t="shared" ref="AP15:AP21" si="0">SUM(+$AL15+$AI15+$AF15+$AC15+$Z15+$W15+$T15+$Q15+$N15+$K15+$H15+$E15)</f>
        <v>0</v>
      </c>
      <c r="AQ15" s="713">
        <f>AP15/'État des Résultats'!$AP$14</f>
        <v>0</v>
      </c>
    </row>
    <row r="16" spans="2:56" x14ac:dyDescent="0.15">
      <c r="B16" s="709">
        <v>7720</v>
      </c>
      <c r="C16" s="394" t="s">
        <v>330</v>
      </c>
      <c r="E16" s="710">
        <v>0</v>
      </c>
      <c r="F16" s="711">
        <f>E16/'État des Résultats'!$E$14</f>
        <v>0</v>
      </c>
      <c r="H16" s="710">
        <v>0</v>
      </c>
      <c r="I16" s="711">
        <f>H16/'État des Résultats'!$E$14</f>
        <v>0</v>
      </c>
      <c r="K16" s="710">
        <v>0</v>
      </c>
      <c r="L16" s="711">
        <f>K16/'État des Résultats'!$E$14</f>
        <v>0</v>
      </c>
      <c r="N16" s="710">
        <v>0</v>
      </c>
      <c r="O16" s="711">
        <f>N16/'État des Résultats'!$E$14</f>
        <v>0</v>
      </c>
      <c r="Q16" s="710">
        <v>0</v>
      </c>
      <c r="R16" s="711">
        <f>Q16/'État des Résultats'!$E$14</f>
        <v>0</v>
      </c>
      <c r="T16" s="710">
        <v>0</v>
      </c>
      <c r="U16" s="711">
        <f>T16/'État des Résultats'!$E$14</f>
        <v>0</v>
      </c>
      <c r="W16" s="710">
        <v>0</v>
      </c>
      <c r="X16" s="711">
        <f>W16/'État des Résultats'!$E$14</f>
        <v>0</v>
      </c>
      <c r="Z16" s="710">
        <v>0</v>
      </c>
      <c r="AA16" s="711">
        <f>Z16/'État des Résultats'!$E$14</f>
        <v>0</v>
      </c>
      <c r="AC16" s="710">
        <v>0</v>
      </c>
      <c r="AD16" s="711">
        <f>AC16/'État des Résultats'!$E$14</f>
        <v>0</v>
      </c>
      <c r="AF16" s="710">
        <v>0</v>
      </c>
      <c r="AG16" s="711">
        <f>AF16/'État des Résultats'!$E$14</f>
        <v>0</v>
      </c>
      <c r="AI16" s="710">
        <v>0</v>
      </c>
      <c r="AJ16" s="711">
        <f>AI16/'État des Résultats'!$E$14</f>
        <v>0</v>
      </c>
      <c r="AL16" s="710">
        <v>0</v>
      </c>
      <c r="AM16" s="711">
        <f>AL16/'État des Résultats'!$E$14</f>
        <v>0</v>
      </c>
      <c r="AP16" s="712">
        <f t="shared" si="0"/>
        <v>0</v>
      </c>
      <c r="AQ16" s="713">
        <f>AP16/'État des Résultats'!$AP$14</f>
        <v>0</v>
      </c>
    </row>
    <row r="17" spans="2:69" x14ac:dyDescent="0.15">
      <c r="B17" s="709">
        <v>7725</v>
      </c>
      <c r="C17" s="394" t="s">
        <v>331</v>
      </c>
      <c r="E17" s="710">
        <v>0</v>
      </c>
      <c r="F17" s="711">
        <f>E17/'État des Résultats'!$E$14</f>
        <v>0</v>
      </c>
      <c r="H17" s="710">
        <v>0</v>
      </c>
      <c r="I17" s="711">
        <f>H17/'État des Résultats'!$E$14</f>
        <v>0</v>
      </c>
      <c r="K17" s="710">
        <v>0</v>
      </c>
      <c r="L17" s="711">
        <f>K17/'État des Résultats'!$E$14</f>
        <v>0</v>
      </c>
      <c r="N17" s="710">
        <v>0</v>
      </c>
      <c r="O17" s="711">
        <f>N17/'État des Résultats'!$E$14</f>
        <v>0</v>
      </c>
      <c r="Q17" s="710">
        <v>0</v>
      </c>
      <c r="R17" s="711">
        <f>Q17/'État des Résultats'!$E$14</f>
        <v>0</v>
      </c>
      <c r="T17" s="710">
        <v>0</v>
      </c>
      <c r="U17" s="711">
        <f>T17/'État des Résultats'!$E$14</f>
        <v>0</v>
      </c>
      <c r="W17" s="710">
        <v>0</v>
      </c>
      <c r="X17" s="711">
        <f>W17/'État des Résultats'!$E$14</f>
        <v>0</v>
      </c>
      <c r="Z17" s="710">
        <v>0</v>
      </c>
      <c r="AA17" s="711">
        <f>Z17/'État des Résultats'!$E$14</f>
        <v>0</v>
      </c>
      <c r="AC17" s="710">
        <v>0</v>
      </c>
      <c r="AD17" s="711">
        <f>AC17/'État des Résultats'!$E$14</f>
        <v>0</v>
      </c>
      <c r="AF17" s="710">
        <v>0</v>
      </c>
      <c r="AG17" s="711">
        <f>AF17/'État des Résultats'!$E$14</f>
        <v>0</v>
      </c>
      <c r="AI17" s="710">
        <v>0</v>
      </c>
      <c r="AJ17" s="711">
        <f>AI17/'État des Résultats'!$E$14</f>
        <v>0</v>
      </c>
      <c r="AL17" s="710">
        <v>0</v>
      </c>
      <c r="AM17" s="711">
        <f>AL17/'État des Résultats'!$E$14</f>
        <v>0</v>
      </c>
      <c r="AP17" s="712">
        <f t="shared" si="0"/>
        <v>0</v>
      </c>
      <c r="AQ17" s="713">
        <f>AP17/'État des Résultats'!$AP$14</f>
        <v>0</v>
      </c>
    </row>
    <row r="18" spans="2:69" x14ac:dyDescent="0.15">
      <c r="B18" s="709">
        <v>7730</v>
      </c>
      <c r="C18" s="394" t="s">
        <v>332</v>
      </c>
      <c r="E18" s="710">
        <v>0</v>
      </c>
      <c r="F18" s="711">
        <f>E18/'État des Résultats'!$E$14</f>
        <v>0</v>
      </c>
      <c r="H18" s="710">
        <v>0</v>
      </c>
      <c r="I18" s="711">
        <f>H18/'État des Résultats'!$E$14</f>
        <v>0</v>
      </c>
      <c r="K18" s="710">
        <v>0</v>
      </c>
      <c r="L18" s="711">
        <f>K18/'État des Résultats'!$E$14</f>
        <v>0</v>
      </c>
      <c r="N18" s="710">
        <v>0</v>
      </c>
      <c r="O18" s="711">
        <f>N18/'État des Résultats'!$E$14</f>
        <v>0</v>
      </c>
      <c r="Q18" s="710">
        <v>0</v>
      </c>
      <c r="R18" s="711">
        <f>Q18/'État des Résultats'!$E$14</f>
        <v>0</v>
      </c>
      <c r="T18" s="710">
        <v>0</v>
      </c>
      <c r="U18" s="711">
        <f>T18/'État des Résultats'!$E$14</f>
        <v>0</v>
      </c>
      <c r="W18" s="710">
        <v>0</v>
      </c>
      <c r="X18" s="711">
        <f>W18/'État des Résultats'!$E$14</f>
        <v>0</v>
      </c>
      <c r="Z18" s="710">
        <v>0</v>
      </c>
      <c r="AA18" s="711">
        <f>Z18/'État des Résultats'!$E$14</f>
        <v>0</v>
      </c>
      <c r="AC18" s="710">
        <v>0</v>
      </c>
      <c r="AD18" s="711">
        <f>AC18/'État des Résultats'!$E$14</f>
        <v>0</v>
      </c>
      <c r="AF18" s="710">
        <v>0</v>
      </c>
      <c r="AG18" s="711">
        <f>AF18/'État des Résultats'!$E$14</f>
        <v>0</v>
      </c>
      <c r="AI18" s="710">
        <v>0</v>
      </c>
      <c r="AJ18" s="711">
        <f>AI18/'État des Résultats'!$E$14</f>
        <v>0</v>
      </c>
      <c r="AL18" s="710">
        <v>0</v>
      </c>
      <c r="AM18" s="711">
        <f>AL18/'État des Résultats'!$E$14</f>
        <v>0</v>
      </c>
      <c r="AP18" s="712">
        <f t="shared" si="0"/>
        <v>0</v>
      </c>
      <c r="AQ18" s="713">
        <f>AP18/'État des Résultats'!$AP$14</f>
        <v>0</v>
      </c>
      <c r="AS18" s="210"/>
    </row>
    <row r="19" spans="2:69" x14ac:dyDescent="0.15">
      <c r="B19" s="709">
        <v>7790</v>
      </c>
      <c r="C19" s="394" t="s">
        <v>333</v>
      </c>
      <c r="E19" s="710">
        <v>0</v>
      </c>
      <c r="F19" s="711">
        <f>E19/'État des Résultats'!$E$14</f>
        <v>0</v>
      </c>
      <c r="H19" s="710">
        <v>0</v>
      </c>
      <c r="I19" s="711">
        <f>H19/'État des Résultats'!$E$14</f>
        <v>0</v>
      </c>
      <c r="K19" s="710">
        <v>0</v>
      </c>
      <c r="L19" s="711">
        <f>K19/'État des Résultats'!$E$14</f>
        <v>0</v>
      </c>
      <c r="N19" s="710">
        <v>0</v>
      </c>
      <c r="O19" s="711">
        <f>N19/'État des Résultats'!$E$14</f>
        <v>0</v>
      </c>
      <c r="Q19" s="710">
        <v>0</v>
      </c>
      <c r="R19" s="711">
        <f>Q19/'État des Résultats'!$E$14</f>
        <v>0</v>
      </c>
      <c r="T19" s="710">
        <v>0</v>
      </c>
      <c r="U19" s="711">
        <f>T19/'État des Résultats'!$E$14</f>
        <v>0</v>
      </c>
      <c r="W19" s="710">
        <v>0</v>
      </c>
      <c r="X19" s="711">
        <f>W19/'État des Résultats'!$E$14</f>
        <v>0</v>
      </c>
      <c r="Z19" s="710">
        <v>0</v>
      </c>
      <c r="AA19" s="711">
        <f>Z19/'État des Résultats'!$E$14</f>
        <v>0</v>
      </c>
      <c r="AC19" s="710">
        <v>0</v>
      </c>
      <c r="AD19" s="711">
        <f>AC19/'État des Résultats'!$E$14</f>
        <v>0</v>
      </c>
      <c r="AF19" s="710">
        <v>0</v>
      </c>
      <c r="AG19" s="711">
        <f>AF19/'État des Résultats'!$E$14</f>
        <v>0</v>
      </c>
      <c r="AI19" s="710">
        <v>0</v>
      </c>
      <c r="AJ19" s="711">
        <f>AI19/'État des Résultats'!$E$14</f>
        <v>0</v>
      </c>
      <c r="AL19" s="710">
        <v>0</v>
      </c>
      <c r="AM19" s="711">
        <f>AL19/'État des Résultats'!$E$14</f>
        <v>0</v>
      </c>
      <c r="AP19" s="712">
        <f t="shared" si="0"/>
        <v>0</v>
      </c>
      <c r="AQ19" s="713">
        <f>AP19/'État des Résultats'!$AP$14</f>
        <v>0</v>
      </c>
    </row>
    <row r="20" spans="2:69" x14ac:dyDescent="0.15">
      <c r="B20" s="709">
        <v>7795</v>
      </c>
      <c r="C20" s="394" t="s">
        <v>334</v>
      </c>
      <c r="E20" s="710">
        <v>0</v>
      </c>
      <c r="F20" s="711">
        <f>E20/'État des Résultats'!$E$14</f>
        <v>0</v>
      </c>
      <c r="H20" s="710">
        <v>0</v>
      </c>
      <c r="I20" s="711">
        <f>H20/'État des Résultats'!$E$14</f>
        <v>0</v>
      </c>
      <c r="K20" s="710">
        <v>0</v>
      </c>
      <c r="L20" s="711">
        <f>K20/'État des Résultats'!$E$14</f>
        <v>0</v>
      </c>
      <c r="N20" s="710">
        <v>0</v>
      </c>
      <c r="O20" s="711">
        <f>N20/'État des Résultats'!$E$14</f>
        <v>0</v>
      </c>
      <c r="Q20" s="710">
        <v>0</v>
      </c>
      <c r="R20" s="711">
        <f>Q20/'État des Résultats'!$E$14</f>
        <v>0</v>
      </c>
      <c r="T20" s="710">
        <v>0</v>
      </c>
      <c r="U20" s="711">
        <f>T20/'État des Résultats'!$E$14</f>
        <v>0</v>
      </c>
      <c r="W20" s="710">
        <v>0</v>
      </c>
      <c r="X20" s="711">
        <f>W20/'État des Résultats'!$E$14</f>
        <v>0</v>
      </c>
      <c r="Z20" s="710">
        <v>0</v>
      </c>
      <c r="AA20" s="711">
        <f>Z20/'État des Résultats'!$E$14</f>
        <v>0</v>
      </c>
      <c r="AC20" s="710">
        <v>0</v>
      </c>
      <c r="AD20" s="711">
        <f>AC20/'État des Résultats'!$E$14</f>
        <v>0</v>
      </c>
      <c r="AF20" s="710">
        <v>0</v>
      </c>
      <c r="AG20" s="711">
        <f>AF20/'État des Résultats'!$E$14</f>
        <v>0</v>
      </c>
      <c r="AI20" s="710">
        <v>0</v>
      </c>
      <c r="AJ20" s="711">
        <f>AI20/'État des Résultats'!$E$14</f>
        <v>0</v>
      </c>
      <c r="AL20" s="710">
        <v>0</v>
      </c>
      <c r="AM20" s="711">
        <f>AL20/'État des Résultats'!$E$14</f>
        <v>0</v>
      </c>
      <c r="AP20" s="712">
        <f t="shared" si="0"/>
        <v>0</v>
      </c>
      <c r="AQ20" s="713">
        <f>AP20/'État des Résultats'!$AP$14</f>
        <v>0</v>
      </c>
    </row>
    <row r="21" spans="2:69" x14ac:dyDescent="0.15">
      <c r="B21" s="709">
        <v>7799</v>
      </c>
      <c r="C21" s="394" t="s">
        <v>335</v>
      </c>
      <c r="E21" s="710">
        <v>0</v>
      </c>
      <c r="F21" s="711">
        <f>E21/'État des Résultats'!$E$14</f>
        <v>0</v>
      </c>
      <c r="H21" s="710">
        <v>0</v>
      </c>
      <c r="I21" s="711">
        <f>H21/'État des Résultats'!$E$14</f>
        <v>0</v>
      </c>
      <c r="K21" s="710">
        <v>0</v>
      </c>
      <c r="L21" s="711">
        <f>K21/'État des Résultats'!$E$14</f>
        <v>0</v>
      </c>
      <c r="N21" s="710">
        <v>0</v>
      </c>
      <c r="O21" s="711">
        <f>N21/'État des Résultats'!$E$14</f>
        <v>0</v>
      </c>
      <c r="Q21" s="710">
        <v>0</v>
      </c>
      <c r="R21" s="711">
        <f>Q21/'État des Résultats'!$E$14</f>
        <v>0</v>
      </c>
      <c r="T21" s="710">
        <v>0</v>
      </c>
      <c r="U21" s="711">
        <f>T21/'État des Résultats'!$E$14</f>
        <v>0</v>
      </c>
      <c r="W21" s="710">
        <v>0</v>
      </c>
      <c r="X21" s="711">
        <f>W21/'État des Résultats'!$E$14</f>
        <v>0</v>
      </c>
      <c r="Z21" s="710">
        <v>0</v>
      </c>
      <c r="AA21" s="711">
        <f>Z21/'État des Résultats'!$E$14</f>
        <v>0</v>
      </c>
      <c r="AC21" s="710">
        <v>0</v>
      </c>
      <c r="AD21" s="711">
        <f>AC21/'État des Résultats'!$E$14</f>
        <v>0</v>
      </c>
      <c r="AF21" s="710">
        <v>0</v>
      </c>
      <c r="AG21" s="711">
        <f>AF21/'État des Résultats'!$E$14</f>
        <v>0</v>
      </c>
      <c r="AI21" s="710">
        <v>0</v>
      </c>
      <c r="AJ21" s="711">
        <f>AI21/'État des Résultats'!$E$14</f>
        <v>0</v>
      </c>
      <c r="AL21" s="710">
        <v>0</v>
      </c>
      <c r="AM21" s="711">
        <f>AL21/'État des Résultats'!$E$14</f>
        <v>0</v>
      </c>
      <c r="AP21" s="712">
        <f t="shared" si="0"/>
        <v>0</v>
      </c>
      <c r="AQ21" s="713">
        <f>AP21/'État des Résultats'!$AP$14</f>
        <v>0</v>
      </c>
    </row>
    <row r="22" spans="2:69" ht="14" thickBot="1" x14ac:dyDescent="0.2">
      <c r="B22" s="709"/>
      <c r="C22" s="394"/>
      <c r="E22" s="710"/>
      <c r="F22" s="747"/>
      <c r="H22" s="763"/>
      <c r="I22" s="747"/>
      <c r="K22" s="763"/>
      <c r="L22" s="747"/>
      <c r="N22" s="763"/>
      <c r="O22" s="747"/>
      <c r="Q22" s="763"/>
      <c r="R22" s="747"/>
      <c r="T22" s="763"/>
      <c r="U22" s="747"/>
      <c r="W22" s="763"/>
      <c r="X22" s="747"/>
      <c r="Z22" s="763"/>
      <c r="AA22" s="747"/>
      <c r="AC22" s="763"/>
      <c r="AD22" s="747"/>
      <c r="AF22" s="763"/>
      <c r="AG22" s="747"/>
      <c r="AI22" s="763"/>
      <c r="AJ22" s="747"/>
      <c r="AL22" s="763"/>
      <c r="AM22" s="747"/>
      <c r="AP22" s="712"/>
      <c r="AQ22" s="748"/>
    </row>
    <row r="23" spans="2:69" ht="15" thickTop="1" thickBot="1" x14ac:dyDescent="0.2">
      <c r="B23" s="499">
        <v>7700</v>
      </c>
      <c r="C23" s="500" t="s">
        <v>336</v>
      </c>
      <c r="D23" s="214"/>
      <c r="E23" s="719">
        <f>SUM(E13:E21)</f>
        <v>1000</v>
      </c>
      <c r="F23" s="720">
        <f>SUM(F13:F21)</f>
        <v>2.6106150217398965E-2</v>
      </c>
      <c r="G23" s="214"/>
      <c r="H23" s="721">
        <f>SUM(H13:H22)</f>
        <v>1000</v>
      </c>
      <c r="I23" s="720">
        <f>SUM(I13:I22)</f>
        <v>2.6106150217398965E-2</v>
      </c>
      <c r="J23" s="214"/>
      <c r="K23" s="719">
        <f>SUM(K13:K22)</f>
        <v>1000</v>
      </c>
      <c r="L23" s="720">
        <f>SUM(L13:L22)</f>
        <v>2.6106150217398965E-2</v>
      </c>
      <c r="M23" s="214"/>
      <c r="N23" s="719">
        <f>SUM(N13:N22)</f>
        <v>1000</v>
      </c>
      <c r="O23" s="720">
        <f>SUM(O13:O22)</f>
        <v>2.6106150217398965E-2</v>
      </c>
      <c r="P23" s="214"/>
      <c r="Q23" s="719">
        <f>SUM(Q13:Q22)</f>
        <v>1000</v>
      </c>
      <c r="R23" s="720">
        <f>SUM(R13:R22)</f>
        <v>2.6106150217398965E-2</v>
      </c>
      <c r="S23" s="214"/>
      <c r="T23" s="719">
        <f>SUM(T13:T22)</f>
        <v>1000</v>
      </c>
      <c r="U23" s="720">
        <f>SUM(U13:U22)</f>
        <v>2.6106150217398965E-2</v>
      </c>
      <c r="V23" s="214"/>
      <c r="W23" s="719">
        <f>SUM(W13:W22)</f>
        <v>1000</v>
      </c>
      <c r="X23" s="720">
        <f>SUM(X13:X22)</f>
        <v>2.6106150217398965E-2</v>
      </c>
      <c r="Y23" s="214"/>
      <c r="Z23" s="719">
        <f>SUM(Z13:Z22)</f>
        <v>1000</v>
      </c>
      <c r="AA23" s="720">
        <f>SUM(AA13:AA22)</f>
        <v>2.6106150217398965E-2</v>
      </c>
      <c r="AB23" s="214"/>
      <c r="AC23" s="719">
        <f>SUM(AC13:AC22)</f>
        <v>1000</v>
      </c>
      <c r="AD23" s="720">
        <f>SUM(AD13:AD22)</f>
        <v>2.6106150217398965E-2</v>
      </c>
      <c r="AE23" s="214"/>
      <c r="AF23" s="719">
        <f>SUM(AF13:AF22)</f>
        <v>1000</v>
      </c>
      <c r="AG23" s="720">
        <f>SUM(AG13:AG22)</f>
        <v>2.6106150217398965E-2</v>
      </c>
      <c r="AH23" s="214"/>
      <c r="AI23" s="719">
        <f>SUM(AI13:AI22)</f>
        <v>1000</v>
      </c>
      <c r="AJ23" s="720">
        <f>SUM(AJ13:AJ22)</f>
        <v>2.6106150217398965E-2</v>
      </c>
      <c r="AK23" s="214"/>
      <c r="AL23" s="719">
        <f>SUM(AL13:AL22)</f>
        <v>1000</v>
      </c>
      <c r="AM23" s="720">
        <f>SUM(AM13:AM22)</f>
        <v>2.6106150217398965E-2</v>
      </c>
      <c r="AN23" s="214"/>
      <c r="AO23" s="214"/>
      <c r="AP23" s="719">
        <f>SUM(AP13:AP21)</f>
        <v>12000</v>
      </c>
      <c r="AQ23" s="720">
        <f>SUM(AQ13:AQ21)</f>
        <v>2.1227295914475225E-2</v>
      </c>
      <c r="AR23" s="214"/>
      <c r="AS23" s="214"/>
      <c r="AT23" s="214"/>
      <c r="AU23" s="252"/>
    </row>
    <row r="24" spans="2:69" ht="14" thickTop="1" x14ac:dyDescent="0.15">
      <c r="L24" s="316"/>
      <c r="O24" s="316"/>
      <c r="R24" s="316"/>
      <c r="U24" s="316"/>
      <c r="X24" s="316"/>
      <c r="AA24" s="316"/>
      <c r="AD24" s="316"/>
      <c r="AG24" s="316"/>
      <c r="AJ24" s="316"/>
      <c r="AM24" s="316"/>
      <c r="AQ24" s="316"/>
    </row>
    <row r="25" spans="2:69" x14ac:dyDescent="0.15">
      <c r="R25" s="316"/>
      <c r="U25" s="316"/>
      <c r="X25" s="316"/>
      <c r="AD25" s="316"/>
      <c r="AG25" s="316"/>
      <c r="AJ25" s="316"/>
      <c r="AM25" s="316"/>
    </row>
    <row r="26" spans="2:69" x14ac:dyDescent="0.15">
      <c r="U26" s="316"/>
      <c r="AG26" s="316"/>
      <c r="AJ26" s="316"/>
      <c r="AM26" s="316"/>
    </row>
    <row r="27" spans="2:69" x14ac:dyDescent="0.15">
      <c r="C27" s="161" t="s">
        <v>2</v>
      </c>
      <c r="E27" s="161" t="s">
        <v>2</v>
      </c>
      <c r="G27" s="161" t="s">
        <v>2</v>
      </c>
      <c r="H27" s="161" t="s">
        <v>2</v>
      </c>
      <c r="U27" s="316"/>
      <c r="AG27" s="316"/>
      <c r="AJ27" s="316"/>
      <c r="AM27" s="316"/>
    </row>
    <row r="28" spans="2:69" x14ac:dyDescent="0.15">
      <c r="H28" s="161" t="s">
        <v>2</v>
      </c>
      <c r="AG28" s="316"/>
      <c r="AJ28" s="316"/>
      <c r="AM28" s="316"/>
    </row>
    <row r="29" spans="2:69" x14ac:dyDescent="0.15">
      <c r="H29" s="161" t="s">
        <v>2</v>
      </c>
      <c r="AM29" s="316"/>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722"/>
    </row>
  </sheetData>
  <sheetProtection algorithmName="SHA-512" hashValue="jLEWZSKGm21JwD6m18SO/4VVJsk+5La+JDJdkMd61YNgXmwu1IbmF/gLj2wMe4teZusez0EhpZZVoVZ5b5Kyow==" saltValue="LNx/6H3iA5TvG2ZkOz4a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election activeCell="A38" sqref="A38"/>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'Coût marchandises vendues'!B2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'Coût marchandises vendues'!B3</f>
        <v xml:space="preserve">États des résultats prévisionnels </v>
      </c>
      <c r="C3" s="943"/>
      <c r="AS3" s="899"/>
      <c r="AT3" s="370"/>
      <c r="AU3" s="370"/>
      <c r="AV3" s="370"/>
      <c r="AW3" s="370"/>
      <c r="AX3" s="370"/>
      <c r="AY3" s="370"/>
      <c r="AZ3" s="370"/>
      <c r="BA3" s="370"/>
      <c r="BB3" s="370"/>
      <c r="BC3" s="902"/>
    </row>
    <row r="4" spans="2:56" ht="20" customHeight="1" thickBot="1" x14ac:dyDescent="0.3">
      <c r="B4" s="944" t="str">
        <f>'Coût marchandises vendues'!B4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'Coût marchandises vendues'!B6</f>
        <v>Nb de places</v>
      </c>
      <c r="C6" s="946"/>
      <c r="E6" s="693" t="str">
        <f>'Services publics'!E6</f>
        <v>Coût / place / jour</v>
      </c>
      <c r="F6" s="694">
        <f>+E29/$B$7/'Calendrier 2021'!D8</f>
        <v>0.64516129032258063</v>
      </c>
      <c r="G6" s="170"/>
      <c r="H6" s="693" t="str">
        <f>+E6</f>
        <v>Coût / place / jour</v>
      </c>
      <c r="I6" s="694">
        <f>+H29/$B$7/'Calendrier 2021'!E8</f>
        <v>0.7142857142857143</v>
      </c>
      <c r="J6" s="170"/>
      <c r="K6" s="693" t="str">
        <f>+H6</f>
        <v>Coût / place / jour</v>
      </c>
      <c r="L6" s="694">
        <f>+K29/$B$7/'Calendrier 2021'!F8</f>
        <v>0.64516129032258063</v>
      </c>
      <c r="M6" s="170"/>
      <c r="N6" s="693" t="str">
        <f>+K6</f>
        <v>Coût / place / jour</v>
      </c>
      <c r="O6" s="694">
        <f>+N29/$B$7/'Calendrier 2021'!G8</f>
        <v>0.66666666666666663</v>
      </c>
      <c r="P6" s="436"/>
      <c r="Q6" s="693" t="str">
        <f>+N6</f>
        <v>Coût / place / jour</v>
      </c>
      <c r="R6" s="694">
        <f>+Q29/$B$7/'Calendrier 2021'!H8</f>
        <v>0.65419354838709676</v>
      </c>
      <c r="S6" s="436"/>
      <c r="T6" s="693" t="str">
        <f>+Q6</f>
        <v>Coût / place / jour</v>
      </c>
      <c r="U6" s="694">
        <f>+T29/$B$7/'Calendrier 2021'!I8</f>
        <v>0.67600000000000005</v>
      </c>
      <c r="V6" s="170"/>
      <c r="W6" s="693" t="str">
        <f>+T6</f>
        <v>Coût / place / jour</v>
      </c>
      <c r="X6" s="694">
        <f>+W29/$B$7/'Calendrier 2021'!J8</f>
        <v>0.65419354838709676</v>
      </c>
      <c r="Y6" s="170"/>
      <c r="Z6" s="693" t="str">
        <f>+W6</f>
        <v>Coût / place / jour</v>
      </c>
      <c r="AA6" s="694">
        <f>+Z29/$B$7/'Calendrier 2021'!K8</f>
        <v>0.65419354838709676</v>
      </c>
      <c r="AB6" s="170"/>
      <c r="AC6" s="693" t="str">
        <f>+Z6</f>
        <v>Coût / place / jour</v>
      </c>
      <c r="AD6" s="694">
        <f>+AC29/$B$7/'Calendrier 2021'!L8</f>
        <v>0.67600000000000005</v>
      </c>
      <c r="AE6" s="170"/>
      <c r="AF6" s="693" t="str">
        <f>+AC6</f>
        <v>Coût / place / jour</v>
      </c>
      <c r="AG6" s="694">
        <f>+AF29/$B$7/'Calendrier 2021'!M8</f>
        <v>0.65419354838709676</v>
      </c>
      <c r="AH6" s="170"/>
      <c r="AI6" s="693" t="str">
        <f>+AF6</f>
        <v>Coût / place / jour</v>
      </c>
      <c r="AJ6" s="694">
        <f>+AI29/$B$7/'Calendrier 2021'!N8</f>
        <v>0.67600000000000005</v>
      </c>
      <c r="AK6" s="170"/>
      <c r="AL6" s="693" t="str">
        <f>+AI6</f>
        <v>Coût / place / jour</v>
      </c>
      <c r="AM6" s="694">
        <f>+AL29/$B$7/'Calendrier 2021'!O8</f>
        <v>0.65419354838709676</v>
      </c>
      <c r="AN6" s="170"/>
      <c r="AO6" s="170"/>
      <c r="AP6" s="695" t="str">
        <f>+AL6</f>
        <v>Coût / place / jour</v>
      </c>
      <c r="AQ6" s="696">
        <f>+AP29/$B$7/'% Occupation'!P9</f>
        <v>0.66367123287671237</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48">
        <f>'Coût marchandises vendues'!B7</f>
        <v>50</v>
      </c>
      <c r="C7" s="947"/>
      <c r="E7" s="438">
        <f>+E29/$AP29</f>
        <v>8.2562747688243066E-2</v>
      </c>
      <c r="F7" s="697"/>
      <c r="H7" s="438">
        <f>+H29/$AP29</f>
        <v>8.2562747688243066E-2</v>
      </c>
      <c r="I7" s="697"/>
      <c r="K7" s="438">
        <f>+K29/$AP29</f>
        <v>8.2562747688243066E-2</v>
      </c>
      <c r="L7" s="439"/>
      <c r="N7" s="438">
        <f>+N29/$AP29</f>
        <v>8.2562747688243066E-2</v>
      </c>
      <c r="O7" s="439"/>
      <c r="P7" s="698"/>
      <c r="Q7" s="438">
        <f>+Q29/$AP29</f>
        <v>8.3718626155878467E-2</v>
      </c>
      <c r="R7" s="439"/>
      <c r="S7" s="698"/>
      <c r="T7" s="438">
        <f>+T29/$AP29</f>
        <v>8.3718626155878467E-2</v>
      </c>
      <c r="U7" s="439"/>
      <c r="W7" s="438">
        <f>+W29/$AP29</f>
        <v>8.3718626155878467E-2</v>
      </c>
      <c r="X7" s="439"/>
      <c r="Z7" s="438">
        <f>+Z29/$AP29</f>
        <v>8.3718626155878467E-2</v>
      </c>
      <c r="AA7" s="439"/>
      <c r="AC7" s="438">
        <f>+AC29/$AP29</f>
        <v>8.3718626155878467E-2</v>
      </c>
      <c r="AD7" s="439"/>
      <c r="AF7" s="438">
        <f>+AF29/$AP29</f>
        <v>8.3718626155878467E-2</v>
      </c>
      <c r="AG7" s="439"/>
      <c r="AI7" s="438">
        <f>+AI29/$AP29</f>
        <v>8.3718626155878467E-2</v>
      </c>
      <c r="AJ7" s="439"/>
      <c r="AL7" s="438">
        <f>+AL29/$AP29</f>
        <v>8.3718626155878467E-2</v>
      </c>
      <c r="AM7" s="439"/>
      <c r="AP7" s="699">
        <f>+AP29/$AP29</f>
        <v>1</v>
      </c>
      <c r="AQ7" s="700" t="s">
        <v>137</v>
      </c>
      <c r="AS7" s="899"/>
      <c r="AT7" s="684">
        <f>AP29</f>
        <v>12112</v>
      </c>
      <c r="AU7" s="371" t="s">
        <v>44</v>
      </c>
      <c r="AV7" s="685">
        <f>'Formule pour le calcul D'!G114</f>
        <v>22875</v>
      </c>
      <c r="AW7" s="371" t="s">
        <v>45</v>
      </c>
      <c r="AX7" s="371" t="s">
        <v>46</v>
      </c>
      <c r="AY7" s="686">
        <f>'Formule pour le calcul D'!J106</f>
        <v>2.2200000000000002</v>
      </c>
      <c r="AZ7" s="371" t="s">
        <v>45</v>
      </c>
      <c r="BA7" s="687">
        <f>AT7/AV7/AY7</f>
        <v>0.23850735981883522</v>
      </c>
      <c r="BB7" s="371" t="s">
        <v>49</v>
      </c>
      <c r="BC7" s="902"/>
    </row>
    <row r="8" spans="2:56" ht="17" thickBot="1" x14ac:dyDescent="0.25">
      <c r="B8" s="920" t="s">
        <v>338</v>
      </c>
      <c r="C8" s="947"/>
      <c r="E8" s="702" t="str">
        <f>'Mark &amp; Communication marketing'!E8</f>
        <v>Pér.01</v>
      </c>
      <c r="F8" s="701" t="str">
        <f>'Mark &amp; Communication marketing'!F8</f>
        <v>(%)</v>
      </c>
      <c r="G8" s="385"/>
      <c r="H8" s="702" t="str">
        <f>'Mark &amp; Communication marketing'!H8</f>
        <v>Pér.02</v>
      </c>
      <c r="I8" s="701" t="str">
        <f>F8</f>
        <v>(%)</v>
      </c>
      <c r="J8" s="385"/>
      <c r="K8" s="702" t="str">
        <f>'Mark &amp; Communication marketing'!K8</f>
        <v>Pér.03</v>
      </c>
      <c r="L8" s="701" t="str">
        <f>I8</f>
        <v>(%)</v>
      </c>
      <c r="M8" s="385"/>
      <c r="N8" s="702" t="str">
        <f>'Mark &amp; Communication marketing'!N8</f>
        <v>Pér.04</v>
      </c>
      <c r="O8" s="701" t="str">
        <f>L8</f>
        <v>(%)</v>
      </c>
      <c r="P8" s="440"/>
      <c r="Q8" s="702" t="str">
        <f>'Mark &amp; Communication marketing'!Q8</f>
        <v>Pér.05</v>
      </c>
      <c r="R8" s="701" t="str">
        <f>O8</f>
        <v>(%)</v>
      </c>
      <c r="S8" s="440"/>
      <c r="T8" s="702" t="str">
        <f>'Mark &amp; Communication marketing'!T8</f>
        <v>Pér.06</v>
      </c>
      <c r="U8" s="701" t="str">
        <f>R8</f>
        <v>(%)</v>
      </c>
      <c r="V8" s="385"/>
      <c r="W8" s="702" t="str">
        <f>'Mark &amp; Communication marketing'!W8</f>
        <v>Pér.07</v>
      </c>
      <c r="X8" s="701" t="str">
        <f>U8</f>
        <v>(%)</v>
      </c>
      <c r="Y8" s="385"/>
      <c r="Z8" s="702" t="str">
        <f>'Mark &amp; Communication marketing'!Z8</f>
        <v>Pér.08</v>
      </c>
      <c r="AA8" s="701" t="str">
        <f>X8</f>
        <v>(%)</v>
      </c>
      <c r="AB8" s="385"/>
      <c r="AC8" s="702" t="str">
        <f>'Mark &amp; Communication marketing'!AC8</f>
        <v>Pér.09</v>
      </c>
      <c r="AD8" s="701" t="str">
        <f>AA8</f>
        <v>(%)</v>
      </c>
      <c r="AE8" s="385"/>
      <c r="AF8" s="702" t="str">
        <f>'Mark &amp; Communication marketing'!AF8</f>
        <v>Pér.10</v>
      </c>
      <c r="AG8" s="701" t="str">
        <f>AD8</f>
        <v>(%)</v>
      </c>
      <c r="AH8" s="385"/>
      <c r="AI8" s="702" t="str">
        <f>'Mark &amp; Communication marketing'!AI8</f>
        <v>Pér.11</v>
      </c>
      <c r="AJ8" s="701" t="str">
        <f>AG8</f>
        <v>(%)</v>
      </c>
      <c r="AK8" s="385"/>
      <c r="AL8" s="702" t="str">
        <f>'Mark &amp; Communication marketing'!AL8</f>
        <v>Pér.12</v>
      </c>
      <c r="AM8" s="701" t="str">
        <f>AJ8</f>
        <v>(%)</v>
      </c>
      <c r="AN8" s="703" t="s">
        <v>2</v>
      </c>
      <c r="AO8" s="385"/>
      <c r="AP8" s="704" t="str">
        <f>'Musique &amp; Divertissement'!AP8</f>
        <v>Total</v>
      </c>
      <c r="AQ8" s="701" t="str">
        <f>AM8</f>
        <v>(%)</v>
      </c>
      <c r="AS8" s="900"/>
      <c r="AT8" s="376"/>
      <c r="AU8" s="376"/>
      <c r="AV8" s="376"/>
      <c r="AW8" s="376"/>
      <c r="AX8" s="376"/>
      <c r="AY8" s="376"/>
      <c r="AZ8" s="376"/>
      <c r="BA8" s="376"/>
      <c r="BB8" s="376"/>
      <c r="BC8" s="903"/>
    </row>
    <row r="9" spans="2:56" ht="15" thickTop="1" thickBot="1" x14ac:dyDescent="0.2">
      <c r="B9" s="956">
        <f>AP29/$B$7</f>
        <v>242.24</v>
      </c>
      <c r="C9" s="957"/>
      <c r="E9" s="723" t="str">
        <f>'Mark &amp; Communication marketing'!E9</f>
        <v>Janvier 2021</v>
      </c>
      <c r="F9" s="724"/>
      <c r="G9" s="294"/>
      <c r="H9" s="725" t="str">
        <f>'Mark &amp; Communication marketing'!H9</f>
        <v>Février 2021</v>
      </c>
      <c r="I9" s="726"/>
      <c r="J9" s="294"/>
      <c r="K9" s="725" t="str">
        <f>'Mark &amp; Communication marketing'!K9</f>
        <v>Mars 2021</v>
      </c>
      <c r="L9" s="726"/>
      <c r="M9" s="294"/>
      <c r="N9" s="723" t="str">
        <f>'Mark &amp; Communication marketing'!N9</f>
        <v>Avril 2021</v>
      </c>
      <c r="O9" s="724"/>
      <c r="P9" s="727"/>
      <c r="Q9" s="723" t="str">
        <f>'Mark &amp; Communication marketing'!Q9</f>
        <v>Mai 2021</v>
      </c>
      <c r="R9" s="724"/>
      <c r="S9" s="727"/>
      <c r="T9" s="725" t="str">
        <f>'Mark &amp; Communication marketing'!T9</f>
        <v>Juin 2021</v>
      </c>
      <c r="U9" s="726"/>
      <c r="V9" s="294"/>
      <c r="W9" s="725" t="str">
        <f>'Mark &amp; Communication marketing'!W9</f>
        <v>Juillet 2021</v>
      </c>
      <c r="X9" s="726"/>
      <c r="Y9" s="294"/>
      <c r="Z9" s="725" t="str">
        <f>'Mark &amp; Communication marketing'!Z9</f>
        <v>Août 2021</v>
      </c>
      <c r="AA9" s="726"/>
      <c r="AB9" s="294"/>
      <c r="AC9" s="725" t="str">
        <f>'Mark &amp; Communication marketing'!AC9</f>
        <v>Septembre 2021</v>
      </c>
      <c r="AD9" s="726"/>
      <c r="AE9" s="294"/>
      <c r="AF9" s="725" t="str">
        <f>'Mark &amp; Communication marketing'!AF9</f>
        <v>Octobre 2021</v>
      </c>
      <c r="AG9" s="726"/>
      <c r="AH9" s="294"/>
      <c r="AI9" s="725" t="str">
        <f>'Mark &amp; Communication marketing'!AI9</f>
        <v>Novembre 2021</v>
      </c>
      <c r="AJ9" s="726"/>
      <c r="AK9" s="294"/>
      <c r="AL9" s="725" t="str">
        <f>'Mark &amp; Communication marketing'!AL9</f>
        <v>Décembre 2021</v>
      </c>
      <c r="AM9" s="726"/>
      <c r="AN9" s="294"/>
      <c r="AO9" s="294"/>
      <c r="AP9" s="728" t="str">
        <f>'Mark &amp; Communication marketing'!AP9</f>
        <v>Année</v>
      </c>
      <c r="AQ9" s="729"/>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6" t="s">
        <v>339</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191">
        <v>7805</v>
      </c>
      <c r="C13" s="394" t="s">
        <v>340</v>
      </c>
      <c r="E13" s="710">
        <v>0</v>
      </c>
      <c r="F13" s="711">
        <f>E13/'État des Résultats'!$E$14</f>
        <v>0</v>
      </c>
      <c r="H13" s="710">
        <v>0</v>
      </c>
      <c r="I13" s="711">
        <f>H13/'État des Résultats'!$E$14</f>
        <v>0</v>
      </c>
      <c r="K13" s="710">
        <v>0</v>
      </c>
      <c r="L13" s="711">
        <f>K13/'État des Résultats'!$E$14</f>
        <v>0</v>
      </c>
      <c r="N13" s="710">
        <v>0</v>
      </c>
      <c r="O13" s="711">
        <f>N13/'État des Résultats'!$E$14</f>
        <v>0</v>
      </c>
      <c r="Q13" s="710">
        <v>1</v>
      </c>
      <c r="R13" s="711">
        <f>Q13/'État des Résultats'!$E$14</f>
        <v>2.6106150217398965E-5</v>
      </c>
      <c r="T13" s="710">
        <v>1</v>
      </c>
      <c r="U13" s="711">
        <f>T13/'État des Résultats'!$E$14</f>
        <v>2.6106150217398965E-5</v>
      </c>
      <c r="W13" s="710">
        <v>1</v>
      </c>
      <c r="X13" s="711">
        <f>W13/'État des Résultats'!$E$14</f>
        <v>2.6106150217398965E-5</v>
      </c>
      <c r="Z13" s="710">
        <v>1</v>
      </c>
      <c r="AA13" s="711">
        <f>Z13/'État des Résultats'!$E$14</f>
        <v>2.6106150217398965E-5</v>
      </c>
      <c r="AC13" s="710">
        <v>1</v>
      </c>
      <c r="AD13" s="711">
        <f>AC13/'État des Résultats'!$E$14</f>
        <v>2.6106150217398965E-5</v>
      </c>
      <c r="AF13" s="710">
        <v>1</v>
      </c>
      <c r="AG13" s="711">
        <f>AF13/'État des Résultats'!$E$14</f>
        <v>2.6106150217398965E-5</v>
      </c>
      <c r="AI13" s="710">
        <v>1</v>
      </c>
      <c r="AJ13" s="711">
        <f>AI13/'État des Résultats'!$E$14</f>
        <v>2.6106150217398965E-5</v>
      </c>
      <c r="AL13" s="710">
        <v>1</v>
      </c>
      <c r="AM13" s="711">
        <f>AL13/'État des Résultats'!$E$14</f>
        <v>2.6106150217398965E-5</v>
      </c>
      <c r="AP13" s="712">
        <f>SUM(+$AL13+$AI13+$AF13+$AC13+$Z13+$W13+$T13+$Q13+$N13+$K13+$H13+$E13)</f>
        <v>8</v>
      </c>
      <c r="AQ13" s="713">
        <f>AP13/'État des Résultats'!$AP$14</f>
        <v>1.415153060965015E-5</v>
      </c>
    </row>
    <row r="14" spans="2:56" x14ac:dyDescent="0.15">
      <c r="B14" s="191">
        <v>7810</v>
      </c>
      <c r="C14" s="394" t="s">
        <v>341</v>
      </c>
      <c r="E14" s="710">
        <v>0</v>
      </c>
      <c r="F14" s="711">
        <f>E14/'État des Résultats'!$E$14</f>
        <v>0</v>
      </c>
      <c r="H14" s="710">
        <v>0</v>
      </c>
      <c r="I14" s="711">
        <f>H14/'État des Résultats'!$E$14</f>
        <v>0</v>
      </c>
      <c r="K14" s="710">
        <v>0</v>
      </c>
      <c r="L14" s="711">
        <f>K14/'État des Résultats'!$E$14</f>
        <v>0</v>
      </c>
      <c r="N14" s="710">
        <v>0</v>
      </c>
      <c r="O14" s="711">
        <f>N14/'État des Résultats'!$E$14</f>
        <v>0</v>
      </c>
      <c r="Q14" s="710">
        <v>1</v>
      </c>
      <c r="R14" s="711">
        <f>Q14/'État des Résultats'!$E$14</f>
        <v>2.6106150217398965E-5</v>
      </c>
      <c r="T14" s="710">
        <v>1</v>
      </c>
      <c r="U14" s="711">
        <f>T14/'État des Résultats'!$E$14</f>
        <v>2.6106150217398965E-5</v>
      </c>
      <c r="W14" s="710">
        <v>1</v>
      </c>
      <c r="X14" s="711">
        <f>W14/'État des Résultats'!$E$14</f>
        <v>2.6106150217398965E-5</v>
      </c>
      <c r="Z14" s="710">
        <v>1</v>
      </c>
      <c r="AA14" s="711">
        <f>Z14/'État des Résultats'!$E$14</f>
        <v>2.6106150217398965E-5</v>
      </c>
      <c r="AC14" s="710">
        <v>1</v>
      </c>
      <c r="AD14" s="711">
        <f>AC14/'État des Résultats'!$E$14</f>
        <v>2.6106150217398965E-5</v>
      </c>
      <c r="AF14" s="710">
        <v>1</v>
      </c>
      <c r="AG14" s="711">
        <f>AF14/'État des Résultats'!$E$14</f>
        <v>2.6106150217398965E-5</v>
      </c>
      <c r="AI14" s="710">
        <v>1</v>
      </c>
      <c r="AJ14" s="711">
        <f>AI14/'État des Résultats'!$E$14</f>
        <v>2.6106150217398965E-5</v>
      </c>
      <c r="AL14" s="710">
        <v>1</v>
      </c>
      <c r="AM14" s="711">
        <f>AL14/'État des Résultats'!$E$14</f>
        <v>2.6106150217398965E-5</v>
      </c>
      <c r="AP14" s="712">
        <f>SUM(+$AL14+$AI14+$AF14+$AC14+$Z14+$W14+$T14+$Q14+$N14+$K14+$H14+$E14)</f>
        <v>8</v>
      </c>
      <c r="AQ14" s="713">
        <f>AP14/'État des Résultats'!$AP$14</f>
        <v>1.415153060965015E-5</v>
      </c>
    </row>
    <row r="15" spans="2:56" x14ac:dyDescent="0.15">
      <c r="B15" s="777">
        <v>7815</v>
      </c>
      <c r="C15" s="778" t="s">
        <v>342</v>
      </c>
      <c r="E15" s="710">
        <v>0</v>
      </c>
      <c r="F15" s="711">
        <f>E15/'État des Résultats'!$E$14</f>
        <v>0</v>
      </c>
      <c r="G15" s="716" t="s">
        <v>2</v>
      </c>
      <c r="H15" s="710">
        <v>0</v>
      </c>
      <c r="I15" s="711">
        <f>H15/'État des Résultats'!$E$14</f>
        <v>0</v>
      </c>
      <c r="K15" s="710">
        <v>0</v>
      </c>
      <c r="L15" s="711">
        <f>K15/'État des Résultats'!$E$14</f>
        <v>0</v>
      </c>
      <c r="N15" s="710">
        <v>0</v>
      </c>
      <c r="O15" s="711">
        <f>N15/'État des Résultats'!$E$14</f>
        <v>0</v>
      </c>
      <c r="Q15" s="710">
        <v>1</v>
      </c>
      <c r="R15" s="711">
        <f>Q15/'État des Résultats'!$E$14</f>
        <v>2.6106150217398965E-5</v>
      </c>
      <c r="T15" s="710">
        <v>1</v>
      </c>
      <c r="U15" s="711">
        <f>T15/'État des Résultats'!$E$14</f>
        <v>2.6106150217398965E-5</v>
      </c>
      <c r="W15" s="710">
        <v>1</v>
      </c>
      <c r="X15" s="711">
        <f>W15/'État des Résultats'!$E$14</f>
        <v>2.6106150217398965E-5</v>
      </c>
      <c r="Z15" s="710">
        <v>1</v>
      </c>
      <c r="AA15" s="711">
        <f>Z15/'État des Résultats'!$E$14</f>
        <v>2.6106150217398965E-5</v>
      </c>
      <c r="AC15" s="710">
        <v>1</v>
      </c>
      <c r="AD15" s="711">
        <f>AC15/'État des Résultats'!$E$14</f>
        <v>2.6106150217398965E-5</v>
      </c>
      <c r="AF15" s="710">
        <v>1</v>
      </c>
      <c r="AG15" s="711">
        <f>AF15/'État des Résultats'!$E$14</f>
        <v>2.6106150217398965E-5</v>
      </c>
      <c r="AI15" s="710">
        <v>1</v>
      </c>
      <c r="AJ15" s="711">
        <f>AI15/'État des Résultats'!$E$14</f>
        <v>2.6106150217398965E-5</v>
      </c>
      <c r="AL15" s="710">
        <v>1</v>
      </c>
      <c r="AM15" s="711">
        <f>AL15/'État des Résultats'!$E$14</f>
        <v>2.6106150217398965E-5</v>
      </c>
      <c r="AP15" s="712">
        <f t="shared" ref="AP15:AP27" si="0">SUM(+$AL15+$AI15+$AF15+$AC15+$Z15+$W15+$T15+$Q15+$N15+$K15+$H15+$E15)</f>
        <v>8</v>
      </c>
      <c r="AQ15" s="713">
        <f>AP15/'État des Résultats'!$AP$14</f>
        <v>1.415153060965015E-5</v>
      </c>
    </row>
    <row r="16" spans="2:56" x14ac:dyDescent="0.15">
      <c r="B16" s="191">
        <v>7820</v>
      </c>
      <c r="C16" s="394" t="s">
        <v>343</v>
      </c>
      <c r="E16" s="710">
        <v>0</v>
      </c>
      <c r="F16" s="711">
        <f>E16/'État des Résultats'!$E$14</f>
        <v>0</v>
      </c>
      <c r="H16" s="710">
        <v>0</v>
      </c>
      <c r="I16" s="711">
        <f>H16/'État des Résultats'!$E$14</f>
        <v>0</v>
      </c>
      <c r="K16" s="710">
        <v>0</v>
      </c>
      <c r="L16" s="711">
        <f>K16/'État des Résultats'!$E$14</f>
        <v>0</v>
      </c>
      <c r="N16" s="710">
        <v>0</v>
      </c>
      <c r="O16" s="711">
        <f>N16/'État des Résultats'!$E$14</f>
        <v>0</v>
      </c>
      <c r="Q16" s="710">
        <v>1</v>
      </c>
      <c r="R16" s="711">
        <f>Q16/'État des Résultats'!$E$14</f>
        <v>2.6106150217398965E-5</v>
      </c>
      <c r="T16" s="710">
        <v>1</v>
      </c>
      <c r="U16" s="711">
        <f>T16/'État des Résultats'!$E$14</f>
        <v>2.6106150217398965E-5</v>
      </c>
      <c r="W16" s="710">
        <v>1</v>
      </c>
      <c r="X16" s="711">
        <f>W16/'État des Résultats'!$E$14</f>
        <v>2.6106150217398965E-5</v>
      </c>
      <c r="Z16" s="710">
        <v>1</v>
      </c>
      <c r="AA16" s="711">
        <f>Z16/'État des Résultats'!$E$14</f>
        <v>2.6106150217398965E-5</v>
      </c>
      <c r="AC16" s="710">
        <v>1</v>
      </c>
      <c r="AD16" s="711">
        <f>AC16/'État des Résultats'!$E$14</f>
        <v>2.6106150217398965E-5</v>
      </c>
      <c r="AF16" s="710">
        <v>1</v>
      </c>
      <c r="AG16" s="711">
        <f>AF16/'État des Résultats'!$E$14</f>
        <v>2.6106150217398965E-5</v>
      </c>
      <c r="AI16" s="710">
        <v>1</v>
      </c>
      <c r="AJ16" s="711">
        <f>AI16/'État des Résultats'!$E$14</f>
        <v>2.6106150217398965E-5</v>
      </c>
      <c r="AL16" s="710">
        <v>1</v>
      </c>
      <c r="AM16" s="711">
        <f>AL16/'État des Résultats'!$E$14</f>
        <v>2.6106150217398965E-5</v>
      </c>
      <c r="AP16" s="712">
        <f t="shared" si="0"/>
        <v>8</v>
      </c>
      <c r="AQ16" s="713">
        <f>AP16/'État des Résultats'!$AP$14</f>
        <v>1.415153060965015E-5</v>
      </c>
    </row>
    <row r="17" spans="2:47" x14ac:dyDescent="0.15">
      <c r="B17" s="191">
        <v>7825</v>
      </c>
      <c r="C17" s="394" t="s">
        <v>344</v>
      </c>
      <c r="E17" s="710">
        <v>0</v>
      </c>
      <c r="F17" s="711">
        <f>E17/'État des Résultats'!$E$14</f>
        <v>0</v>
      </c>
      <c r="H17" s="710">
        <v>0</v>
      </c>
      <c r="I17" s="711">
        <f>H17/'État des Résultats'!$E$14</f>
        <v>0</v>
      </c>
      <c r="K17" s="710">
        <v>0</v>
      </c>
      <c r="L17" s="711">
        <f>K17/'État des Résultats'!$E$14</f>
        <v>0</v>
      </c>
      <c r="N17" s="710">
        <v>0</v>
      </c>
      <c r="O17" s="711">
        <f>N17/'État des Résultats'!$E$14</f>
        <v>0</v>
      </c>
      <c r="Q17" s="710">
        <v>1</v>
      </c>
      <c r="R17" s="711">
        <f>Q17/'État des Résultats'!$E$14</f>
        <v>2.6106150217398965E-5</v>
      </c>
      <c r="T17" s="710">
        <v>1</v>
      </c>
      <c r="U17" s="711">
        <f>T17/'État des Résultats'!$E$14</f>
        <v>2.6106150217398965E-5</v>
      </c>
      <c r="W17" s="710">
        <v>1</v>
      </c>
      <c r="X17" s="711">
        <f>W17/'État des Résultats'!$E$14</f>
        <v>2.6106150217398965E-5</v>
      </c>
      <c r="Z17" s="710">
        <v>1</v>
      </c>
      <c r="AA17" s="711">
        <f>Z17/'État des Résultats'!$E$14</f>
        <v>2.6106150217398965E-5</v>
      </c>
      <c r="AC17" s="710">
        <v>1</v>
      </c>
      <c r="AD17" s="711">
        <f>AC17/'État des Résultats'!$E$14</f>
        <v>2.6106150217398965E-5</v>
      </c>
      <c r="AF17" s="710">
        <v>1</v>
      </c>
      <c r="AG17" s="711">
        <f>AF17/'État des Résultats'!$E$14</f>
        <v>2.6106150217398965E-5</v>
      </c>
      <c r="AI17" s="710">
        <v>1</v>
      </c>
      <c r="AJ17" s="711">
        <f>AI17/'État des Résultats'!$E$14</f>
        <v>2.6106150217398965E-5</v>
      </c>
      <c r="AL17" s="710">
        <v>1</v>
      </c>
      <c r="AM17" s="711">
        <f>AL17/'État des Résultats'!$E$14</f>
        <v>2.6106150217398965E-5</v>
      </c>
      <c r="AP17" s="712">
        <f t="shared" si="0"/>
        <v>8</v>
      </c>
      <c r="AQ17" s="713">
        <f>AP17/'État des Résultats'!$AP$14</f>
        <v>1.415153060965015E-5</v>
      </c>
    </row>
    <row r="18" spans="2:47" x14ac:dyDescent="0.15">
      <c r="B18" s="191">
        <v>7830</v>
      </c>
      <c r="C18" s="394" t="s">
        <v>345</v>
      </c>
      <c r="E18" s="710">
        <v>0</v>
      </c>
      <c r="F18" s="711">
        <f>E18/'État des Résultats'!$E$14</f>
        <v>0</v>
      </c>
      <c r="H18" s="710">
        <v>0</v>
      </c>
      <c r="I18" s="711">
        <f>H18/'État des Résultats'!$E$14</f>
        <v>0</v>
      </c>
      <c r="K18" s="710">
        <v>0</v>
      </c>
      <c r="L18" s="711">
        <f>K18/'État des Résultats'!$E$14</f>
        <v>0</v>
      </c>
      <c r="N18" s="710">
        <v>0</v>
      </c>
      <c r="O18" s="711">
        <f>N18/'État des Résultats'!$E$14</f>
        <v>0</v>
      </c>
      <c r="Q18" s="710">
        <v>1</v>
      </c>
      <c r="R18" s="711">
        <f>Q18/'État des Résultats'!$E$14</f>
        <v>2.6106150217398965E-5</v>
      </c>
      <c r="T18" s="710">
        <v>1</v>
      </c>
      <c r="U18" s="711">
        <f>T18/'État des Résultats'!$E$14</f>
        <v>2.6106150217398965E-5</v>
      </c>
      <c r="W18" s="710">
        <v>1</v>
      </c>
      <c r="X18" s="711">
        <f>W18/'État des Résultats'!$E$14</f>
        <v>2.6106150217398965E-5</v>
      </c>
      <c r="Z18" s="710">
        <v>1</v>
      </c>
      <c r="AA18" s="711">
        <f>Z18/'État des Résultats'!$E$14</f>
        <v>2.6106150217398965E-5</v>
      </c>
      <c r="AC18" s="710">
        <v>1</v>
      </c>
      <c r="AD18" s="711">
        <f>AC18/'État des Résultats'!$E$14</f>
        <v>2.6106150217398965E-5</v>
      </c>
      <c r="AF18" s="710">
        <v>1</v>
      </c>
      <c r="AG18" s="711">
        <f>AF18/'État des Résultats'!$E$14</f>
        <v>2.6106150217398965E-5</v>
      </c>
      <c r="AI18" s="710">
        <v>1</v>
      </c>
      <c r="AJ18" s="711">
        <f>AI18/'État des Résultats'!$E$14</f>
        <v>2.6106150217398965E-5</v>
      </c>
      <c r="AL18" s="710">
        <v>1</v>
      </c>
      <c r="AM18" s="711">
        <f>AL18/'État des Résultats'!$E$14</f>
        <v>2.6106150217398965E-5</v>
      </c>
      <c r="AP18" s="712">
        <f t="shared" si="0"/>
        <v>8</v>
      </c>
      <c r="AQ18" s="713">
        <f>AP18/'État des Résultats'!$AP$14</f>
        <v>1.415153060965015E-5</v>
      </c>
      <c r="AS18" s="210"/>
    </row>
    <row r="19" spans="2:47" x14ac:dyDescent="0.15">
      <c r="B19" s="191">
        <v>7835</v>
      </c>
      <c r="C19" s="394" t="s">
        <v>346</v>
      </c>
      <c r="E19" s="710">
        <v>0</v>
      </c>
      <c r="F19" s="711">
        <f>E19/'État des Résultats'!$E$14</f>
        <v>0</v>
      </c>
      <c r="H19" s="710">
        <v>0</v>
      </c>
      <c r="I19" s="711">
        <f>H19/'État des Résultats'!$E$14</f>
        <v>0</v>
      </c>
      <c r="K19" s="710">
        <v>0</v>
      </c>
      <c r="L19" s="711">
        <f>K19/'État des Résultats'!$E$14</f>
        <v>0</v>
      </c>
      <c r="N19" s="710">
        <v>0</v>
      </c>
      <c r="O19" s="711">
        <f>N19/'État des Résultats'!$E$14</f>
        <v>0</v>
      </c>
      <c r="Q19" s="710">
        <v>1</v>
      </c>
      <c r="R19" s="711">
        <f>Q19/'État des Résultats'!$E$14</f>
        <v>2.6106150217398965E-5</v>
      </c>
      <c r="T19" s="710">
        <v>1</v>
      </c>
      <c r="U19" s="711">
        <f>T19/'État des Résultats'!$E$14</f>
        <v>2.6106150217398965E-5</v>
      </c>
      <c r="W19" s="710">
        <v>1</v>
      </c>
      <c r="X19" s="711">
        <f>W19/'État des Résultats'!$E$14</f>
        <v>2.6106150217398965E-5</v>
      </c>
      <c r="Z19" s="710">
        <v>1</v>
      </c>
      <c r="AA19" s="711">
        <f>Z19/'État des Résultats'!$E$14</f>
        <v>2.6106150217398965E-5</v>
      </c>
      <c r="AC19" s="710">
        <v>1</v>
      </c>
      <c r="AD19" s="711">
        <f>AC19/'État des Résultats'!$E$14</f>
        <v>2.6106150217398965E-5</v>
      </c>
      <c r="AF19" s="710">
        <v>1</v>
      </c>
      <c r="AG19" s="711">
        <f>AF19/'État des Résultats'!$E$14</f>
        <v>2.6106150217398965E-5</v>
      </c>
      <c r="AI19" s="710">
        <v>1</v>
      </c>
      <c r="AJ19" s="711">
        <f>AI19/'État des Résultats'!$E$14</f>
        <v>2.6106150217398965E-5</v>
      </c>
      <c r="AL19" s="710">
        <v>1</v>
      </c>
      <c r="AM19" s="711">
        <f>AL19/'État des Résultats'!$E$14</f>
        <v>2.6106150217398965E-5</v>
      </c>
      <c r="AP19" s="712">
        <f t="shared" si="0"/>
        <v>8</v>
      </c>
      <c r="AQ19" s="713">
        <f>AP19/'État des Résultats'!$AP$14</f>
        <v>1.415153060965015E-5</v>
      </c>
    </row>
    <row r="20" spans="2:47" x14ac:dyDescent="0.15">
      <c r="B20" s="191">
        <v>7840</v>
      </c>
      <c r="C20" s="394" t="s">
        <v>347</v>
      </c>
      <c r="E20" s="710">
        <v>0</v>
      </c>
      <c r="F20" s="711">
        <f>E20/'État des Résultats'!$E$14</f>
        <v>0</v>
      </c>
      <c r="H20" s="710">
        <v>0</v>
      </c>
      <c r="I20" s="711">
        <f>H20/'État des Résultats'!$E$14</f>
        <v>0</v>
      </c>
      <c r="K20" s="710">
        <v>0</v>
      </c>
      <c r="L20" s="711">
        <f>K20/'État des Résultats'!$E$14</f>
        <v>0</v>
      </c>
      <c r="N20" s="710">
        <v>0</v>
      </c>
      <c r="O20" s="711">
        <f>N20/'État des Résultats'!$E$14</f>
        <v>0</v>
      </c>
      <c r="Q20" s="710">
        <v>1</v>
      </c>
      <c r="R20" s="711">
        <f>Q20/'État des Résultats'!$E$14</f>
        <v>2.6106150217398965E-5</v>
      </c>
      <c r="T20" s="710">
        <v>1</v>
      </c>
      <c r="U20" s="711">
        <f>T20/'État des Résultats'!$E$14</f>
        <v>2.6106150217398965E-5</v>
      </c>
      <c r="W20" s="710">
        <v>1</v>
      </c>
      <c r="X20" s="711">
        <f>W20/'État des Résultats'!$E$14</f>
        <v>2.6106150217398965E-5</v>
      </c>
      <c r="Z20" s="710">
        <v>1</v>
      </c>
      <c r="AA20" s="711">
        <f>Z20/'État des Résultats'!$E$14</f>
        <v>2.6106150217398965E-5</v>
      </c>
      <c r="AC20" s="710">
        <v>1</v>
      </c>
      <c r="AD20" s="711">
        <f>AC20/'État des Résultats'!$E$14</f>
        <v>2.6106150217398965E-5</v>
      </c>
      <c r="AF20" s="710">
        <v>1</v>
      </c>
      <c r="AG20" s="711">
        <f>AF20/'État des Résultats'!$E$14</f>
        <v>2.6106150217398965E-5</v>
      </c>
      <c r="AI20" s="710">
        <v>1</v>
      </c>
      <c r="AJ20" s="711">
        <f>AI20/'État des Résultats'!$E$14</f>
        <v>2.6106150217398965E-5</v>
      </c>
      <c r="AL20" s="710">
        <v>1</v>
      </c>
      <c r="AM20" s="711">
        <f>AL20/'État des Résultats'!$E$14</f>
        <v>2.6106150217398965E-5</v>
      </c>
      <c r="AP20" s="712">
        <f t="shared" si="0"/>
        <v>8</v>
      </c>
      <c r="AQ20" s="713">
        <f>AP20/'État des Résultats'!$AP$14</f>
        <v>1.415153060965015E-5</v>
      </c>
    </row>
    <row r="21" spans="2:47" x14ac:dyDescent="0.15">
      <c r="B21" s="191">
        <v>7845</v>
      </c>
      <c r="C21" s="394" t="s">
        <v>348</v>
      </c>
      <c r="E21" s="710">
        <v>0</v>
      </c>
      <c r="F21" s="711">
        <f>E21/'État des Résultats'!$E$14</f>
        <v>0</v>
      </c>
      <c r="H21" s="710">
        <v>0</v>
      </c>
      <c r="I21" s="711">
        <f>H21/'État des Résultats'!$E$14</f>
        <v>0</v>
      </c>
      <c r="K21" s="710">
        <v>0</v>
      </c>
      <c r="L21" s="711">
        <f>K21/'État des Résultats'!$E$14</f>
        <v>0</v>
      </c>
      <c r="N21" s="710">
        <v>0</v>
      </c>
      <c r="O21" s="711">
        <f>N21/'État des Résultats'!$E$14</f>
        <v>0</v>
      </c>
      <c r="Q21" s="710">
        <v>1</v>
      </c>
      <c r="R21" s="711">
        <f>Q21/'État des Résultats'!$E$14</f>
        <v>2.6106150217398965E-5</v>
      </c>
      <c r="T21" s="710">
        <v>1</v>
      </c>
      <c r="U21" s="711">
        <f>T21/'État des Résultats'!$E$14</f>
        <v>2.6106150217398965E-5</v>
      </c>
      <c r="W21" s="710">
        <v>1</v>
      </c>
      <c r="X21" s="711">
        <f>W21/'État des Résultats'!$E$14</f>
        <v>2.6106150217398965E-5</v>
      </c>
      <c r="Z21" s="710">
        <v>1</v>
      </c>
      <c r="AA21" s="711">
        <f>Z21/'État des Résultats'!$E$14</f>
        <v>2.6106150217398965E-5</v>
      </c>
      <c r="AC21" s="710">
        <v>1</v>
      </c>
      <c r="AD21" s="711">
        <f>AC21/'État des Résultats'!$E$14</f>
        <v>2.6106150217398965E-5</v>
      </c>
      <c r="AF21" s="710">
        <v>1</v>
      </c>
      <c r="AG21" s="711">
        <f>AF21/'État des Résultats'!$E$14</f>
        <v>2.6106150217398965E-5</v>
      </c>
      <c r="AI21" s="710">
        <v>1</v>
      </c>
      <c r="AJ21" s="711">
        <f>AI21/'État des Résultats'!$E$14</f>
        <v>2.6106150217398965E-5</v>
      </c>
      <c r="AL21" s="710">
        <v>1</v>
      </c>
      <c r="AM21" s="711">
        <f>AL21/'État des Résultats'!$E$14</f>
        <v>2.6106150217398965E-5</v>
      </c>
      <c r="AP21" s="712">
        <f t="shared" si="0"/>
        <v>8</v>
      </c>
      <c r="AQ21" s="713">
        <f>AP21/'État des Résultats'!$AP$14</f>
        <v>1.415153060965015E-5</v>
      </c>
    </row>
    <row r="22" spans="2:47" x14ac:dyDescent="0.15">
      <c r="B22" s="191">
        <v>7850</v>
      </c>
      <c r="C22" s="394" t="s">
        <v>349</v>
      </c>
      <c r="E22" s="710">
        <v>0</v>
      </c>
      <c r="F22" s="711">
        <f>E22/'État des Résultats'!$E$14</f>
        <v>0</v>
      </c>
      <c r="H22" s="710">
        <v>0</v>
      </c>
      <c r="I22" s="711">
        <f>H22/'État des Résultats'!$E$14</f>
        <v>0</v>
      </c>
      <c r="K22" s="710">
        <v>0</v>
      </c>
      <c r="L22" s="711">
        <f>K22/'État des Résultats'!$E$14</f>
        <v>0</v>
      </c>
      <c r="N22" s="710">
        <v>0</v>
      </c>
      <c r="O22" s="711">
        <f>N22/'État des Résultats'!$E$14</f>
        <v>0</v>
      </c>
      <c r="Q22" s="710">
        <v>1</v>
      </c>
      <c r="R22" s="711">
        <f>Q22/'État des Résultats'!$E$14</f>
        <v>2.6106150217398965E-5</v>
      </c>
      <c r="T22" s="710">
        <v>1</v>
      </c>
      <c r="U22" s="711">
        <f>T22/'État des Résultats'!$E$14</f>
        <v>2.6106150217398965E-5</v>
      </c>
      <c r="W22" s="710">
        <v>1</v>
      </c>
      <c r="X22" s="711">
        <f>W22/'État des Résultats'!$E$14</f>
        <v>2.6106150217398965E-5</v>
      </c>
      <c r="Z22" s="710">
        <v>1</v>
      </c>
      <c r="AA22" s="711">
        <f>Z22/'État des Résultats'!$E$14</f>
        <v>2.6106150217398965E-5</v>
      </c>
      <c r="AC22" s="710">
        <v>1</v>
      </c>
      <c r="AD22" s="711">
        <f>AC22/'État des Résultats'!$E$14</f>
        <v>2.6106150217398965E-5</v>
      </c>
      <c r="AF22" s="710">
        <v>1</v>
      </c>
      <c r="AG22" s="711">
        <f>AF22/'État des Résultats'!$E$14</f>
        <v>2.6106150217398965E-5</v>
      </c>
      <c r="AI22" s="710">
        <v>1</v>
      </c>
      <c r="AJ22" s="711">
        <f>AI22/'État des Résultats'!$E$14</f>
        <v>2.6106150217398965E-5</v>
      </c>
      <c r="AL22" s="710">
        <v>1</v>
      </c>
      <c r="AM22" s="711">
        <f>AL22/'État des Résultats'!$E$14</f>
        <v>2.6106150217398965E-5</v>
      </c>
      <c r="AP22" s="712">
        <f t="shared" si="0"/>
        <v>8</v>
      </c>
      <c r="AQ22" s="713">
        <f>AP22/'État des Résultats'!$AP$14</f>
        <v>1.415153060965015E-5</v>
      </c>
    </row>
    <row r="23" spans="2:47" x14ac:dyDescent="0.15">
      <c r="B23" s="777">
        <v>7855</v>
      </c>
      <c r="C23" s="778" t="s">
        <v>350</v>
      </c>
      <c r="E23" s="710">
        <v>1000</v>
      </c>
      <c r="F23" s="711">
        <f>E23/'État des Résultats'!$E$14</f>
        <v>2.6106150217398965E-2</v>
      </c>
      <c r="H23" s="710">
        <v>1000</v>
      </c>
      <c r="I23" s="711">
        <f>H23/'État des Résultats'!$E$14</f>
        <v>2.6106150217398965E-2</v>
      </c>
      <c r="K23" s="710">
        <v>1000</v>
      </c>
      <c r="L23" s="711">
        <f>K23/'État des Résultats'!$E$14</f>
        <v>2.6106150217398965E-2</v>
      </c>
      <c r="N23" s="710">
        <v>1000</v>
      </c>
      <c r="O23" s="711">
        <f>N23/'État des Résultats'!$E$14</f>
        <v>2.6106150217398965E-2</v>
      </c>
      <c r="Q23" s="710">
        <v>1000</v>
      </c>
      <c r="R23" s="711">
        <f>Q23/'État des Résultats'!$E$14</f>
        <v>2.6106150217398965E-2</v>
      </c>
      <c r="T23" s="710">
        <v>1000</v>
      </c>
      <c r="U23" s="711">
        <f>T23/'État des Résultats'!$E$14</f>
        <v>2.6106150217398965E-2</v>
      </c>
      <c r="W23" s="710">
        <v>1000</v>
      </c>
      <c r="X23" s="711">
        <f>W23/'État des Résultats'!$E$14</f>
        <v>2.6106150217398965E-2</v>
      </c>
      <c r="Z23" s="710">
        <v>1000</v>
      </c>
      <c r="AA23" s="711">
        <f>Z23/'État des Résultats'!$E$14</f>
        <v>2.6106150217398965E-2</v>
      </c>
      <c r="AC23" s="710">
        <v>1000</v>
      </c>
      <c r="AD23" s="711">
        <f>AC23/'État des Résultats'!$E$14</f>
        <v>2.6106150217398965E-2</v>
      </c>
      <c r="AF23" s="710">
        <v>1000</v>
      </c>
      <c r="AG23" s="711">
        <f>AF23/'État des Résultats'!$E$14</f>
        <v>2.6106150217398965E-2</v>
      </c>
      <c r="AI23" s="710">
        <v>1000</v>
      </c>
      <c r="AJ23" s="711">
        <f>AI23/'État des Résultats'!$E$14</f>
        <v>2.6106150217398965E-2</v>
      </c>
      <c r="AL23" s="710">
        <v>1000</v>
      </c>
      <c r="AM23" s="711">
        <f>AL23/'État des Résultats'!$E$14</f>
        <v>2.6106150217398965E-2</v>
      </c>
      <c r="AP23" s="712">
        <f t="shared" si="0"/>
        <v>12000</v>
      </c>
      <c r="AQ23" s="713">
        <f>AP23/'État des Résultats'!$AP$14</f>
        <v>2.1227295914475225E-2</v>
      </c>
    </row>
    <row r="24" spans="2:47" x14ac:dyDescent="0.15">
      <c r="B24" s="191">
        <v>7860</v>
      </c>
      <c r="C24" s="394" t="s">
        <v>351</v>
      </c>
      <c r="E24" s="710">
        <v>0</v>
      </c>
      <c r="F24" s="711">
        <f>E24/'État des Résultats'!$E$14</f>
        <v>0</v>
      </c>
      <c r="H24" s="710">
        <v>0</v>
      </c>
      <c r="I24" s="711">
        <f>H24/'État des Résultats'!$E$14</f>
        <v>0</v>
      </c>
      <c r="K24" s="710">
        <v>0</v>
      </c>
      <c r="L24" s="711">
        <f>K24/'État des Résultats'!$E$14</f>
        <v>0</v>
      </c>
      <c r="N24" s="710">
        <v>0</v>
      </c>
      <c r="O24" s="711">
        <f>N24/'État des Résultats'!$E$14</f>
        <v>0</v>
      </c>
      <c r="Q24" s="710">
        <v>1</v>
      </c>
      <c r="R24" s="711">
        <f>Q24/'État des Résultats'!$E$14</f>
        <v>2.6106150217398965E-5</v>
      </c>
      <c r="T24" s="710">
        <v>1</v>
      </c>
      <c r="U24" s="711">
        <f>T24/'État des Résultats'!$E$14</f>
        <v>2.6106150217398965E-5</v>
      </c>
      <c r="W24" s="710">
        <v>1</v>
      </c>
      <c r="X24" s="711">
        <f>W24/'État des Résultats'!$E$14</f>
        <v>2.6106150217398965E-5</v>
      </c>
      <c r="Z24" s="710">
        <v>1</v>
      </c>
      <c r="AA24" s="711">
        <f>Z24/'État des Résultats'!$E$14</f>
        <v>2.6106150217398965E-5</v>
      </c>
      <c r="AC24" s="710">
        <v>1</v>
      </c>
      <c r="AD24" s="711">
        <f>AC24/'État des Résultats'!$E$14</f>
        <v>2.6106150217398965E-5</v>
      </c>
      <c r="AF24" s="710">
        <v>1</v>
      </c>
      <c r="AG24" s="711">
        <f>AF24/'État des Résultats'!$E$14</f>
        <v>2.6106150217398965E-5</v>
      </c>
      <c r="AI24" s="710">
        <v>1</v>
      </c>
      <c r="AJ24" s="711">
        <f>AI24/'État des Résultats'!$E$14</f>
        <v>2.6106150217398965E-5</v>
      </c>
      <c r="AL24" s="710">
        <v>1</v>
      </c>
      <c r="AM24" s="711">
        <f>AL24/'État des Résultats'!$E$14</f>
        <v>2.6106150217398965E-5</v>
      </c>
      <c r="AP24" s="712">
        <f t="shared" si="0"/>
        <v>8</v>
      </c>
      <c r="AQ24" s="713">
        <f>AP24/'État des Résultats'!$AP$14</f>
        <v>1.415153060965015E-5</v>
      </c>
    </row>
    <row r="25" spans="2:47" x14ac:dyDescent="0.15">
      <c r="B25" s="191">
        <v>7865</v>
      </c>
      <c r="C25" s="394" t="s">
        <v>352</v>
      </c>
      <c r="E25" s="710">
        <v>0</v>
      </c>
      <c r="F25" s="711">
        <f>E25/'État des Résultats'!$E$14</f>
        <v>0</v>
      </c>
      <c r="H25" s="710">
        <v>0</v>
      </c>
      <c r="I25" s="711">
        <f>H25/'État des Résultats'!$E$14</f>
        <v>0</v>
      </c>
      <c r="K25" s="710">
        <v>0</v>
      </c>
      <c r="L25" s="711">
        <f>K25/'État des Résultats'!$E$14</f>
        <v>0</v>
      </c>
      <c r="N25" s="710">
        <v>0</v>
      </c>
      <c r="O25" s="711">
        <f>N25/'État des Résultats'!$E$14</f>
        <v>0</v>
      </c>
      <c r="Q25" s="710">
        <v>1</v>
      </c>
      <c r="R25" s="711">
        <f>Q25/'État des Résultats'!$E$14</f>
        <v>2.6106150217398965E-5</v>
      </c>
      <c r="T25" s="710">
        <v>1</v>
      </c>
      <c r="U25" s="711">
        <f>T25/'État des Résultats'!$E$14</f>
        <v>2.6106150217398965E-5</v>
      </c>
      <c r="W25" s="710">
        <v>1</v>
      </c>
      <c r="X25" s="711">
        <f>W25/'État des Résultats'!$E$14</f>
        <v>2.6106150217398965E-5</v>
      </c>
      <c r="Z25" s="710">
        <v>1</v>
      </c>
      <c r="AA25" s="711">
        <f>Z25/'État des Résultats'!$E$14</f>
        <v>2.6106150217398965E-5</v>
      </c>
      <c r="AC25" s="710">
        <v>1</v>
      </c>
      <c r="AD25" s="711">
        <f>AC25/'État des Résultats'!$E$14</f>
        <v>2.6106150217398965E-5</v>
      </c>
      <c r="AF25" s="710">
        <v>1</v>
      </c>
      <c r="AG25" s="711">
        <f>AF25/'État des Résultats'!$E$14</f>
        <v>2.6106150217398965E-5</v>
      </c>
      <c r="AI25" s="710">
        <v>1</v>
      </c>
      <c r="AJ25" s="711">
        <f>AI25/'État des Résultats'!$E$14</f>
        <v>2.6106150217398965E-5</v>
      </c>
      <c r="AL25" s="710">
        <v>1</v>
      </c>
      <c r="AM25" s="711">
        <f>AL25/'État des Résultats'!$E$14</f>
        <v>2.6106150217398965E-5</v>
      </c>
      <c r="AP25" s="712">
        <f t="shared" si="0"/>
        <v>8</v>
      </c>
      <c r="AQ25" s="713">
        <f>AP25/'État des Résultats'!$AP$14</f>
        <v>1.415153060965015E-5</v>
      </c>
    </row>
    <row r="26" spans="2:47" x14ac:dyDescent="0.15">
      <c r="B26" s="191">
        <v>7880</v>
      </c>
      <c r="C26" s="394" t="s">
        <v>353</v>
      </c>
      <c r="E26" s="710">
        <v>0</v>
      </c>
      <c r="F26" s="711">
        <f>E26/'État des Résultats'!$E$14</f>
        <v>0</v>
      </c>
      <c r="H26" s="710">
        <v>0</v>
      </c>
      <c r="I26" s="711">
        <f>H26/'État des Résultats'!$E$14</f>
        <v>0</v>
      </c>
      <c r="K26" s="710">
        <v>0</v>
      </c>
      <c r="L26" s="711">
        <f>K26/'État des Résultats'!$E$14</f>
        <v>0</v>
      </c>
      <c r="N26" s="710">
        <v>0</v>
      </c>
      <c r="O26" s="711">
        <f>N26/'État des Résultats'!$E$14</f>
        <v>0</v>
      </c>
      <c r="Q26" s="710">
        <v>1</v>
      </c>
      <c r="R26" s="711">
        <f>Q26/'État des Résultats'!$E$14</f>
        <v>2.6106150217398965E-5</v>
      </c>
      <c r="T26" s="710">
        <v>1</v>
      </c>
      <c r="U26" s="711">
        <f>T26/'État des Résultats'!$E$14</f>
        <v>2.6106150217398965E-5</v>
      </c>
      <c r="W26" s="710">
        <v>1</v>
      </c>
      <c r="X26" s="711">
        <f>W26/'État des Résultats'!$E$14</f>
        <v>2.6106150217398965E-5</v>
      </c>
      <c r="Z26" s="710">
        <v>1</v>
      </c>
      <c r="AA26" s="711">
        <f>Z26/'État des Résultats'!$E$14</f>
        <v>2.6106150217398965E-5</v>
      </c>
      <c r="AC26" s="710">
        <v>1</v>
      </c>
      <c r="AD26" s="711">
        <f>AC26/'État des Résultats'!$E$14</f>
        <v>2.6106150217398965E-5</v>
      </c>
      <c r="AF26" s="710">
        <v>1</v>
      </c>
      <c r="AG26" s="711">
        <f>AF26/'État des Résultats'!$E$14</f>
        <v>2.6106150217398965E-5</v>
      </c>
      <c r="AI26" s="710">
        <v>1</v>
      </c>
      <c r="AJ26" s="711">
        <f>AI26/'État des Résultats'!$E$14</f>
        <v>2.6106150217398965E-5</v>
      </c>
      <c r="AL26" s="710">
        <v>1</v>
      </c>
      <c r="AM26" s="711">
        <f>AL26/'État des Résultats'!$E$14</f>
        <v>2.6106150217398965E-5</v>
      </c>
      <c r="AP26" s="712">
        <f t="shared" si="0"/>
        <v>8</v>
      </c>
      <c r="AQ26" s="713">
        <f>AP26/'État des Résultats'!$AP$14</f>
        <v>1.415153060965015E-5</v>
      </c>
    </row>
    <row r="27" spans="2:47" x14ac:dyDescent="0.15">
      <c r="B27" s="191">
        <v>7899</v>
      </c>
      <c r="C27" s="394" t="s">
        <v>218</v>
      </c>
      <c r="E27" s="710">
        <v>0</v>
      </c>
      <c r="F27" s="711">
        <f>E27/'État des Résultats'!$E$14</f>
        <v>0</v>
      </c>
      <c r="H27" s="710">
        <v>0</v>
      </c>
      <c r="I27" s="711">
        <f>H27/'État des Résultats'!$E$14</f>
        <v>0</v>
      </c>
      <c r="K27" s="710">
        <v>0</v>
      </c>
      <c r="L27" s="711">
        <f>K27/'État des Résultats'!$E$14</f>
        <v>0</v>
      </c>
      <c r="N27" s="710">
        <v>0</v>
      </c>
      <c r="O27" s="711">
        <f>N27/'État des Résultats'!$E$14</f>
        <v>0</v>
      </c>
      <c r="Q27" s="710">
        <v>1</v>
      </c>
      <c r="R27" s="711">
        <f>Q27/'État des Résultats'!$E$14</f>
        <v>2.6106150217398965E-5</v>
      </c>
      <c r="T27" s="710">
        <v>1</v>
      </c>
      <c r="U27" s="711">
        <f>T27/'État des Résultats'!$E$14</f>
        <v>2.6106150217398965E-5</v>
      </c>
      <c r="W27" s="710">
        <v>1</v>
      </c>
      <c r="X27" s="711">
        <f>W27/'État des Résultats'!$E$14</f>
        <v>2.6106150217398965E-5</v>
      </c>
      <c r="Z27" s="710">
        <v>1</v>
      </c>
      <c r="AA27" s="711">
        <f>Z27/'État des Résultats'!$E$14</f>
        <v>2.6106150217398965E-5</v>
      </c>
      <c r="AC27" s="710">
        <v>1</v>
      </c>
      <c r="AD27" s="711">
        <f>AC27/'État des Résultats'!$E$14</f>
        <v>2.6106150217398965E-5</v>
      </c>
      <c r="AF27" s="710">
        <v>1</v>
      </c>
      <c r="AG27" s="711">
        <f>AF27/'État des Résultats'!$E$14</f>
        <v>2.6106150217398965E-5</v>
      </c>
      <c r="AI27" s="710">
        <v>1</v>
      </c>
      <c r="AJ27" s="711">
        <f>AI27/'État des Résultats'!$E$14</f>
        <v>2.6106150217398965E-5</v>
      </c>
      <c r="AL27" s="710">
        <v>1</v>
      </c>
      <c r="AM27" s="711">
        <f>AL27/'État des Résultats'!$E$14</f>
        <v>2.6106150217398965E-5</v>
      </c>
      <c r="AP27" s="712">
        <f t="shared" si="0"/>
        <v>8</v>
      </c>
      <c r="AQ27" s="713">
        <f>AP27/'État des Résultats'!$AP$14</f>
        <v>1.415153060965015E-5</v>
      </c>
    </row>
    <row r="28" spans="2:47" ht="14" thickBot="1" x14ac:dyDescent="0.2">
      <c r="B28" s="709"/>
      <c r="C28" s="394"/>
      <c r="E28" s="714"/>
      <c r="F28" s="747"/>
      <c r="H28" s="714"/>
      <c r="I28" s="747"/>
      <c r="K28" s="714"/>
      <c r="L28" s="747"/>
      <c r="N28" s="714"/>
      <c r="O28" s="747"/>
      <c r="Q28" s="714"/>
      <c r="R28" s="747"/>
      <c r="T28" s="714"/>
      <c r="U28" s="747"/>
      <c r="W28" s="714"/>
      <c r="X28" s="747"/>
      <c r="Z28" s="714"/>
      <c r="AA28" s="747"/>
      <c r="AC28" s="714"/>
      <c r="AD28" s="747"/>
      <c r="AF28" s="714"/>
      <c r="AG28" s="747"/>
      <c r="AI28" s="714"/>
      <c r="AJ28" s="747"/>
      <c r="AL28" s="714"/>
      <c r="AM28" s="747"/>
      <c r="AP28" s="712"/>
      <c r="AQ28" s="748"/>
    </row>
    <row r="29" spans="2:47" ht="15" thickTop="1" thickBot="1" x14ac:dyDescent="0.2">
      <c r="B29" s="499">
        <v>7800</v>
      </c>
      <c r="C29" s="500" t="s">
        <v>354</v>
      </c>
      <c r="D29" s="214"/>
      <c r="E29" s="719">
        <f>SUM(E13:E27)</f>
        <v>1000</v>
      </c>
      <c r="F29" s="720">
        <f>SUM(F13:F27)</f>
        <v>2.6106150217398965E-2</v>
      </c>
      <c r="G29" s="214"/>
      <c r="H29" s="719">
        <f>SUM(H13:H27)</f>
        <v>1000</v>
      </c>
      <c r="I29" s="720">
        <f>SUM(I13:I27)</f>
        <v>2.6106150217398965E-2</v>
      </c>
      <c r="J29" s="214"/>
      <c r="K29" s="719">
        <f>SUM(K13:K27)</f>
        <v>1000</v>
      </c>
      <c r="L29" s="720">
        <f>SUM(L13:L27)</f>
        <v>2.6106150217398965E-2</v>
      </c>
      <c r="M29" s="214"/>
      <c r="N29" s="719">
        <f>SUM(N13:N27)</f>
        <v>1000</v>
      </c>
      <c r="O29" s="720">
        <f>SUM(O13:O27)</f>
        <v>2.6106150217398965E-2</v>
      </c>
      <c r="P29" s="214"/>
      <c r="Q29" s="719">
        <f>SUM(Q13:Q27)</f>
        <v>1014</v>
      </c>
      <c r="R29" s="720">
        <f>SUM(R13:R27)</f>
        <v>2.6471636320442551E-2</v>
      </c>
      <c r="S29" s="214"/>
      <c r="T29" s="719">
        <f>SUM(T13:T27)</f>
        <v>1014</v>
      </c>
      <c r="U29" s="720">
        <f>SUM(U13:U27)</f>
        <v>2.6471636320442551E-2</v>
      </c>
      <c r="V29" s="214"/>
      <c r="W29" s="719">
        <f>SUM(W13:W27)</f>
        <v>1014</v>
      </c>
      <c r="X29" s="720">
        <f>SUM(X13:X27)</f>
        <v>2.6471636320442551E-2</v>
      </c>
      <c r="Y29" s="214"/>
      <c r="Z29" s="719">
        <f>SUM(Z13:Z27)</f>
        <v>1014</v>
      </c>
      <c r="AA29" s="720">
        <f>SUM(AA13:AA27)</f>
        <v>2.6471636320442551E-2</v>
      </c>
      <c r="AB29" s="214"/>
      <c r="AC29" s="719">
        <f>SUM(AC13:AC27)</f>
        <v>1014</v>
      </c>
      <c r="AD29" s="720">
        <f>SUM(AD13:AD27)</f>
        <v>2.6471636320442551E-2</v>
      </c>
      <c r="AE29" s="214"/>
      <c r="AF29" s="719">
        <f>SUM(AF13:AF27)</f>
        <v>1014</v>
      </c>
      <c r="AG29" s="720">
        <f>SUM(AG13:AG27)</f>
        <v>2.6471636320442551E-2</v>
      </c>
      <c r="AH29" s="214"/>
      <c r="AI29" s="719">
        <f>SUM(AI13:AI27)</f>
        <v>1014</v>
      </c>
      <c r="AJ29" s="720">
        <f>SUM(AJ13:AJ27)</f>
        <v>2.6471636320442551E-2</v>
      </c>
      <c r="AK29" s="214"/>
      <c r="AL29" s="719">
        <f>SUM(AL13:AL27)</f>
        <v>1014</v>
      </c>
      <c r="AM29" s="720">
        <f>SUM(AM13:AM27)</f>
        <v>2.6471636320442551E-2</v>
      </c>
      <c r="AN29" s="214"/>
      <c r="AO29" s="214"/>
      <c r="AP29" s="719">
        <f>SUM(AP13:AP27)</f>
        <v>12112</v>
      </c>
      <c r="AQ29" s="720">
        <f>SUM(AQ13:AQ27)</f>
        <v>2.1425417343010327E-2</v>
      </c>
      <c r="AR29" s="214"/>
      <c r="AS29" s="214"/>
      <c r="AT29" s="214"/>
      <c r="AU29" s="252"/>
    </row>
    <row r="30" spans="2:47" ht="14" thickTop="1" x14ac:dyDescent="0.15">
      <c r="L30" s="316"/>
      <c r="O30" s="316"/>
      <c r="R30" s="316"/>
      <c r="U30" s="316"/>
      <c r="X30" s="316"/>
      <c r="AA30" s="316"/>
      <c r="AD30" s="316"/>
      <c r="AG30" s="316"/>
      <c r="AJ30" s="316"/>
      <c r="AM30" s="316"/>
      <c r="AQ30" s="316"/>
    </row>
    <row r="31" spans="2:47" x14ac:dyDescent="0.15">
      <c r="R31" s="316"/>
      <c r="U31" s="316"/>
      <c r="X31" s="316"/>
      <c r="AD31" s="316"/>
      <c r="AG31" s="316"/>
      <c r="AJ31" s="316"/>
      <c r="AM31" s="316"/>
    </row>
    <row r="32" spans="2:47" x14ac:dyDescent="0.15">
      <c r="U32" s="316"/>
      <c r="AG32" s="316"/>
      <c r="AJ32" s="316"/>
      <c r="AM32" s="316"/>
    </row>
    <row r="33" spans="3:69" x14ac:dyDescent="0.15">
      <c r="C33" s="161" t="s">
        <v>2</v>
      </c>
      <c r="E33" s="161" t="s">
        <v>2</v>
      </c>
      <c r="G33" s="161" t="s">
        <v>2</v>
      </c>
      <c r="H33" s="161" t="s">
        <v>2</v>
      </c>
      <c r="U33" s="316"/>
      <c r="AG33" s="316"/>
      <c r="AJ33" s="316"/>
      <c r="AM33" s="316"/>
    </row>
    <row r="34" spans="3:69" x14ac:dyDescent="0.15">
      <c r="H34" s="161" t="s">
        <v>2</v>
      </c>
      <c r="AG34" s="316"/>
      <c r="AJ34" s="316"/>
      <c r="AM34" s="316"/>
    </row>
    <row r="35" spans="3:69" x14ac:dyDescent="0.15">
      <c r="H35" s="161" t="s">
        <v>2</v>
      </c>
      <c r="AM35" s="316"/>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722"/>
    </row>
  </sheetData>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'État des Résultats'!C2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'État des Résultats'!C3</f>
        <v xml:space="preserve">États des résultats prévisionnels </v>
      </c>
      <c r="C3" s="943"/>
      <c r="AS3" s="899"/>
      <c r="AT3" s="370"/>
      <c r="AU3" s="370"/>
      <c r="AV3" s="370"/>
      <c r="AW3" s="370"/>
      <c r="AX3" s="370"/>
      <c r="AY3" s="370"/>
      <c r="AZ3" s="370"/>
      <c r="BA3" s="370"/>
      <c r="BB3" s="370"/>
      <c r="BC3" s="902"/>
    </row>
    <row r="4" spans="2:56" ht="20" customHeight="1" thickBot="1" x14ac:dyDescent="0.3">
      <c r="B4" s="944" t="str">
        <f>'État des Résultats'!C4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'État des Résultats'!C6</f>
        <v>Nb de places</v>
      </c>
      <c r="C6" s="958"/>
      <c r="E6" s="693" t="str">
        <f>'Coût marchandises vendues'!D6</f>
        <v>Coût / place / jour</v>
      </c>
      <c r="F6" s="694">
        <f>+E31/$B$7/'Calendrier 2021'!D8</f>
        <v>0.64516129032258063</v>
      </c>
      <c r="G6" s="170"/>
      <c r="H6" s="693" t="str">
        <f>+E6</f>
        <v>Coût / place / jour</v>
      </c>
      <c r="I6" s="694">
        <f>+H31/$B$7/'Calendrier 2021'!E8</f>
        <v>0.7142857142857143</v>
      </c>
      <c r="J6" s="170"/>
      <c r="K6" s="693" t="str">
        <f>+H6</f>
        <v>Coût / place / jour</v>
      </c>
      <c r="L6" s="694">
        <f>+K31/$B$7/'Calendrier 2021'!F8</f>
        <v>0.64516129032258063</v>
      </c>
      <c r="M6" s="170"/>
      <c r="N6" s="693" t="str">
        <f>+K6</f>
        <v>Coût / place / jour</v>
      </c>
      <c r="O6" s="694">
        <f>+N31/$B$7/'Calendrier 2021'!G8</f>
        <v>0.66666666666666663</v>
      </c>
      <c r="P6" s="436"/>
      <c r="Q6" s="693" t="str">
        <f>+N6</f>
        <v>Coût / place / jour</v>
      </c>
      <c r="R6" s="694">
        <f>+Q31/$B$7/'Calendrier 2021'!H8</f>
        <v>0.64516129032258063</v>
      </c>
      <c r="S6" s="436"/>
      <c r="T6" s="693" t="str">
        <f>+Q6</f>
        <v>Coût / place / jour</v>
      </c>
      <c r="U6" s="694">
        <f>+T31/$B$7/'Calendrier 2021'!I8</f>
        <v>0.66666666666666663</v>
      </c>
      <c r="V6" s="170"/>
      <c r="W6" s="693" t="str">
        <f>+T6</f>
        <v>Coût / place / jour</v>
      </c>
      <c r="X6" s="694">
        <f>+W31/$B$7/'Calendrier 2021'!J8</f>
        <v>0.64516129032258063</v>
      </c>
      <c r="Y6" s="170"/>
      <c r="Z6" s="693" t="str">
        <f>+W6</f>
        <v>Coût / place / jour</v>
      </c>
      <c r="AA6" s="694">
        <f>+Z31/$B$7/'Calendrier 2021'!K8</f>
        <v>0.64516129032258063</v>
      </c>
      <c r="AB6" s="170"/>
      <c r="AC6" s="693" t="str">
        <f>+Z6</f>
        <v>Coût / place / jour</v>
      </c>
      <c r="AD6" s="694">
        <f>+AC31/$B$7/'Calendrier 2021'!L8</f>
        <v>0.66666666666666663</v>
      </c>
      <c r="AE6" s="170"/>
      <c r="AF6" s="693" t="str">
        <f>+AC6</f>
        <v>Coût / place / jour</v>
      </c>
      <c r="AG6" s="694">
        <f>+AF31/$B$7/'Calendrier 2021'!M8</f>
        <v>0.64516129032258063</v>
      </c>
      <c r="AH6" s="170"/>
      <c r="AI6" s="693" t="str">
        <f>+AF6</f>
        <v>Coût / place / jour</v>
      </c>
      <c r="AJ6" s="694">
        <f>+AI31/$B$7/'Calendrier 2021'!N8</f>
        <v>0.66666666666666663</v>
      </c>
      <c r="AK6" s="170"/>
      <c r="AL6" s="693" t="str">
        <f>+AI6</f>
        <v>Coût / place / jour</v>
      </c>
      <c r="AM6" s="694">
        <f>+AL31/$B$7/'Calendrier 2021'!O8</f>
        <v>0.64516129032258063</v>
      </c>
      <c r="AN6" s="170"/>
      <c r="AO6" s="170"/>
      <c r="AP6" s="695" t="str">
        <f>+AL6</f>
        <v>Coût / place / jour</v>
      </c>
      <c r="AQ6" s="696">
        <f>+AP31/$B$7/'% Occupation'!P9</f>
        <v>0.65753424657534243</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48">
        <f>'Coût marchandises vendues'!B7</f>
        <v>50</v>
      </c>
      <c r="C7" s="947"/>
      <c r="E7" s="438">
        <f>+E31/$AP31</f>
        <v>8.3333333333333329E-2</v>
      </c>
      <c r="F7" s="697"/>
      <c r="H7" s="438">
        <f>+H31/$AP31</f>
        <v>8.3333333333333329E-2</v>
      </c>
      <c r="I7" s="697"/>
      <c r="K7" s="438">
        <f>+K31/$AP31</f>
        <v>8.3333333333333329E-2</v>
      </c>
      <c r="L7" s="439"/>
      <c r="N7" s="438">
        <f>+N31/$AP31</f>
        <v>8.3333333333333329E-2</v>
      </c>
      <c r="O7" s="439"/>
      <c r="P7" s="698"/>
      <c r="Q7" s="438">
        <f>+Q31/$AP31</f>
        <v>8.3333333333333329E-2</v>
      </c>
      <c r="R7" s="439"/>
      <c r="S7" s="698"/>
      <c r="T7" s="438">
        <f>+T31/$AP31</f>
        <v>8.3333333333333329E-2</v>
      </c>
      <c r="U7" s="439"/>
      <c r="W7" s="438">
        <f>+W31/$AP31</f>
        <v>8.3333333333333329E-2</v>
      </c>
      <c r="X7" s="439"/>
      <c r="Z7" s="438">
        <f>+Z31/$AP31</f>
        <v>8.3333333333333329E-2</v>
      </c>
      <c r="AA7" s="439"/>
      <c r="AC7" s="438">
        <f>+AC31/$AP31</f>
        <v>8.3333333333333329E-2</v>
      </c>
      <c r="AD7" s="439"/>
      <c r="AF7" s="438">
        <f>+AF31/$AP31</f>
        <v>8.3333333333333329E-2</v>
      </c>
      <c r="AG7" s="439"/>
      <c r="AI7" s="438">
        <f>+AI31/$AP31</f>
        <v>8.3333333333333329E-2</v>
      </c>
      <c r="AJ7" s="439"/>
      <c r="AL7" s="438">
        <f>+AL31/$AP31</f>
        <v>8.3333333333333329E-2</v>
      </c>
      <c r="AM7" s="439"/>
      <c r="AP7" s="699">
        <f>+AP31/$AP31</f>
        <v>1</v>
      </c>
      <c r="AQ7" s="700" t="s">
        <v>137</v>
      </c>
      <c r="AS7" s="899"/>
      <c r="AT7" s="684">
        <f>AP31</f>
        <v>12000</v>
      </c>
      <c r="AU7" s="371" t="s">
        <v>44</v>
      </c>
      <c r="AV7" s="685">
        <f>'Formule pour le calcul D'!G114</f>
        <v>22875</v>
      </c>
      <c r="AW7" s="371" t="s">
        <v>45</v>
      </c>
      <c r="AX7" s="371" t="s">
        <v>46</v>
      </c>
      <c r="AY7" s="686">
        <f>'Formule pour le calcul D'!J106</f>
        <v>2.2200000000000002</v>
      </c>
      <c r="AZ7" s="371" t="s">
        <v>45</v>
      </c>
      <c r="BA7" s="687">
        <f>AT7/AV7/AY7</f>
        <v>0.23630187564613794</v>
      </c>
      <c r="BB7" s="371" t="s">
        <v>49</v>
      </c>
      <c r="BC7" s="902"/>
    </row>
    <row r="8" spans="2:56" ht="17" thickBot="1" x14ac:dyDescent="0.25">
      <c r="B8" s="920" t="s">
        <v>338</v>
      </c>
      <c r="C8" s="947"/>
      <c r="E8" s="702" t="str">
        <f>'État des Résultats'!E8</f>
        <v>Pér.01</v>
      </c>
      <c r="F8" s="780" t="str">
        <f>'État des Résultats'!AD8</f>
        <v>(%)</v>
      </c>
      <c r="G8" s="385"/>
      <c r="H8" s="702" t="str">
        <f>'État des Résultats'!H8</f>
        <v>Pér.02</v>
      </c>
      <c r="I8" s="780" t="str">
        <f>F8</f>
        <v>(%)</v>
      </c>
      <c r="J8" s="385"/>
      <c r="K8" s="702" t="str">
        <f>'État des Résultats'!K8</f>
        <v>Pér.03</v>
      </c>
      <c r="L8" s="780" t="str">
        <f>I8</f>
        <v>(%)</v>
      </c>
      <c r="M8" s="385"/>
      <c r="N8" s="702" t="str">
        <f>'État des Résultats'!N8</f>
        <v>Pér.04</v>
      </c>
      <c r="O8" s="780" t="str">
        <f>L8</f>
        <v>(%)</v>
      </c>
      <c r="P8" s="440"/>
      <c r="Q8" s="702" t="str">
        <f>'État des Résultats'!Q8</f>
        <v>Pér.05</v>
      </c>
      <c r="R8" s="780" t="str">
        <f>O8</f>
        <v>(%)</v>
      </c>
      <c r="S8" s="440"/>
      <c r="T8" s="702" t="str">
        <f>'État des Résultats'!T8</f>
        <v>Pér.06</v>
      </c>
      <c r="U8" s="780" t="str">
        <f>R8</f>
        <v>(%)</v>
      </c>
      <c r="V8" s="385"/>
      <c r="W8" s="702" t="str">
        <f>'État des Résultats'!W8</f>
        <v>Pér.07</v>
      </c>
      <c r="X8" s="780" t="str">
        <f>U8</f>
        <v>(%)</v>
      </c>
      <c r="Y8" s="385"/>
      <c r="Z8" s="702" t="str">
        <f>'État des Résultats'!Z8</f>
        <v>Pér.08</v>
      </c>
      <c r="AA8" s="780" t="str">
        <f>X8</f>
        <v>(%)</v>
      </c>
      <c r="AB8" s="385"/>
      <c r="AC8" s="702" t="str">
        <f>'État des Résultats'!AC8</f>
        <v>Pér.09</v>
      </c>
      <c r="AD8" s="780" t="str">
        <f>AA8</f>
        <v>(%)</v>
      </c>
      <c r="AE8" s="385"/>
      <c r="AF8" s="702" t="str">
        <f>'État des Résultats'!AF8</f>
        <v>Pér.10</v>
      </c>
      <c r="AG8" s="780" t="str">
        <f>AD8</f>
        <v>(%)</v>
      </c>
      <c r="AH8" s="385"/>
      <c r="AI8" s="702" t="str">
        <f>'État des Résultats'!AI8</f>
        <v>Pér.11</v>
      </c>
      <c r="AJ8" s="780" t="str">
        <f>AG8</f>
        <v>(%)</v>
      </c>
      <c r="AK8" s="385"/>
      <c r="AL8" s="702" t="str">
        <f>'État des Résultats'!AL8</f>
        <v>Pér.12</v>
      </c>
      <c r="AM8" s="780" t="str">
        <f>AJ8</f>
        <v>(%)</v>
      </c>
      <c r="AN8" s="703" t="s">
        <v>2</v>
      </c>
      <c r="AO8" s="385"/>
      <c r="AP8" s="704" t="str">
        <f>'État des Résultats'!AP8</f>
        <v>Total</v>
      </c>
      <c r="AQ8" s="780" t="str">
        <f>AM8</f>
        <v>(%)</v>
      </c>
      <c r="AS8" s="900"/>
      <c r="AT8" s="376"/>
      <c r="AU8" s="376"/>
      <c r="AV8" s="376"/>
      <c r="AW8" s="376"/>
      <c r="AX8" s="376"/>
      <c r="AY8" s="376"/>
      <c r="AZ8" s="376"/>
      <c r="BA8" s="376"/>
      <c r="BB8" s="376"/>
      <c r="BC8" s="903"/>
    </row>
    <row r="9" spans="2:56" ht="15" thickTop="1" thickBot="1" x14ac:dyDescent="0.2">
      <c r="B9" s="956">
        <f>AP31/$B$7</f>
        <v>240</v>
      </c>
      <c r="C9" s="957"/>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28" t="str">
        <f>'État des Résultats'!AP9</f>
        <v>Année</v>
      </c>
      <c r="AQ9" s="729"/>
      <c r="AR9" s="762"/>
      <c r="AS9" s="762"/>
      <c r="AT9" s="705"/>
      <c r="AU9" s="705"/>
      <c r="AV9" s="705"/>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7" thickTop="1" x14ac:dyDescent="0.2">
      <c r="B11" s="706"/>
      <c r="C11" s="775" t="s">
        <v>355</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79">
        <v>7902</v>
      </c>
      <c r="C13" s="394" t="s">
        <v>356</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7904</v>
      </c>
      <c r="C14" s="394" t="s">
        <v>357</v>
      </c>
      <c r="E14" s="710">
        <v>0</v>
      </c>
      <c r="F14" s="711">
        <f>E14/'État des Résultats'!E$14</f>
        <v>0</v>
      </c>
      <c r="H14" s="710">
        <v>0</v>
      </c>
      <c r="I14" s="711">
        <f>H14/'État des Résultats'!H$14</f>
        <v>0</v>
      </c>
      <c r="K14" s="710">
        <v>0</v>
      </c>
      <c r="L14" s="711">
        <f>K14/'État des Résultats'!K$14</f>
        <v>0</v>
      </c>
      <c r="N14" s="710">
        <v>0</v>
      </c>
      <c r="O14" s="711">
        <f>N14/'État des Résultats'!N$14</f>
        <v>0</v>
      </c>
      <c r="Q14" s="710">
        <v>0</v>
      </c>
      <c r="R14" s="711">
        <f>Q14/'État des Résultats'!Q$14</f>
        <v>0</v>
      </c>
      <c r="T14" s="710">
        <v>0</v>
      </c>
      <c r="U14" s="711">
        <f>T14/'État des Résultats'!T$14</f>
        <v>0</v>
      </c>
      <c r="W14" s="710">
        <v>0</v>
      </c>
      <c r="X14" s="711">
        <f>W14/'État des Résultats'!W$14</f>
        <v>0</v>
      </c>
      <c r="Z14" s="710">
        <v>0</v>
      </c>
      <c r="AA14" s="711">
        <f>Z14/'État des Résultats'!Z$14</f>
        <v>0</v>
      </c>
      <c r="AC14" s="710">
        <v>0</v>
      </c>
      <c r="AD14" s="711">
        <f>AC14/'État des Résultats'!AC$14</f>
        <v>0</v>
      </c>
      <c r="AF14" s="710">
        <v>0</v>
      </c>
      <c r="AG14" s="711">
        <f>AF14/'État des Résultats'!AF$14</f>
        <v>0</v>
      </c>
      <c r="AI14" s="710">
        <v>0</v>
      </c>
      <c r="AJ14" s="711">
        <f>AI14/'État des Résultats'!AI$14</f>
        <v>0</v>
      </c>
      <c r="AL14" s="710">
        <v>0</v>
      </c>
      <c r="AM14" s="711">
        <f>AL14/'État des Résultats'!AL$14</f>
        <v>0</v>
      </c>
      <c r="AP14" s="712">
        <f>SUM(+$AL14+$AI14+$AF14+$AC14+$Z14+$W14+$T14+$Q14+$N14+$K14+$H14+$E14)</f>
        <v>0</v>
      </c>
      <c r="AQ14" s="713">
        <f>AP14/'État des Résultats'!$AP$14</f>
        <v>0</v>
      </c>
    </row>
    <row r="15" spans="2:56" x14ac:dyDescent="0.15">
      <c r="B15" s="709">
        <v>7906</v>
      </c>
      <c r="C15" s="394" t="s">
        <v>358</v>
      </c>
      <c r="E15" s="710">
        <v>0</v>
      </c>
      <c r="F15" s="711">
        <f>E15/'État des Résultats'!E$14</f>
        <v>0</v>
      </c>
      <c r="G15" s="716" t="s">
        <v>2</v>
      </c>
      <c r="H15" s="710">
        <v>0</v>
      </c>
      <c r="I15" s="711">
        <f>H15/'État des Résultats'!H$14</f>
        <v>0</v>
      </c>
      <c r="K15" s="710">
        <v>0</v>
      </c>
      <c r="L15" s="711">
        <f>K15/'État des Résultats'!K$14</f>
        <v>0</v>
      </c>
      <c r="N15" s="710">
        <v>0</v>
      </c>
      <c r="O15" s="711">
        <f>N15/'État des Résultats'!N$14</f>
        <v>0</v>
      </c>
      <c r="Q15" s="710">
        <v>0</v>
      </c>
      <c r="R15" s="711">
        <f>Q15/'État des Résultats'!Q$14</f>
        <v>0</v>
      </c>
      <c r="T15" s="710">
        <v>0</v>
      </c>
      <c r="U15" s="711">
        <f>T15/'État des Résultats'!T$14</f>
        <v>0</v>
      </c>
      <c r="W15" s="710">
        <v>0</v>
      </c>
      <c r="X15" s="711">
        <f>W15/'État des Résultats'!W$14</f>
        <v>0</v>
      </c>
      <c r="Z15" s="710">
        <v>0</v>
      </c>
      <c r="AA15" s="711">
        <f>Z15/'État des Résultats'!Z$14</f>
        <v>0</v>
      </c>
      <c r="AC15" s="710">
        <v>0</v>
      </c>
      <c r="AD15" s="711">
        <f>AC15/'État des Résultats'!AC$14</f>
        <v>0</v>
      </c>
      <c r="AF15" s="710">
        <v>0</v>
      </c>
      <c r="AG15" s="711">
        <f>AF15/'État des Résultats'!AF$14</f>
        <v>0</v>
      </c>
      <c r="AI15" s="710">
        <v>0</v>
      </c>
      <c r="AJ15" s="711">
        <f>AI15/'État des Résultats'!AI$14</f>
        <v>0</v>
      </c>
      <c r="AL15" s="710">
        <v>0</v>
      </c>
      <c r="AM15" s="711">
        <f>AL15/'État des Résultats'!AL$14</f>
        <v>0</v>
      </c>
      <c r="AP15" s="712">
        <f t="shared" ref="AP15:AP29" si="0">SUM(+$AL15+$AI15+$AF15+$AC15+$Z15+$W15+$T15+$Q15+$N15+$K15+$H15+$E15)</f>
        <v>0</v>
      </c>
      <c r="AQ15" s="713">
        <f>AP15/'État des Résultats'!$AP$14</f>
        <v>0</v>
      </c>
    </row>
    <row r="16" spans="2:56" x14ac:dyDescent="0.15">
      <c r="B16" s="709">
        <v>7908</v>
      </c>
      <c r="C16" s="394" t="s">
        <v>359</v>
      </c>
      <c r="E16" s="710">
        <v>0</v>
      </c>
      <c r="F16" s="711">
        <f>E16/'État des Résultats'!E$14</f>
        <v>0</v>
      </c>
      <c r="H16" s="710">
        <v>0</v>
      </c>
      <c r="I16" s="711">
        <f>H16/'État des Résultats'!H$14</f>
        <v>0</v>
      </c>
      <c r="K16" s="710">
        <v>0</v>
      </c>
      <c r="L16" s="711">
        <f>K16/'État des Résultats'!K$14</f>
        <v>0</v>
      </c>
      <c r="N16" s="710">
        <v>0</v>
      </c>
      <c r="O16" s="711">
        <f>N16/'État des Résultats'!N$14</f>
        <v>0</v>
      </c>
      <c r="Q16" s="710">
        <v>0</v>
      </c>
      <c r="R16" s="711">
        <f>Q16/'État des Résultats'!Q$14</f>
        <v>0</v>
      </c>
      <c r="T16" s="710">
        <v>0</v>
      </c>
      <c r="U16" s="711">
        <f>T16/'État des Résultats'!T$14</f>
        <v>0</v>
      </c>
      <c r="W16" s="710">
        <v>0</v>
      </c>
      <c r="X16" s="711">
        <f>W16/'État des Résultats'!W$14</f>
        <v>0</v>
      </c>
      <c r="Z16" s="710">
        <v>0</v>
      </c>
      <c r="AA16" s="711">
        <f>Z16/'État des Résultats'!Z$14</f>
        <v>0</v>
      </c>
      <c r="AC16" s="710">
        <v>0</v>
      </c>
      <c r="AD16" s="711">
        <f>AC16/'État des Résultats'!AC$14</f>
        <v>0</v>
      </c>
      <c r="AF16" s="710">
        <v>0</v>
      </c>
      <c r="AG16" s="711">
        <f>AF16/'État des Résultats'!AF$14</f>
        <v>0</v>
      </c>
      <c r="AI16" s="710">
        <v>0</v>
      </c>
      <c r="AJ16" s="711">
        <f>AI16/'État des Résultats'!AI$14</f>
        <v>0</v>
      </c>
      <c r="AL16" s="710">
        <v>0</v>
      </c>
      <c r="AM16" s="711">
        <f>AL16/'État des Résultats'!AL$14</f>
        <v>0</v>
      </c>
      <c r="AP16" s="712">
        <f t="shared" si="0"/>
        <v>0</v>
      </c>
      <c r="AQ16" s="713">
        <f>AP16/'État des Résultats'!$AP$14</f>
        <v>0</v>
      </c>
    </row>
    <row r="17" spans="2:47" x14ac:dyDescent="0.15">
      <c r="B17" s="709">
        <v>7910</v>
      </c>
      <c r="C17" s="394" t="s">
        <v>360</v>
      </c>
      <c r="E17" s="710">
        <v>0</v>
      </c>
      <c r="F17" s="711">
        <f>E17/'État des Résultats'!E$14</f>
        <v>0</v>
      </c>
      <c r="H17" s="710">
        <v>0</v>
      </c>
      <c r="I17" s="711">
        <f>H17/'État des Résultats'!H$14</f>
        <v>0</v>
      </c>
      <c r="K17" s="710">
        <v>0</v>
      </c>
      <c r="L17" s="711">
        <f>K17/'État des Résultats'!K$14</f>
        <v>0</v>
      </c>
      <c r="N17" s="710">
        <v>0</v>
      </c>
      <c r="O17" s="711">
        <f>N17/'État des Résultats'!N$14</f>
        <v>0</v>
      </c>
      <c r="Q17" s="710">
        <v>0</v>
      </c>
      <c r="R17" s="711">
        <f>Q17/'État des Résultats'!Q$14</f>
        <v>0</v>
      </c>
      <c r="T17" s="710">
        <v>0</v>
      </c>
      <c r="U17" s="711">
        <f>T17/'État des Résultats'!T$14</f>
        <v>0</v>
      </c>
      <c r="W17" s="710">
        <v>0</v>
      </c>
      <c r="X17" s="711">
        <f>W17/'État des Résultats'!W$14</f>
        <v>0</v>
      </c>
      <c r="Z17" s="710">
        <v>0</v>
      </c>
      <c r="AA17" s="711">
        <f>Z17/'État des Résultats'!Z$14</f>
        <v>0</v>
      </c>
      <c r="AC17" s="710">
        <v>0</v>
      </c>
      <c r="AD17" s="711">
        <f>AC17/'État des Résultats'!AC$14</f>
        <v>0</v>
      </c>
      <c r="AF17" s="710">
        <v>0</v>
      </c>
      <c r="AG17" s="711">
        <f>AF17/'État des Résultats'!AF$14</f>
        <v>0</v>
      </c>
      <c r="AI17" s="710">
        <v>0</v>
      </c>
      <c r="AJ17" s="711">
        <f>AI17/'État des Résultats'!AI$14</f>
        <v>0</v>
      </c>
      <c r="AL17" s="710">
        <v>0</v>
      </c>
      <c r="AM17" s="711">
        <f>AL17/'État des Résultats'!AL$14</f>
        <v>0</v>
      </c>
      <c r="AP17" s="712">
        <f t="shared" si="0"/>
        <v>0</v>
      </c>
      <c r="AQ17" s="713">
        <f>AP17/'État des Résultats'!$AP$14</f>
        <v>0</v>
      </c>
    </row>
    <row r="18" spans="2:47" x14ac:dyDescent="0.15">
      <c r="B18" s="709">
        <v>7912</v>
      </c>
      <c r="C18" s="394" t="s">
        <v>361</v>
      </c>
      <c r="E18" s="710">
        <v>0</v>
      </c>
      <c r="F18" s="711">
        <f>E18/'État des Résultats'!E$14</f>
        <v>0</v>
      </c>
      <c r="H18" s="710">
        <v>0</v>
      </c>
      <c r="I18" s="711">
        <f>H18/'État des Résultats'!H$14</f>
        <v>0</v>
      </c>
      <c r="K18" s="710">
        <v>0</v>
      </c>
      <c r="L18" s="711">
        <f>K18/'État des Résultats'!K$14</f>
        <v>0</v>
      </c>
      <c r="N18" s="710">
        <v>0</v>
      </c>
      <c r="O18" s="711">
        <f>N18/'État des Résultats'!N$14</f>
        <v>0</v>
      </c>
      <c r="Q18" s="710">
        <v>0</v>
      </c>
      <c r="R18" s="711">
        <f>Q18/'État des Résultats'!Q$14</f>
        <v>0</v>
      </c>
      <c r="T18" s="710">
        <v>0</v>
      </c>
      <c r="U18" s="711">
        <f>T18/'État des Résultats'!T$14</f>
        <v>0</v>
      </c>
      <c r="W18" s="710">
        <v>0</v>
      </c>
      <c r="X18" s="711">
        <f>W18/'État des Résultats'!W$14</f>
        <v>0</v>
      </c>
      <c r="Z18" s="710">
        <v>0</v>
      </c>
      <c r="AA18" s="711">
        <f>Z18/'État des Résultats'!Z$14</f>
        <v>0</v>
      </c>
      <c r="AC18" s="710">
        <v>0</v>
      </c>
      <c r="AD18" s="711">
        <f>AC18/'État des Résultats'!AC$14</f>
        <v>0</v>
      </c>
      <c r="AF18" s="710">
        <v>0</v>
      </c>
      <c r="AG18" s="711">
        <f>AF18/'État des Résultats'!AF$14</f>
        <v>0</v>
      </c>
      <c r="AI18" s="710">
        <v>0</v>
      </c>
      <c r="AJ18" s="711">
        <f>AI18/'État des Résultats'!AI$14</f>
        <v>0</v>
      </c>
      <c r="AL18" s="710">
        <v>0</v>
      </c>
      <c r="AM18" s="711">
        <f>AL18/'État des Résultats'!AL$14</f>
        <v>0</v>
      </c>
      <c r="AP18" s="712">
        <f t="shared" si="0"/>
        <v>0</v>
      </c>
      <c r="AQ18" s="713">
        <f>AP18/'État des Résultats'!$AP$14</f>
        <v>0</v>
      </c>
      <c r="AS18" s="210"/>
    </row>
    <row r="19" spans="2:47" x14ac:dyDescent="0.15">
      <c r="B19" s="709">
        <v>7914</v>
      </c>
      <c r="C19" s="394" t="s">
        <v>362</v>
      </c>
      <c r="E19" s="710">
        <v>0</v>
      </c>
      <c r="F19" s="711">
        <f>E19/'État des Résultats'!E$14</f>
        <v>0</v>
      </c>
      <c r="H19" s="710">
        <v>0</v>
      </c>
      <c r="I19" s="711">
        <f>H19/'État des Résultats'!H$14</f>
        <v>0</v>
      </c>
      <c r="K19" s="710">
        <v>0</v>
      </c>
      <c r="L19" s="711">
        <f>K19/'État des Résultats'!K$14</f>
        <v>0</v>
      </c>
      <c r="N19" s="710">
        <v>0</v>
      </c>
      <c r="O19" s="711">
        <f>N19/'État des Résultats'!N$14</f>
        <v>0</v>
      </c>
      <c r="Q19" s="710">
        <v>0</v>
      </c>
      <c r="R19" s="711">
        <f>Q19/'État des Résultats'!Q$14</f>
        <v>0</v>
      </c>
      <c r="T19" s="710">
        <v>0</v>
      </c>
      <c r="U19" s="711">
        <f>T19/'État des Résultats'!T$14</f>
        <v>0</v>
      </c>
      <c r="W19" s="710">
        <v>0</v>
      </c>
      <c r="X19" s="711">
        <f>W19/'État des Résultats'!W$14</f>
        <v>0</v>
      </c>
      <c r="Z19" s="710">
        <v>0</v>
      </c>
      <c r="AA19" s="711">
        <f>Z19/'État des Résultats'!Z$14</f>
        <v>0</v>
      </c>
      <c r="AC19" s="710">
        <v>0</v>
      </c>
      <c r="AD19" s="711">
        <f>AC19/'État des Résultats'!AC$14</f>
        <v>0</v>
      </c>
      <c r="AF19" s="710">
        <v>0</v>
      </c>
      <c r="AG19" s="711">
        <f>AF19/'État des Résultats'!AF$14</f>
        <v>0</v>
      </c>
      <c r="AI19" s="710">
        <v>0</v>
      </c>
      <c r="AJ19" s="711">
        <f>AI19/'État des Résultats'!AI$14</f>
        <v>0</v>
      </c>
      <c r="AL19" s="710">
        <v>0</v>
      </c>
      <c r="AM19" s="711">
        <f>AL19/'État des Résultats'!AL$14</f>
        <v>0</v>
      </c>
      <c r="AP19" s="712">
        <f t="shared" si="0"/>
        <v>0</v>
      </c>
      <c r="AQ19" s="713">
        <f>AP19/'État des Résultats'!$AP$14</f>
        <v>0</v>
      </c>
    </row>
    <row r="20" spans="2:47" x14ac:dyDescent="0.15">
      <c r="B20" s="779">
        <v>7916</v>
      </c>
      <c r="C20" s="394" t="s">
        <v>363</v>
      </c>
      <c r="E20" s="710">
        <v>0</v>
      </c>
      <c r="F20" s="711">
        <f>E20/'État des Résultats'!E$14</f>
        <v>0</v>
      </c>
      <c r="H20" s="710">
        <v>0</v>
      </c>
      <c r="I20" s="711">
        <f>H20/'État des Résultats'!H$14</f>
        <v>0</v>
      </c>
      <c r="K20" s="710">
        <v>0</v>
      </c>
      <c r="L20" s="711">
        <f>K20/'État des Résultats'!K$14</f>
        <v>0</v>
      </c>
      <c r="N20" s="710">
        <v>0</v>
      </c>
      <c r="O20" s="711">
        <f>N20/'État des Résultats'!N$14</f>
        <v>0</v>
      </c>
      <c r="Q20" s="710">
        <v>0</v>
      </c>
      <c r="R20" s="711">
        <f>Q20/'État des Résultats'!Q$14</f>
        <v>0</v>
      </c>
      <c r="T20" s="710">
        <v>0</v>
      </c>
      <c r="U20" s="711">
        <f>T20/'État des Résultats'!T$14</f>
        <v>0</v>
      </c>
      <c r="W20" s="710">
        <v>0</v>
      </c>
      <c r="X20" s="711">
        <f>W20/'État des Résultats'!W$14</f>
        <v>0</v>
      </c>
      <c r="Z20" s="710">
        <v>0</v>
      </c>
      <c r="AA20" s="711">
        <f>Z20/'État des Résultats'!Z$14</f>
        <v>0</v>
      </c>
      <c r="AC20" s="710">
        <v>0</v>
      </c>
      <c r="AD20" s="711">
        <f>AC20/'État des Résultats'!AC$14</f>
        <v>0</v>
      </c>
      <c r="AF20" s="710">
        <v>0</v>
      </c>
      <c r="AG20" s="711">
        <f>AF20/'État des Résultats'!AF$14</f>
        <v>0</v>
      </c>
      <c r="AI20" s="710">
        <v>0</v>
      </c>
      <c r="AJ20" s="711">
        <f>AI20/'État des Résultats'!AI$14</f>
        <v>0</v>
      </c>
      <c r="AL20" s="710">
        <v>0</v>
      </c>
      <c r="AM20" s="711">
        <f>AL20/'État des Résultats'!AL$14</f>
        <v>0</v>
      </c>
      <c r="AP20" s="712">
        <f t="shared" si="0"/>
        <v>0</v>
      </c>
      <c r="AQ20" s="713">
        <f>AP20/'État des Résultats'!$AP$14</f>
        <v>0</v>
      </c>
    </row>
    <row r="21" spans="2:47" x14ac:dyDescent="0.15">
      <c r="B21" s="709">
        <v>7918</v>
      </c>
      <c r="C21" s="394" t="s">
        <v>364</v>
      </c>
      <c r="E21" s="710">
        <v>0</v>
      </c>
      <c r="F21" s="711">
        <f>E21/'État des Résultats'!E$14</f>
        <v>0</v>
      </c>
      <c r="H21" s="710">
        <v>0</v>
      </c>
      <c r="I21" s="711">
        <f>H21/'État des Résultats'!H$14</f>
        <v>0</v>
      </c>
      <c r="K21" s="710">
        <v>0</v>
      </c>
      <c r="L21" s="711">
        <f>K21/'État des Résultats'!K$14</f>
        <v>0</v>
      </c>
      <c r="N21" s="710">
        <v>0</v>
      </c>
      <c r="O21" s="711">
        <f>N21/'État des Résultats'!N$14</f>
        <v>0</v>
      </c>
      <c r="Q21" s="710">
        <v>0</v>
      </c>
      <c r="R21" s="711">
        <f>Q21/'État des Résultats'!Q$14</f>
        <v>0</v>
      </c>
      <c r="T21" s="710">
        <v>0</v>
      </c>
      <c r="U21" s="711">
        <f>T21/'État des Résultats'!T$14</f>
        <v>0</v>
      </c>
      <c r="W21" s="710">
        <v>0</v>
      </c>
      <c r="X21" s="711">
        <f>W21/'État des Résultats'!W$14</f>
        <v>0</v>
      </c>
      <c r="Z21" s="710">
        <v>0</v>
      </c>
      <c r="AA21" s="711">
        <f>Z21/'État des Résultats'!Z$14</f>
        <v>0</v>
      </c>
      <c r="AC21" s="710">
        <v>0</v>
      </c>
      <c r="AD21" s="711">
        <f>AC21/'État des Résultats'!AC$14</f>
        <v>0</v>
      </c>
      <c r="AF21" s="710">
        <v>0</v>
      </c>
      <c r="AG21" s="711">
        <f>AF21/'État des Résultats'!AF$14</f>
        <v>0</v>
      </c>
      <c r="AI21" s="710">
        <v>0</v>
      </c>
      <c r="AJ21" s="711">
        <f>AI21/'État des Résultats'!AI$14</f>
        <v>0</v>
      </c>
      <c r="AL21" s="710">
        <v>0</v>
      </c>
      <c r="AM21" s="711">
        <f>AL21/'État des Résultats'!AL$14</f>
        <v>0</v>
      </c>
      <c r="AP21" s="712">
        <f t="shared" si="0"/>
        <v>0</v>
      </c>
      <c r="AQ21" s="713">
        <f>AP21/'État des Résultats'!$AP$14</f>
        <v>0</v>
      </c>
    </row>
    <row r="22" spans="2:47" x14ac:dyDescent="0.15">
      <c r="B22" s="709">
        <v>7920</v>
      </c>
      <c r="C22" s="394" t="s">
        <v>365</v>
      </c>
      <c r="E22" s="710">
        <v>0</v>
      </c>
      <c r="F22" s="711">
        <f>E22/'État des Résultats'!E$14</f>
        <v>0</v>
      </c>
      <c r="H22" s="710">
        <v>0</v>
      </c>
      <c r="I22" s="711">
        <f>H22/'État des Résultats'!H$14</f>
        <v>0</v>
      </c>
      <c r="K22" s="710">
        <v>0</v>
      </c>
      <c r="L22" s="711">
        <f>K22/'État des Résultats'!K$14</f>
        <v>0</v>
      </c>
      <c r="N22" s="710">
        <v>0</v>
      </c>
      <c r="O22" s="711">
        <f>N22/'État des Résultats'!N$14</f>
        <v>0</v>
      </c>
      <c r="Q22" s="710">
        <v>0</v>
      </c>
      <c r="R22" s="711">
        <f>Q22/'État des Résultats'!Q$14</f>
        <v>0</v>
      </c>
      <c r="T22" s="710">
        <v>0</v>
      </c>
      <c r="U22" s="711">
        <f>T22/'État des Résultats'!T$14</f>
        <v>0</v>
      </c>
      <c r="W22" s="710">
        <v>0</v>
      </c>
      <c r="X22" s="711">
        <f>W22/'État des Résultats'!W$14</f>
        <v>0</v>
      </c>
      <c r="Z22" s="710">
        <v>0</v>
      </c>
      <c r="AA22" s="711">
        <f>Z22/'État des Résultats'!Z$14</f>
        <v>0</v>
      </c>
      <c r="AC22" s="710">
        <v>0</v>
      </c>
      <c r="AD22" s="711">
        <f>AC22/'État des Résultats'!AC$14</f>
        <v>0</v>
      </c>
      <c r="AF22" s="710">
        <v>0</v>
      </c>
      <c r="AG22" s="711">
        <f>AF22/'État des Résultats'!AF$14</f>
        <v>0</v>
      </c>
      <c r="AI22" s="710">
        <v>0</v>
      </c>
      <c r="AJ22" s="711">
        <f>AI22/'État des Résultats'!AI$14</f>
        <v>0</v>
      </c>
      <c r="AL22" s="710">
        <v>0</v>
      </c>
      <c r="AM22" s="711">
        <f>AL22/'État des Résultats'!AL$14</f>
        <v>0</v>
      </c>
      <c r="AP22" s="712">
        <f t="shared" si="0"/>
        <v>0</v>
      </c>
      <c r="AQ22" s="713">
        <f>AP22/'État des Résultats'!$AP$14</f>
        <v>0</v>
      </c>
    </row>
    <row r="23" spans="2:47" x14ac:dyDescent="0.15">
      <c r="B23" s="709">
        <v>7922</v>
      </c>
      <c r="C23" s="394" t="s">
        <v>366</v>
      </c>
      <c r="E23" s="710">
        <v>0</v>
      </c>
      <c r="F23" s="711">
        <f>E23/'État des Résultats'!E$14</f>
        <v>0</v>
      </c>
      <c r="H23" s="710">
        <v>0</v>
      </c>
      <c r="I23" s="711">
        <f>H23/'État des Résultats'!H$14</f>
        <v>0</v>
      </c>
      <c r="K23" s="710">
        <v>0</v>
      </c>
      <c r="L23" s="711">
        <f>K23/'État des Résultats'!K$14</f>
        <v>0</v>
      </c>
      <c r="N23" s="710">
        <v>0</v>
      </c>
      <c r="O23" s="711">
        <f>N23/'État des Résultats'!N$14</f>
        <v>0</v>
      </c>
      <c r="Q23" s="710">
        <v>0</v>
      </c>
      <c r="R23" s="711">
        <f>Q23/'État des Résultats'!Q$14</f>
        <v>0</v>
      </c>
      <c r="T23" s="710">
        <v>0</v>
      </c>
      <c r="U23" s="711">
        <f>T23/'État des Résultats'!T$14</f>
        <v>0</v>
      </c>
      <c r="W23" s="710">
        <v>0</v>
      </c>
      <c r="X23" s="711">
        <f>W23/'État des Résultats'!W$14</f>
        <v>0</v>
      </c>
      <c r="Z23" s="710">
        <v>0</v>
      </c>
      <c r="AA23" s="711">
        <f>Z23/'État des Résultats'!Z$14</f>
        <v>0</v>
      </c>
      <c r="AC23" s="710">
        <v>0</v>
      </c>
      <c r="AD23" s="711">
        <f>AC23/'État des Résultats'!AC$14</f>
        <v>0</v>
      </c>
      <c r="AF23" s="710">
        <v>0</v>
      </c>
      <c r="AG23" s="711">
        <f>AF23/'État des Résultats'!AF$14</f>
        <v>0</v>
      </c>
      <c r="AI23" s="710">
        <v>0</v>
      </c>
      <c r="AJ23" s="711">
        <f>AI23/'État des Résultats'!AI$14</f>
        <v>0</v>
      </c>
      <c r="AL23" s="710">
        <v>0</v>
      </c>
      <c r="AM23" s="711">
        <f>AL23/'État des Résultats'!AL$14</f>
        <v>0</v>
      </c>
      <c r="AP23" s="712">
        <f t="shared" si="0"/>
        <v>0</v>
      </c>
      <c r="AQ23" s="713">
        <f>AP23/'État des Résultats'!$AP$14</f>
        <v>0</v>
      </c>
    </row>
    <row r="24" spans="2:47" x14ac:dyDescent="0.15">
      <c r="B24" s="709">
        <v>7924</v>
      </c>
      <c r="C24" s="394" t="s">
        <v>367</v>
      </c>
      <c r="E24" s="710">
        <v>0</v>
      </c>
      <c r="F24" s="711">
        <f>E24/'État des Résultats'!E$14</f>
        <v>0</v>
      </c>
      <c r="H24" s="710">
        <v>0</v>
      </c>
      <c r="I24" s="711">
        <f>H24/'État des Résultats'!H$14</f>
        <v>0</v>
      </c>
      <c r="K24" s="710">
        <v>0</v>
      </c>
      <c r="L24" s="711">
        <f>K24/'État des Résultats'!K$14</f>
        <v>0</v>
      </c>
      <c r="N24" s="710">
        <v>0</v>
      </c>
      <c r="O24" s="711">
        <f>N24/'État des Résultats'!N$14</f>
        <v>0</v>
      </c>
      <c r="Q24" s="710">
        <v>0</v>
      </c>
      <c r="R24" s="711">
        <f>Q24/'État des Résultats'!Q$14</f>
        <v>0</v>
      </c>
      <c r="T24" s="710">
        <v>0</v>
      </c>
      <c r="U24" s="711">
        <f>T24/'État des Résultats'!T$14</f>
        <v>0</v>
      </c>
      <c r="W24" s="710">
        <v>0</v>
      </c>
      <c r="X24" s="711">
        <f>W24/'État des Résultats'!W$14</f>
        <v>0</v>
      </c>
      <c r="Z24" s="710">
        <v>0</v>
      </c>
      <c r="AA24" s="711">
        <f>Z24/'État des Résultats'!Z$14</f>
        <v>0</v>
      </c>
      <c r="AC24" s="710">
        <v>0</v>
      </c>
      <c r="AD24" s="711">
        <f>AC24/'État des Résultats'!AC$14</f>
        <v>0</v>
      </c>
      <c r="AF24" s="710">
        <v>0</v>
      </c>
      <c r="AG24" s="711">
        <f>AF24/'État des Résultats'!AF$14</f>
        <v>0</v>
      </c>
      <c r="AI24" s="710">
        <v>0</v>
      </c>
      <c r="AJ24" s="711">
        <f>AI24/'État des Résultats'!AI$14</f>
        <v>0</v>
      </c>
      <c r="AL24" s="710">
        <v>0</v>
      </c>
      <c r="AM24" s="711">
        <f>AL24/'État des Résultats'!AL$14</f>
        <v>0</v>
      </c>
      <c r="AP24" s="712">
        <f t="shared" si="0"/>
        <v>0</v>
      </c>
      <c r="AQ24" s="713">
        <f>AP24/'État des Résultats'!$AP$14</f>
        <v>0</v>
      </c>
    </row>
    <row r="25" spans="2:47" x14ac:dyDescent="0.15">
      <c r="B25" s="709">
        <v>7928</v>
      </c>
      <c r="C25" s="394" t="s">
        <v>368</v>
      </c>
      <c r="E25" s="710">
        <v>0</v>
      </c>
      <c r="F25" s="711">
        <f>E25/'État des Résultats'!E$14</f>
        <v>0</v>
      </c>
      <c r="H25" s="710">
        <v>0</v>
      </c>
      <c r="I25" s="711">
        <f>H25/'État des Résultats'!H$14</f>
        <v>0</v>
      </c>
      <c r="K25" s="710">
        <v>0</v>
      </c>
      <c r="L25" s="711">
        <f>K25/'État des Résultats'!K$14</f>
        <v>0</v>
      </c>
      <c r="N25" s="710">
        <v>0</v>
      </c>
      <c r="O25" s="711">
        <f>N25/'État des Résultats'!N$14</f>
        <v>0</v>
      </c>
      <c r="Q25" s="710">
        <v>0</v>
      </c>
      <c r="R25" s="711">
        <f>Q25/'État des Résultats'!Q$14</f>
        <v>0</v>
      </c>
      <c r="T25" s="710">
        <v>0</v>
      </c>
      <c r="U25" s="711">
        <f>T25/'État des Résultats'!T$14</f>
        <v>0</v>
      </c>
      <c r="W25" s="710">
        <v>0</v>
      </c>
      <c r="X25" s="711">
        <f>W25/'État des Résultats'!W$14</f>
        <v>0</v>
      </c>
      <c r="Z25" s="710">
        <v>0</v>
      </c>
      <c r="AA25" s="711">
        <f>Z25/'État des Résultats'!Z$14</f>
        <v>0</v>
      </c>
      <c r="AC25" s="710">
        <v>0</v>
      </c>
      <c r="AD25" s="711">
        <f>AC25/'État des Résultats'!AC$14</f>
        <v>0</v>
      </c>
      <c r="AF25" s="710">
        <v>0</v>
      </c>
      <c r="AG25" s="711">
        <f>AF25/'État des Résultats'!AF$14</f>
        <v>0</v>
      </c>
      <c r="AI25" s="710">
        <v>0</v>
      </c>
      <c r="AJ25" s="711">
        <f>AI25/'État des Résultats'!AI$14</f>
        <v>0</v>
      </c>
      <c r="AL25" s="710">
        <v>0</v>
      </c>
      <c r="AM25" s="711">
        <f>AL25/'État des Résultats'!AL$14</f>
        <v>0</v>
      </c>
      <c r="AP25" s="712">
        <f t="shared" si="0"/>
        <v>0</v>
      </c>
      <c r="AQ25" s="713">
        <f>AP25/'État des Résultats'!$AP$14</f>
        <v>0</v>
      </c>
    </row>
    <row r="26" spans="2:47" x14ac:dyDescent="0.15">
      <c r="B26" s="709">
        <v>7990</v>
      </c>
      <c r="C26" s="394" t="s">
        <v>373</v>
      </c>
      <c r="E26" s="710">
        <v>0</v>
      </c>
      <c r="F26" s="711">
        <f>E26/'État des Résultats'!E$14</f>
        <v>0</v>
      </c>
      <c r="H26" s="710">
        <v>0</v>
      </c>
      <c r="I26" s="711">
        <f>H26/'État des Résultats'!H$14</f>
        <v>0</v>
      </c>
      <c r="K26" s="710">
        <v>0</v>
      </c>
      <c r="L26" s="711">
        <f>K26/'État des Résultats'!K$14</f>
        <v>0</v>
      </c>
      <c r="N26" s="710">
        <v>0</v>
      </c>
      <c r="O26" s="711">
        <f>N26/'État des Résultats'!N$14</f>
        <v>0</v>
      </c>
      <c r="Q26" s="710">
        <v>0</v>
      </c>
      <c r="R26" s="711">
        <f>Q26/'État des Résultats'!Q$14</f>
        <v>0</v>
      </c>
      <c r="T26" s="710">
        <v>0</v>
      </c>
      <c r="U26" s="711">
        <f>T26/'État des Résultats'!T$14</f>
        <v>0</v>
      </c>
      <c r="W26" s="710">
        <v>0</v>
      </c>
      <c r="X26" s="711">
        <f>W26/'État des Résultats'!W$14</f>
        <v>0</v>
      </c>
      <c r="Z26" s="710">
        <v>0</v>
      </c>
      <c r="AA26" s="711">
        <f>Z26/'État des Résultats'!Z$14</f>
        <v>0</v>
      </c>
      <c r="AC26" s="710">
        <v>0</v>
      </c>
      <c r="AD26" s="711">
        <f>AC26/'État des Résultats'!AC$14</f>
        <v>0</v>
      </c>
      <c r="AF26" s="710">
        <v>0</v>
      </c>
      <c r="AG26" s="711">
        <f>AF26/'État des Résultats'!AF$14</f>
        <v>0</v>
      </c>
      <c r="AI26" s="710">
        <v>0</v>
      </c>
      <c r="AJ26" s="711">
        <f>AI26/'État des Résultats'!AI$14</f>
        <v>0</v>
      </c>
      <c r="AL26" s="710">
        <v>0</v>
      </c>
      <c r="AM26" s="711">
        <f>AL26/'État des Résultats'!AL$14</f>
        <v>0</v>
      </c>
      <c r="AP26" s="712">
        <f t="shared" si="0"/>
        <v>0</v>
      </c>
      <c r="AQ26" s="713">
        <f>AP26/'État des Résultats'!$AP$14</f>
        <v>0</v>
      </c>
    </row>
    <row r="27" spans="2:47" x14ac:dyDescent="0.15">
      <c r="B27" s="779">
        <v>7996</v>
      </c>
      <c r="C27" s="394" t="s">
        <v>369</v>
      </c>
      <c r="E27" s="710">
        <v>0</v>
      </c>
      <c r="F27" s="711">
        <f>E27/'État des Résultats'!E$14</f>
        <v>0</v>
      </c>
      <c r="H27" s="710">
        <v>0</v>
      </c>
      <c r="I27" s="711">
        <f>H27/'État des Résultats'!H$14</f>
        <v>0</v>
      </c>
      <c r="K27" s="710">
        <v>0</v>
      </c>
      <c r="L27" s="711">
        <f>K27/'État des Résultats'!K$14</f>
        <v>0</v>
      </c>
      <c r="N27" s="710">
        <v>0</v>
      </c>
      <c r="O27" s="711">
        <f>N27/'État des Résultats'!N$14</f>
        <v>0</v>
      </c>
      <c r="Q27" s="710">
        <v>0</v>
      </c>
      <c r="R27" s="711">
        <f>Q27/'État des Résultats'!Q$14</f>
        <v>0</v>
      </c>
      <c r="T27" s="710">
        <v>0</v>
      </c>
      <c r="U27" s="711">
        <f>T27/'État des Résultats'!T$14</f>
        <v>0</v>
      </c>
      <c r="W27" s="710">
        <v>0</v>
      </c>
      <c r="X27" s="711">
        <f>W27/'État des Résultats'!W$14</f>
        <v>0</v>
      </c>
      <c r="Z27" s="710">
        <v>0</v>
      </c>
      <c r="AA27" s="711">
        <f>Z27/'État des Résultats'!Z$14</f>
        <v>0</v>
      </c>
      <c r="AC27" s="710">
        <v>0</v>
      </c>
      <c r="AD27" s="711">
        <f>AC27/'État des Résultats'!AC$14</f>
        <v>0</v>
      </c>
      <c r="AF27" s="710">
        <v>0</v>
      </c>
      <c r="AG27" s="711">
        <f>AF27/'État des Résultats'!AF$14</f>
        <v>0</v>
      </c>
      <c r="AI27" s="710">
        <v>0</v>
      </c>
      <c r="AJ27" s="711">
        <f>AI27/'État des Résultats'!AI$14</f>
        <v>0</v>
      </c>
      <c r="AL27" s="710">
        <v>0</v>
      </c>
      <c r="AM27" s="711">
        <f>AL27/'État des Résultats'!AL$14</f>
        <v>0</v>
      </c>
      <c r="AP27" s="712">
        <f t="shared" si="0"/>
        <v>0</v>
      </c>
      <c r="AQ27" s="713">
        <f>AP27/'État des Résultats'!$AP$14</f>
        <v>0</v>
      </c>
    </row>
    <row r="28" spans="2:47" x14ac:dyDescent="0.15">
      <c r="B28" s="709">
        <v>7998</v>
      </c>
      <c r="C28" s="394" t="s">
        <v>370</v>
      </c>
      <c r="E28" s="710">
        <v>0</v>
      </c>
      <c r="F28" s="711">
        <f>E28/'État des Résultats'!E$14</f>
        <v>0</v>
      </c>
      <c r="H28" s="710">
        <v>0</v>
      </c>
      <c r="I28" s="711">
        <f>H28/'État des Résultats'!H$14</f>
        <v>0</v>
      </c>
      <c r="K28" s="710">
        <v>0</v>
      </c>
      <c r="L28" s="711">
        <f>K28/'État des Résultats'!K$14</f>
        <v>0</v>
      </c>
      <c r="N28" s="710">
        <v>0</v>
      </c>
      <c r="O28" s="711">
        <f>N28/'État des Résultats'!N$14</f>
        <v>0</v>
      </c>
      <c r="Q28" s="710">
        <v>0</v>
      </c>
      <c r="R28" s="711">
        <f>Q28/'État des Résultats'!Q$14</f>
        <v>0</v>
      </c>
      <c r="T28" s="710">
        <v>0</v>
      </c>
      <c r="U28" s="711">
        <f>T28/'État des Résultats'!T$14</f>
        <v>0</v>
      </c>
      <c r="W28" s="710">
        <v>0</v>
      </c>
      <c r="X28" s="711">
        <f>W28/'État des Résultats'!W$14</f>
        <v>0</v>
      </c>
      <c r="Z28" s="710">
        <v>0</v>
      </c>
      <c r="AA28" s="711">
        <f>Z28/'État des Résultats'!Z$14</f>
        <v>0</v>
      </c>
      <c r="AC28" s="710">
        <v>0</v>
      </c>
      <c r="AD28" s="711">
        <f>AC28/'État des Résultats'!AC$14</f>
        <v>0</v>
      </c>
      <c r="AF28" s="710">
        <v>0</v>
      </c>
      <c r="AG28" s="711">
        <f>AF28/'État des Résultats'!AF$14</f>
        <v>0</v>
      </c>
      <c r="AI28" s="710">
        <v>0</v>
      </c>
      <c r="AJ28" s="711">
        <f>AI28/'État des Résultats'!AI$14</f>
        <v>0</v>
      </c>
      <c r="AL28" s="710">
        <v>0</v>
      </c>
      <c r="AM28" s="711">
        <f>AL28/'État des Résultats'!AL$14</f>
        <v>0</v>
      </c>
      <c r="AP28" s="712">
        <f t="shared" si="0"/>
        <v>0</v>
      </c>
      <c r="AQ28" s="713">
        <f>AP28/'État des Résultats'!$AP$14</f>
        <v>0</v>
      </c>
    </row>
    <row r="29" spans="2:47" x14ac:dyDescent="0.15">
      <c r="B29" s="709">
        <v>7999</v>
      </c>
      <c r="C29" s="394" t="s">
        <v>371</v>
      </c>
      <c r="E29" s="710">
        <v>1000</v>
      </c>
      <c r="F29" s="711">
        <f>E29/'État des Résultats'!E$14</f>
        <v>2.6106150217398965E-2</v>
      </c>
      <c r="H29" s="710">
        <v>1000</v>
      </c>
      <c r="I29" s="711">
        <f>H29/'État des Résultats'!H$14</f>
        <v>3.2114708600768566E-2</v>
      </c>
      <c r="K29" s="710">
        <v>1000</v>
      </c>
      <c r="L29" s="711">
        <f>K29/'État des Résultats'!K$14</f>
        <v>2.6106150217398965E-2</v>
      </c>
      <c r="N29" s="710">
        <v>1000</v>
      </c>
      <c r="O29" s="711">
        <f>N29/'État des Résultats'!N$14</f>
        <v>2.4523959295132361E-2</v>
      </c>
      <c r="Q29" s="710">
        <v>1000</v>
      </c>
      <c r="R29" s="711">
        <f>Q29/'État des Résultats'!Q$14</f>
        <v>2.1755125181165801E-2</v>
      </c>
      <c r="T29" s="710">
        <v>1000</v>
      </c>
      <c r="U29" s="711">
        <f>T29/'État des Résultats'!T$14</f>
        <v>1.7984236816430396E-2</v>
      </c>
      <c r="W29" s="710">
        <v>1000</v>
      </c>
      <c r="X29" s="711">
        <f>W29/'État des Résultats'!W$14</f>
        <v>1.3053075108699482E-2</v>
      </c>
      <c r="Z29" s="710">
        <v>1000</v>
      </c>
      <c r="AA29" s="711">
        <f>Z29/'État des Résultats'!Z$14</f>
        <v>1.4503416787443869E-2</v>
      </c>
      <c r="AC29" s="710">
        <v>1000</v>
      </c>
      <c r="AD29" s="711">
        <f>AC29/'État des Résultats'!AC$14</f>
        <v>2.2480296020537999E-2</v>
      </c>
      <c r="AF29" s="710">
        <v>1000</v>
      </c>
      <c r="AG29" s="711">
        <f>AF29/'État des Résultats'!AF$14</f>
        <v>2.3732863833999061E-2</v>
      </c>
      <c r="AI29" s="710">
        <v>1000</v>
      </c>
      <c r="AJ29" s="711">
        <f>AI29/'État des Résultats'!AI$14</f>
        <v>2.6976355224645598E-2</v>
      </c>
      <c r="AL29" s="710">
        <v>1000</v>
      </c>
      <c r="AM29" s="711">
        <f>AL29/'État des Résultats'!AL$14</f>
        <v>2.1755125181165801E-2</v>
      </c>
      <c r="AP29" s="712">
        <f t="shared" si="0"/>
        <v>12000</v>
      </c>
      <c r="AQ29" s="713">
        <f>AP29/'État des Résultats'!$AP$14</f>
        <v>2.1227295914475225E-2</v>
      </c>
    </row>
    <row r="30" spans="2:47" ht="14" thickBot="1" x14ac:dyDescent="0.2">
      <c r="B30" s="749"/>
      <c r="C30" s="750"/>
      <c r="D30" s="741"/>
      <c r="E30" s="714"/>
      <c r="F30" s="747"/>
      <c r="G30" s="741"/>
      <c r="H30" s="714"/>
      <c r="I30" s="747"/>
      <c r="J30" s="741"/>
      <c r="K30" s="714"/>
      <c r="L30" s="747"/>
      <c r="M30" s="741"/>
      <c r="N30" s="714"/>
      <c r="O30" s="747"/>
      <c r="P30" s="741"/>
      <c r="Q30" s="714"/>
      <c r="R30" s="747"/>
      <c r="S30" s="741"/>
      <c r="T30" s="714"/>
      <c r="U30" s="747"/>
      <c r="V30" s="741"/>
      <c r="W30" s="714"/>
      <c r="X30" s="747"/>
      <c r="Y30" s="741"/>
      <c r="Z30" s="714"/>
      <c r="AA30" s="747"/>
      <c r="AB30" s="741"/>
      <c r="AC30" s="714"/>
      <c r="AD30" s="747"/>
      <c r="AE30" s="741"/>
      <c r="AF30" s="714"/>
      <c r="AG30" s="747"/>
      <c r="AH30" s="741"/>
      <c r="AI30" s="714"/>
      <c r="AJ30" s="747"/>
      <c r="AK30" s="741"/>
      <c r="AL30" s="714"/>
      <c r="AM30" s="747"/>
      <c r="AN30" s="741"/>
      <c r="AO30" s="741"/>
      <c r="AP30" s="712"/>
      <c r="AQ30" s="748"/>
    </row>
    <row r="31" spans="2:47" ht="15" thickTop="1" thickBot="1" x14ac:dyDescent="0.2">
      <c r="B31" s="499">
        <v>7900</v>
      </c>
      <c r="C31" s="500" t="s">
        <v>372</v>
      </c>
      <c r="D31" s="214"/>
      <c r="E31" s="719">
        <f>SUM(E13:E29)</f>
        <v>1000</v>
      </c>
      <c r="F31" s="720">
        <f>E31/'État des Résultats'!E14</f>
        <v>2.6106150217398965E-2</v>
      </c>
      <c r="G31" s="214"/>
      <c r="H31" s="719">
        <f>SUM(H13:H29)</f>
        <v>1000</v>
      </c>
      <c r="I31" s="720">
        <f>H31/'État des Résultats'!H14</f>
        <v>3.2114708600768566E-2</v>
      </c>
      <c r="J31" s="214"/>
      <c r="K31" s="719">
        <f>SUM(K13:K29)</f>
        <v>1000</v>
      </c>
      <c r="L31" s="720">
        <f>K31/'État des Résultats'!K14</f>
        <v>2.6106150217398965E-2</v>
      </c>
      <c r="M31" s="214"/>
      <c r="N31" s="719">
        <f>SUM(N13:N29)</f>
        <v>1000</v>
      </c>
      <c r="O31" s="720">
        <f>N31/'État des Résultats'!N14</f>
        <v>2.4523959295132361E-2</v>
      </c>
      <c r="P31" s="214"/>
      <c r="Q31" s="719">
        <f>SUM(Q13:Q29)</f>
        <v>1000</v>
      </c>
      <c r="R31" s="720">
        <f>Q31/'État des Résultats'!Q14</f>
        <v>2.1755125181165801E-2</v>
      </c>
      <c r="S31" s="214"/>
      <c r="T31" s="719">
        <f>SUM(T13:T29)</f>
        <v>1000</v>
      </c>
      <c r="U31" s="720">
        <f>T31/'État des Résultats'!T14</f>
        <v>1.7984236816430396E-2</v>
      </c>
      <c r="V31" s="214"/>
      <c r="W31" s="719">
        <f>SUM(W13:W29)</f>
        <v>1000</v>
      </c>
      <c r="X31" s="720">
        <f>W31/'État des Résultats'!W14</f>
        <v>1.3053075108699482E-2</v>
      </c>
      <c r="Y31" s="214"/>
      <c r="Z31" s="719">
        <f>SUM(Z13:Z29)</f>
        <v>1000</v>
      </c>
      <c r="AA31" s="720">
        <f>Z31/'État des Résultats'!Z14</f>
        <v>1.4503416787443869E-2</v>
      </c>
      <c r="AB31" s="214"/>
      <c r="AC31" s="719">
        <f>SUM(AC13:AC29)</f>
        <v>1000</v>
      </c>
      <c r="AD31" s="720">
        <f>AC31/'État des Résultats'!AC14</f>
        <v>2.2480296020537999E-2</v>
      </c>
      <c r="AE31" s="214"/>
      <c r="AF31" s="719">
        <f>SUM(AF13:AF29)</f>
        <v>1000</v>
      </c>
      <c r="AG31" s="720">
        <f>AF31/'État des Résultats'!AF14</f>
        <v>2.3732863833999061E-2</v>
      </c>
      <c r="AH31" s="214"/>
      <c r="AI31" s="719">
        <f>SUM(AI13:AI29)</f>
        <v>1000</v>
      </c>
      <c r="AJ31" s="720">
        <f>AI31/'État des Résultats'!AI14</f>
        <v>2.6976355224645598E-2</v>
      </c>
      <c r="AK31" s="214"/>
      <c r="AL31" s="719">
        <f>SUM(AL13:AL29)</f>
        <v>1000</v>
      </c>
      <c r="AM31" s="720">
        <f>AL31/'État des Résultats'!AL14</f>
        <v>2.1755125181165801E-2</v>
      </c>
      <c r="AN31" s="214"/>
      <c r="AO31" s="214"/>
      <c r="AP31" s="719">
        <f>SUM(AP13:AP29)</f>
        <v>12000</v>
      </c>
      <c r="AQ31" s="720">
        <f>AP31/'État des Résultats'!AP14</f>
        <v>2.1227295914475225E-2</v>
      </c>
      <c r="AR31" s="214"/>
      <c r="AS31" s="214"/>
      <c r="AT31" s="214"/>
      <c r="AU31" s="252"/>
    </row>
    <row r="32" spans="2:47" ht="14" thickTop="1" x14ac:dyDescent="0.15">
      <c r="L32" s="316"/>
      <c r="O32" s="316"/>
      <c r="R32" s="316"/>
      <c r="U32" s="316"/>
      <c r="X32" s="316"/>
      <c r="AA32" s="316"/>
      <c r="AD32" s="316"/>
      <c r="AG32" s="316"/>
      <c r="AJ32" s="316"/>
      <c r="AM32" s="316"/>
      <c r="AQ32" s="316"/>
    </row>
    <row r="33" spans="3:69" x14ac:dyDescent="0.15">
      <c r="R33" s="316"/>
      <c r="U33" s="316"/>
      <c r="X33" s="316"/>
      <c r="AD33" s="316"/>
      <c r="AG33" s="316"/>
      <c r="AJ33" s="316"/>
      <c r="AM33" s="316"/>
    </row>
    <row r="34" spans="3:69" x14ac:dyDescent="0.15">
      <c r="U34" s="316"/>
      <c r="AG34" s="316"/>
      <c r="AJ34" s="316"/>
      <c r="AM34" s="316"/>
    </row>
    <row r="35" spans="3:69" x14ac:dyDescent="0.15">
      <c r="C35" s="161" t="s">
        <v>2</v>
      </c>
      <c r="E35" s="161" t="s">
        <v>2</v>
      </c>
      <c r="G35" s="161" t="s">
        <v>2</v>
      </c>
      <c r="H35" s="161" t="s">
        <v>2</v>
      </c>
      <c r="U35" s="316"/>
      <c r="AG35" s="316"/>
      <c r="AJ35" s="316"/>
      <c r="AM35" s="316"/>
    </row>
    <row r="36" spans="3:69" x14ac:dyDescent="0.15">
      <c r="H36" s="161" t="s">
        <v>2</v>
      </c>
      <c r="AG36" s="316"/>
      <c r="AJ36" s="316"/>
      <c r="AM36" s="316"/>
    </row>
    <row r="37" spans="3:69" x14ac:dyDescent="0.15">
      <c r="H37" s="161" t="s">
        <v>2</v>
      </c>
      <c r="AM37" s="316"/>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722"/>
    </row>
  </sheetData>
  <sheetProtection algorithmName="SHA-512" hashValue="AtKqtKqNX8y1Fg1rQYy5iEU/dMsxg1mO4THq0eZhp/QC92s/RPJWV6DejcVraSfrAOniHL3BDqMUy8P7rK0/tA==" saltValue="wGJuXRSVXZ0BDETMsJa3l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election activeCell="A31" sqref="A31"/>
    </sheetView>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940" t="str">
        <f>'État des Résultats'!C2</f>
        <v xml:space="preserve">Entreprise de restauration alimentaire 12 inc. </v>
      </c>
      <c r="C2" s="941"/>
      <c r="AS2" s="898" t="s">
        <v>42</v>
      </c>
      <c r="AT2" s="369"/>
      <c r="AU2" s="369"/>
      <c r="AV2" s="369"/>
      <c r="AW2" s="369"/>
      <c r="AX2" s="369"/>
      <c r="AY2" s="369"/>
      <c r="AZ2" s="369"/>
      <c r="BA2" s="369"/>
      <c r="BB2" s="369"/>
      <c r="BC2" s="901" t="s">
        <v>43</v>
      </c>
    </row>
    <row r="3" spans="2:56" ht="16" x14ac:dyDescent="0.2">
      <c r="B3" s="942" t="str">
        <f>'État des Résultats'!C3</f>
        <v xml:space="preserve">États des résultats prévisionnels </v>
      </c>
      <c r="C3" s="943"/>
      <c r="AS3" s="899"/>
      <c r="AT3" s="370"/>
      <c r="AU3" s="370"/>
      <c r="AV3" s="370"/>
      <c r="AW3" s="370"/>
      <c r="AX3" s="370"/>
      <c r="AY3" s="370"/>
      <c r="AZ3" s="370"/>
      <c r="BA3" s="370"/>
      <c r="BB3" s="370"/>
      <c r="BC3" s="902"/>
    </row>
    <row r="4" spans="2:56" ht="22" thickBot="1" x14ac:dyDescent="0.3">
      <c r="B4" s="944" t="str">
        <f>'État des Résultats'!C4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'Coût marchandises vendues'!B6</f>
        <v>Nb de places</v>
      </c>
      <c r="C6" s="958"/>
      <c r="E6" s="693" t="str">
        <f>'Coût marchandises vendues'!D6</f>
        <v>Coût / place / jour</v>
      </c>
      <c r="F6" s="694">
        <f>+E24/$B$7/'Calendrier 2021'!D8</f>
        <v>0</v>
      </c>
      <c r="G6" s="170"/>
      <c r="H6" s="693" t="str">
        <f>+E6</f>
        <v>Coût / place / jour</v>
      </c>
      <c r="I6" s="694">
        <f>+H24/$B$7/'Calendrier 2021'!E8</f>
        <v>0</v>
      </c>
      <c r="J6" s="170"/>
      <c r="K6" s="693" t="str">
        <f>+H6</f>
        <v>Coût / place / jour</v>
      </c>
      <c r="L6" s="694">
        <f>+K24/$B$7/'Calendrier 2021'!F8</f>
        <v>0</v>
      </c>
      <c r="M6" s="170"/>
      <c r="N6" s="693" t="str">
        <f>+K6</f>
        <v>Coût / place / jour</v>
      </c>
      <c r="O6" s="694">
        <f>+N24/$B$7/'Calendrier 2021'!G8</f>
        <v>0</v>
      </c>
      <c r="P6" s="436"/>
      <c r="Q6" s="693" t="str">
        <f>+N6</f>
        <v>Coût / place / jour</v>
      </c>
      <c r="R6" s="694">
        <f>+Q24/$B$7/'Calendrier 2021'!H8</f>
        <v>0</v>
      </c>
      <c r="S6" s="436"/>
      <c r="T6" s="693" t="str">
        <f>+Q6</f>
        <v>Coût / place / jour</v>
      </c>
      <c r="U6" s="694">
        <f>+T24/$B$7/'Calendrier 2021'!I8</f>
        <v>0</v>
      </c>
      <c r="V6" s="170"/>
      <c r="W6" s="693" t="str">
        <f>+T6</f>
        <v>Coût / place / jour</v>
      </c>
      <c r="X6" s="694">
        <f>+W24/$B$7/'Calendrier 2021'!J8</f>
        <v>0</v>
      </c>
      <c r="Y6" s="170"/>
      <c r="Z6" s="693" t="str">
        <f>+W6</f>
        <v>Coût / place / jour</v>
      </c>
      <c r="AA6" s="694">
        <f>+Z24/$B$7/'Calendrier 2021'!K8</f>
        <v>0</v>
      </c>
      <c r="AB6" s="170"/>
      <c r="AC6" s="693" t="str">
        <f>+Z6</f>
        <v>Coût / place / jour</v>
      </c>
      <c r="AD6" s="694">
        <f>+AC24/$B$7/'Calendrier 2021'!L8</f>
        <v>0</v>
      </c>
      <c r="AE6" s="170"/>
      <c r="AF6" s="693" t="str">
        <f>+AC6</f>
        <v>Coût / place / jour</v>
      </c>
      <c r="AG6" s="694">
        <f>+AF24/$B$7/'Calendrier 2021'!M8</f>
        <v>0</v>
      </c>
      <c r="AH6" s="170"/>
      <c r="AI6" s="693" t="str">
        <f>+AF6</f>
        <v>Coût / place / jour</v>
      </c>
      <c r="AJ6" s="694">
        <f>+AI24/$B$7/'Calendrier 2021'!N8</f>
        <v>6.0000000000000001E-3</v>
      </c>
      <c r="AK6" s="170"/>
      <c r="AL6" s="693" t="str">
        <f>+AI6</f>
        <v>Coût / place / jour</v>
      </c>
      <c r="AM6" s="694">
        <f>+AL24/$B$7/'Calendrier 2021'!O8</f>
        <v>0</v>
      </c>
      <c r="AN6" s="170"/>
      <c r="AO6" s="170"/>
      <c r="AP6" s="695" t="str">
        <f>+AL6</f>
        <v>Coût / place / jour</v>
      </c>
      <c r="AQ6" s="696">
        <f>+AP24/$B$7/'% Occupation'!P9</f>
        <v>4.9315068493150684E-4</v>
      </c>
      <c r="AS6" s="899"/>
      <c r="AT6" s="374"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48">
        <f>'Coût marchandises vendues'!B7</f>
        <v>50</v>
      </c>
      <c r="C7" s="947"/>
      <c r="E7" s="438">
        <f>+E24/$AP24</f>
        <v>0</v>
      </c>
      <c r="F7" s="697"/>
      <c r="H7" s="438">
        <f>+H24/$AP24</f>
        <v>0</v>
      </c>
      <c r="I7" s="697"/>
      <c r="K7" s="438">
        <f>+K24/$AP24</f>
        <v>0</v>
      </c>
      <c r="L7" s="439"/>
      <c r="N7" s="438">
        <f>+N24/$AP24</f>
        <v>0</v>
      </c>
      <c r="O7" s="439"/>
      <c r="P7" s="698"/>
      <c r="Q7" s="438">
        <f>+Q24/$AP24</f>
        <v>0</v>
      </c>
      <c r="R7" s="439"/>
      <c r="S7" s="698"/>
      <c r="T7" s="438">
        <f>+T24/$AP24</f>
        <v>0</v>
      </c>
      <c r="U7" s="439"/>
      <c r="W7" s="438">
        <f>+W24/$AP24</f>
        <v>0</v>
      </c>
      <c r="X7" s="439"/>
      <c r="Z7" s="438">
        <f>+Z24/$AP24</f>
        <v>0</v>
      </c>
      <c r="AA7" s="439"/>
      <c r="AC7" s="438">
        <f>+AC24/$AP24</f>
        <v>0</v>
      </c>
      <c r="AD7" s="439"/>
      <c r="AF7" s="438">
        <f>+AF24/$AP24</f>
        <v>0</v>
      </c>
      <c r="AG7" s="439"/>
      <c r="AI7" s="438">
        <f>+AI24/$AP24</f>
        <v>1</v>
      </c>
      <c r="AJ7" s="439"/>
      <c r="AL7" s="438">
        <f>+AL24/$AP24</f>
        <v>0</v>
      </c>
      <c r="AM7" s="439"/>
      <c r="AP7" s="699">
        <f>+AP24/$AP24</f>
        <v>1</v>
      </c>
      <c r="AQ7" s="959" t="s">
        <v>137</v>
      </c>
      <c r="AS7" s="899"/>
      <c r="AT7" s="684">
        <f>AP24</f>
        <v>9</v>
      </c>
      <c r="AU7" s="371" t="s">
        <v>44</v>
      </c>
      <c r="AV7" s="685">
        <f>'Formule pour le calcul D'!G106</f>
        <v>22875</v>
      </c>
      <c r="AW7" s="371" t="s">
        <v>45</v>
      </c>
      <c r="AX7" s="371" t="s">
        <v>46</v>
      </c>
      <c r="AY7" s="686">
        <f>'Formule pour le calcul D'!J106</f>
        <v>2.2200000000000002</v>
      </c>
      <c r="AZ7" s="371" t="s">
        <v>45</v>
      </c>
      <c r="BA7" s="687">
        <f>AT7/AV7/AY7</f>
        <v>1.7722640673460344E-4</v>
      </c>
      <c r="BB7" s="371" t="s">
        <v>49</v>
      </c>
      <c r="BC7" s="902"/>
    </row>
    <row r="8" spans="2:56" ht="17" thickBot="1" x14ac:dyDescent="0.25">
      <c r="B8" s="920" t="s">
        <v>338</v>
      </c>
      <c r="C8" s="947"/>
      <c r="E8" s="702" t="str">
        <f>'Calendrier 2021'!D5</f>
        <v>Pér.01</v>
      </c>
      <c r="F8" s="701" t="str">
        <f>'État des Résultats'!F8</f>
        <v>(%)</v>
      </c>
      <c r="G8" s="385"/>
      <c r="H8" s="702" t="str">
        <f>'Calendrier 2021'!E5</f>
        <v>Pér.02</v>
      </c>
      <c r="I8" s="701" t="str">
        <f>F8</f>
        <v>(%)</v>
      </c>
      <c r="J8" s="385"/>
      <c r="K8" s="702" t="str">
        <f>'Calendrier 2021'!F5</f>
        <v>Pér.03</v>
      </c>
      <c r="L8" s="701" t="str">
        <f>I8</f>
        <v>(%)</v>
      </c>
      <c r="M8" s="385"/>
      <c r="N8" s="702" t="str">
        <f>'Calendrier 2021'!G5</f>
        <v>Pér.04</v>
      </c>
      <c r="O8" s="701" t="str">
        <f>L8</f>
        <v>(%)</v>
      </c>
      <c r="P8" s="440"/>
      <c r="Q8" s="702" t="str">
        <f>'Calendrier 2021'!H5</f>
        <v>Pér.05</v>
      </c>
      <c r="R8" s="701" t="str">
        <f>O8</f>
        <v>(%)</v>
      </c>
      <c r="S8" s="440"/>
      <c r="T8" s="702" t="str">
        <f>'Calendrier 2021'!I5</f>
        <v>Pér.06</v>
      </c>
      <c r="U8" s="701" t="str">
        <f>R8</f>
        <v>(%)</v>
      </c>
      <c r="V8" s="385"/>
      <c r="W8" s="702" t="str">
        <f>'Calendrier 2021'!J5</f>
        <v>Pér.07</v>
      </c>
      <c r="X8" s="701" t="str">
        <f>U8</f>
        <v>(%)</v>
      </c>
      <c r="Y8" s="385"/>
      <c r="Z8" s="702" t="str">
        <f>'Calendrier 2021'!K5</f>
        <v>Pér.08</v>
      </c>
      <c r="AA8" s="701" t="str">
        <f>X8</f>
        <v>(%)</v>
      </c>
      <c r="AB8" s="385"/>
      <c r="AC8" s="702" t="str">
        <f>'Calendrier 2021'!L5</f>
        <v>Pér.09</v>
      </c>
      <c r="AD8" s="701" t="str">
        <f>AA8</f>
        <v>(%)</v>
      </c>
      <c r="AE8" s="385"/>
      <c r="AF8" s="702" t="str">
        <f>'Calendrier 2021'!M5</f>
        <v>Pér.10</v>
      </c>
      <c r="AG8" s="701" t="str">
        <f>AD8</f>
        <v>(%)</v>
      </c>
      <c r="AH8" s="385"/>
      <c r="AI8" s="702" t="str">
        <f>'Calendrier 2021'!N5</f>
        <v>Pér.11</v>
      </c>
      <c r="AJ8" s="701" t="str">
        <f>AG8</f>
        <v>(%)</v>
      </c>
      <c r="AK8" s="385"/>
      <c r="AL8" s="702" t="str">
        <f>'Calendrier 2021'!O5</f>
        <v>Pér.12</v>
      </c>
      <c r="AM8" s="701" t="str">
        <f>AJ8</f>
        <v>(%)</v>
      </c>
      <c r="AN8" s="703" t="s">
        <v>2</v>
      </c>
      <c r="AO8" s="385"/>
      <c r="AP8" s="704" t="str">
        <f>'État des Résultats'!AP8</f>
        <v>Total</v>
      </c>
      <c r="AQ8" s="701" t="str">
        <f>AM8</f>
        <v>(%)</v>
      </c>
      <c r="AS8" s="900"/>
      <c r="AT8" s="376"/>
      <c r="AU8" s="376"/>
      <c r="AV8" s="376"/>
      <c r="AW8" s="376"/>
      <c r="AX8" s="376"/>
      <c r="AY8" s="376"/>
      <c r="AZ8" s="376"/>
      <c r="BA8" s="376"/>
      <c r="BB8" s="376"/>
      <c r="BC8" s="903"/>
    </row>
    <row r="9" spans="2:56" ht="15" thickTop="1" thickBot="1" x14ac:dyDescent="0.2">
      <c r="B9" s="956">
        <f>AP24/$B$7</f>
        <v>0.18</v>
      </c>
      <c r="C9" s="957"/>
      <c r="E9" s="723" t="str">
        <f>'Calendrier 2021'!D6</f>
        <v>Janvier 2021</v>
      </c>
      <c r="F9" s="724"/>
      <c r="G9" s="294"/>
      <c r="H9" s="725" t="str">
        <f>'Calendrier 2021'!E6</f>
        <v>Février 2021</v>
      </c>
      <c r="I9" s="726"/>
      <c r="J9" s="294"/>
      <c r="K9" s="725" t="str">
        <f>'Calendrier 2021'!F6</f>
        <v>Mars 2021</v>
      </c>
      <c r="L9" s="726"/>
      <c r="M9" s="294"/>
      <c r="N9" s="723" t="str">
        <f>'Calendrier 2021'!G6</f>
        <v>Avril 2021</v>
      </c>
      <c r="O9" s="724"/>
      <c r="P9" s="727"/>
      <c r="Q9" s="723" t="str">
        <f>'Calendrier 2021'!H6</f>
        <v>Mai 2021</v>
      </c>
      <c r="R9" s="724"/>
      <c r="S9" s="727"/>
      <c r="T9" s="725" t="str">
        <f>'Calendrier 2021'!I6</f>
        <v>Juin 2021</v>
      </c>
      <c r="U9" s="726"/>
      <c r="V9" s="294"/>
      <c r="W9" s="725" t="str">
        <f>'Calendrier 2021'!J6</f>
        <v>Juillet 2021</v>
      </c>
      <c r="X9" s="726"/>
      <c r="Y9" s="294"/>
      <c r="Z9" s="725" t="str">
        <f>'Calendrier 2021'!K6</f>
        <v>Août 2021</v>
      </c>
      <c r="AA9" s="726"/>
      <c r="AB9" s="294"/>
      <c r="AC9" s="725" t="str">
        <f>'Calendrier 2021'!L6</f>
        <v>Septembre 2021</v>
      </c>
      <c r="AD9" s="726"/>
      <c r="AE9" s="294"/>
      <c r="AF9" s="725" t="str">
        <f>'Calendrier 2021'!M6</f>
        <v>Octobre 2021</v>
      </c>
      <c r="AG9" s="726"/>
      <c r="AH9" s="294"/>
      <c r="AI9" s="725" t="str">
        <f>'Calendrier 2021'!N6</f>
        <v>Novembre 2021</v>
      </c>
      <c r="AJ9" s="726"/>
      <c r="AK9" s="294"/>
      <c r="AL9" s="725" t="str">
        <f>'Calendrier 2021'!O6</f>
        <v>Décembre 2021</v>
      </c>
      <c r="AM9" s="726"/>
      <c r="AN9" s="294"/>
      <c r="AO9" s="294"/>
      <c r="AP9" s="728" t="str">
        <f>'État des Résultats'!AP9</f>
        <v>Année</v>
      </c>
      <c r="AQ9" s="729"/>
      <c r="AR9" s="730"/>
      <c r="AS9" s="730"/>
      <c r="AT9" s="331"/>
      <c r="AU9" s="331"/>
      <c r="AV9" s="331"/>
      <c r="AW9" s="331"/>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14" thickTop="1" x14ac:dyDescent="0.15">
      <c r="B11" s="706"/>
      <c r="C11" s="776" t="s">
        <v>374</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66">
        <v>8110</v>
      </c>
      <c r="C13" s="767" t="s">
        <v>375</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66">
        <v>8120</v>
      </c>
      <c r="C14" s="767" t="s">
        <v>377</v>
      </c>
      <c r="E14" s="710">
        <v>0</v>
      </c>
      <c r="F14" s="711">
        <f>E14/'État des Résultats'!E$14</f>
        <v>0</v>
      </c>
      <c r="H14" s="710">
        <v>0</v>
      </c>
      <c r="I14" s="711">
        <f>H14/'État des Résultats'!H$14</f>
        <v>0</v>
      </c>
      <c r="K14" s="710">
        <v>0</v>
      </c>
      <c r="L14" s="711">
        <f>K14/'État des Résultats'!K$14</f>
        <v>0</v>
      </c>
      <c r="N14" s="710">
        <v>0</v>
      </c>
      <c r="O14" s="711">
        <f>N14/'État des Résultats'!N$14</f>
        <v>0</v>
      </c>
      <c r="Q14" s="710">
        <v>0</v>
      </c>
      <c r="R14" s="711">
        <f>Q14/'État des Résultats'!Q$14</f>
        <v>0</v>
      </c>
      <c r="T14" s="710">
        <v>0</v>
      </c>
      <c r="U14" s="711">
        <f>T14/'État des Résultats'!T$14</f>
        <v>0</v>
      </c>
      <c r="W14" s="710">
        <v>0</v>
      </c>
      <c r="X14" s="711">
        <f>W14/'État des Résultats'!W$14</f>
        <v>0</v>
      </c>
      <c r="Z14" s="710">
        <v>0</v>
      </c>
      <c r="AA14" s="711">
        <f>Z14/'État des Résultats'!Z$14</f>
        <v>0</v>
      </c>
      <c r="AC14" s="710">
        <v>0</v>
      </c>
      <c r="AD14" s="711">
        <f>AC14/'État des Résultats'!AC$14</f>
        <v>0</v>
      </c>
      <c r="AF14" s="710">
        <v>0</v>
      </c>
      <c r="AG14" s="711">
        <f>AF14/'État des Résultats'!AF$14</f>
        <v>0</v>
      </c>
      <c r="AI14" s="710">
        <v>1</v>
      </c>
      <c r="AJ14" s="711">
        <f>AI14/'État des Résultats'!AI$14</f>
        <v>2.6976355224645597E-5</v>
      </c>
      <c r="AL14" s="710">
        <v>0</v>
      </c>
      <c r="AM14" s="711">
        <f>AL14/'État des Résultats'!AL$14</f>
        <v>0</v>
      </c>
      <c r="AP14" s="712">
        <f>SUM(+$AL14+$AI14+$AF14+$AC14+$Z14+$W14+$T14+$Q14+$N14+$K14+$H14+$E14)</f>
        <v>1</v>
      </c>
      <c r="AQ14" s="713">
        <f>AP14/'État des Résultats'!AP$14</f>
        <v>1.7689413262062687E-6</v>
      </c>
    </row>
    <row r="15" spans="2:56" x14ac:dyDescent="0.15">
      <c r="B15" s="768">
        <v>8130</v>
      </c>
      <c r="C15" s="767" t="s">
        <v>378</v>
      </c>
      <c r="E15" s="710">
        <v>0</v>
      </c>
      <c r="F15" s="711">
        <f>E15/'État des Résultats'!E$14</f>
        <v>0</v>
      </c>
      <c r="H15" s="710">
        <v>0</v>
      </c>
      <c r="I15" s="711">
        <f>H15/'État des Résultats'!H$14</f>
        <v>0</v>
      </c>
      <c r="K15" s="710">
        <v>0</v>
      </c>
      <c r="L15" s="711">
        <f>K15/'État des Résultats'!K$14</f>
        <v>0</v>
      </c>
      <c r="N15" s="710">
        <v>0</v>
      </c>
      <c r="O15" s="711">
        <f>N15/'État des Résultats'!N$14</f>
        <v>0</v>
      </c>
      <c r="Q15" s="710">
        <v>0</v>
      </c>
      <c r="R15" s="711">
        <f>Q15/'État des Résultats'!Q$14</f>
        <v>0</v>
      </c>
      <c r="T15" s="710">
        <v>0</v>
      </c>
      <c r="U15" s="711">
        <f>T15/'État des Résultats'!T$14</f>
        <v>0</v>
      </c>
      <c r="W15" s="710">
        <v>0</v>
      </c>
      <c r="X15" s="711">
        <f>W15/'État des Résultats'!W$14</f>
        <v>0</v>
      </c>
      <c r="Z15" s="710">
        <v>0</v>
      </c>
      <c r="AA15" s="711">
        <f>Z15/'État des Résultats'!Z$14</f>
        <v>0</v>
      </c>
      <c r="AC15" s="710">
        <v>0</v>
      </c>
      <c r="AD15" s="711">
        <f>AC15/'État des Résultats'!AC$14</f>
        <v>0</v>
      </c>
      <c r="AF15" s="710">
        <v>0</v>
      </c>
      <c r="AG15" s="711">
        <f>AF15/'État des Résultats'!AF$14</f>
        <v>0</v>
      </c>
      <c r="AI15" s="710">
        <v>1</v>
      </c>
      <c r="AJ15" s="711">
        <f>AI15/'État des Résultats'!AI$14</f>
        <v>2.6976355224645597E-5</v>
      </c>
      <c r="AL15" s="710">
        <v>0</v>
      </c>
      <c r="AM15" s="711">
        <f>AL15/'État des Résultats'!AL$14</f>
        <v>0</v>
      </c>
      <c r="AP15" s="712">
        <f>SUM(+$AL15+$AI15+$AF15+$AC15+$Z15+$W15+$T15+$Q15+$N15+$K15+$H15+$E15)</f>
        <v>1</v>
      </c>
      <c r="AQ15" s="713">
        <f>AP15/'État des Résultats'!AP$14</f>
        <v>1.7689413262062687E-6</v>
      </c>
    </row>
    <row r="16" spans="2:56" x14ac:dyDescent="0.15">
      <c r="B16" s="768">
        <v>8140</v>
      </c>
      <c r="C16" s="767" t="s">
        <v>379</v>
      </c>
      <c r="E16" s="710">
        <v>0</v>
      </c>
      <c r="F16" s="711">
        <f>E16/'État des Résultats'!E$14</f>
        <v>0</v>
      </c>
      <c r="G16" s="716" t="s">
        <v>2</v>
      </c>
      <c r="H16" s="710">
        <v>0</v>
      </c>
      <c r="I16" s="711">
        <f>H16/'État des Résultats'!H$14</f>
        <v>0</v>
      </c>
      <c r="K16" s="710">
        <v>0</v>
      </c>
      <c r="L16" s="711">
        <f>K16/'État des Résultats'!K$14</f>
        <v>0</v>
      </c>
      <c r="N16" s="710">
        <v>0</v>
      </c>
      <c r="O16" s="711">
        <f>N16/'État des Résultats'!N$14</f>
        <v>0</v>
      </c>
      <c r="Q16" s="710">
        <v>0</v>
      </c>
      <c r="R16" s="711">
        <f>Q16/'État des Résultats'!Q$14</f>
        <v>0</v>
      </c>
      <c r="T16" s="710">
        <v>0</v>
      </c>
      <c r="U16" s="711">
        <f>T16/'État des Résultats'!T$14</f>
        <v>0</v>
      </c>
      <c r="W16" s="710">
        <v>0</v>
      </c>
      <c r="X16" s="711">
        <f>W16/'État des Résultats'!W$14</f>
        <v>0</v>
      </c>
      <c r="Z16" s="710">
        <v>0</v>
      </c>
      <c r="AA16" s="711">
        <f>Z16/'État des Résultats'!Z$14</f>
        <v>0</v>
      </c>
      <c r="AC16" s="710">
        <v>0</v>
      </c>
      <c r="AD16" s="711">
        <f>AC16/'État des Résultats'!AC$14</f>
        <v>0</v>
      </c>
      <c r="AF16" s="710">
        <v>0</v>
      </c>
      <c r="AG16" s="711">
        <f>AF16/'État des Résultats'!AF$14</f>
        <v>0</v>
      </c>
      <c r="AI16" s="710">
        <v>1</v>
      </c>
      <c r="AJ16" s="711">
        <f>AI16/'État des Résultats'!AI$14</f>
        <v>2.6976355224645597E-5</v>
      </c>
      <c r="AL16" s="710">
        <v>0</v>
      </c>
      <c r="AM16" s="711">
        <f>AL16/'État des Résultats'!AL$14</f>
        <v>0</v>
      </c>
      <c r="AP16" s="712">
        <f t="shared" ref="AP16:AP22" si="0">SUM(+$AL16+$AI16+$AF16+$AC16+$Z16+$W16+$T16+$Q16+$N16+$K16+$H16+$E16)</f>
        <v>1</v>
      </c>
      <c r="AQ16" s="713">
        <f>AP16/'État des Résultats'!AP$14</f>
        <v>1.7689413262062687E-6</v>
      </c>
    </row>
    <row r="17" spans="2:69" x14ac:dyDescent="0.15">
      <c r="B17" s="768">
        <v>8150</v>
      </c>
      <c r="C17" s="767" t="s">
        <v>380</v>
      </c>
      <c r="E17" s="710">
        <v>0</v>
      </c>
      <c r="F17" s="711">
        <f>E17/'État des Résultats'!E$14</f>
        <v>0</v>
      </c>
      <c r="H17" s="710">
        <v>0</v>
      </c>
      <c r="I17" s="711">
        <f>H17/'État des Résultats'!H$14</f>
        <v>0</v>
      </c>
      <c r="K17" s="710">
        <v>0</v>
      </c>
      <c r="L17" s="711">
        <f>K17/'État des Résultats'!K$14</f>
        <v>0</v>
      </c>
      <c r="N17" s="710">
        <v>0</v>
      </c>
      <c r="O17" s="711">
        <f>N17/'État des Résultats'!N$14</f>
        <v>0</v>
      </c>
      <c r="Q17" s="710">
        <v>0</v>
      </c>
      <c r="R17" s="711">
        <f>Q17/'État des Résultats'!Q$14</f>
        <v>0</v>
      </c>
      <c r="T17" s="710">
        <v>0</v>
      </c>
      <c r="U17" s="711">
        <f>T17/'État des Résultats'!T$14</f>
        <v>0</v>
      </c>
      <c r="W17" s="710">
        <v>0</v>
      </c>
      <c r="X17" s="711">
        <f>W17/'État des Résultats'!W$14</f>
        <v>0</v>
      </c>
      <c r="Z17" s="710">
        <v>0</v>
      </c>
      <c r="AA17" s="711">
        <f>Z17/'État des Résultats'!Z$14</f>
        <v>0</v>
      </c>
      <c r="AC17" s="710">
        <v>0</v>
      </c>
      <c r="AD17" s="711">
        <f>AC17/'État des Résultats'!AC$14</f>
        <v>0</v>
      </c>
      <c r="AF17" s="710">
        <v>0</v>
      </c>
      <c r="AG17" s="711">
        <f>AF17/'État des Résultats'!AF$14</f>
        <v>0</v>
      </c>
      <c r="AI17" s="710">
        <v>1</v>
      </c>
      <c r="AJ17" s="711">
        <f>AI17/'État des Résultats'!AI$14</f>
        <v>2.6976355224645597E-5</v>
      </c>
      <c r="AL17" s="710">
        <v>0</v>
      </c>
      <c r="AM17" s="711">
        <f>AL17/'État des Résultats'!AL$14</f>
        <v>0</v>
      </c>
      <c r="AP17" s="712">
        <f t="shared" si="0"/>
        <v>1</v>
      </c>
      <c r="AQ17" s="713">
        <f>AP17/'État des Résultats'!AP$14</f>
        <v>1.7689413262062687E-6</v>
      </c>
    </row>
    <row r="18" spans="2:69" x14ac:dyDescent="0.15">
      <c r="B18" s="768">
        <v>8160</v>
      </c>
      <c r="C18" s="767" t="s">
        <v>381</v>
      </c>
      <c r="E18" s="710">
        <v>0</v>
      </c>
      <c r="F18" s="711">
        <f>E18/'État des Résultats'!E$14</f>
        <v>0</v>
      </c>
      <c r="H18" s="710">
        <v>0</v>
      </c>
      <c r="I18" s="711">
        <f>H18/'État des Résultats'!H$14</f>
        <v>0</v>
      </c>
      <c r="K18" s="710">
        <v>0</v>
      </c>
      <c r="L18" s="711">
        <f>K18/'État des Résultats'!K$14</f>
        <v>0</v>
      </c>
      <c r="N18" s="710">
        <v>0</v>
      </c>
      <c r="O18" s="711">
        <f>N18/'État des Résultats'!N$14</f>
        <v>0</v>
      </c>
      <c r="Q18" s="710">
        <v>0</v>
      </c>
      <c r="R18" s="711">
        <f>Q18/'État des Résultats'!Q$14</f>
        <v>0</v>
      </c>
      <c r="T18" s="710">
        <v>0</v>
      </c>
      <c r="U18" s="711">
        <f>T18/'État des Résultats'!T$14</f>
        <v>0</v>
      </c>
      <c r="W18" s="710">
        <v>0</v>
      </c>
      <c r="X18" s="711">
        <f>W18/'État des Résultats'!W$14</f>
        <v>0</v>
      </c>
      <c r="Z18" s="710">
        <v>0</v>
      </c>
      <c r="AA18" s="711">
        <f>Z18/'État des Résultats'!Z$14</f>
        <v>0</v>
      </c>
      <c r="AC18" s="710">
        <v>0</v>
      </c>
      <c r="AD18" s="711">
        <f>AC18/'État des Résultats'!AC$14</f>
        <v>0</v>
      </c>
      <c r="AF18" s="710">
        <v>0</v>
      </c>
      <c r="AG18" s="711">
        <f>AF18/'État des Résultats'!AF$14</f>
        <v>0</v>
      </c>
      <c r="AI18" s="710">
        <v>1</v>
      </c>
      <c r="AJ18" s="711">
        <f>AI18/'État des Résultats'!AI$14</f>
        <v>2.6976355224645597E-5</v>
      </c>
      <c r="AL18" s="710">
        <v>0</v>
      </c>
      <c r="AM18" s="711">
        <f>AL18/'État des Résultats'!AL$14</f>
        <v>0</v>
      </c>
      <c r="AP18" s="712">
        <f t="shared" si="0"/>
        <v>1</v>
      </c>
      <c r="AQ18" s="713">
        <f>AP18/'État des Résultats'!AP$14</f>
        <v>1.7689413262062687E-6</v>
      </c>
    </row>
    <row r="19" spans="2:69" x14ac:dyDescent="0.15">
      <c r="B19" s="768">
        <v>8170</v>
      </c>
      <c r="C19" s="767" t="s">
        <v>382</v>
      </c>
      <c r="E19" s="710">
        <v>0</v>
      </c>
      <c r="F19" s="711">
        <f>E19/'État des Résultats'!E$14</f>
        <v>0</v>
      </c>
      <c r="H19" s="710">
        <v>0</v>
      </c>
      <c r="I19" s="711">
        <f>H19/'État des Résultats'!H$14</f>
        <v>0</v>
      </c>
      <c r="K19" s="710">
        <v>0</v>
      </c>
      <c r="L19" s="711">
        <f>K19/'État des Résultats'!K$14</f>
        <v>0</v>
      </c>
      <c r="N19" s="710">
        <v>0</v>
      </c>
      <c r="O19" s="711">
        <f>N19/'État des Résultats'!N$14</f>
        <v>0</v>
      </c>
      <c r="Q19" s="710">
        <v>0</v>
      </c>
      <c r="R19" s="711">
        <f>Q19/'État des Résultats'!Q$14</f>
        <v>0</v>
      </c>
      <c r="T19" s="710">
        <v>0</v>
      </c>
      <c r="U19" s="711">
        <f>T19/'État des Résultats'!T$14</f>
        <v>0</v>
      </c>
      <c r="W19" s="710">
        <v>0</v>
      </c>
      <c r="X19" s="711">
        <f>W19/'État des Résultats'!W$14</f>
        <v>0</v>
      </c>
      <c r="Z19" s="710">
        <v>0</v>
      </c>
      <c r="AA19" s="711">
        <f>Z19/'État des Résultats'!Z$14</f>
        <v>0</v>
      </c>
      <c r="AC19" s="710">
        <v>0</v>
      </c>
      <c r="AD19" s="711">
        <f>AC19/'État des Résultats'!AC$14</f>
        <v>0</v>
      </c>
      <c r="AF19" s="710">
        <v>0</v>
      </c>
      <c r="AG19" s="711">
        <f>AF19/'État des Résultats'!AF$14</f>
        <v>0</v>
      </c>
      <c r="AI19" s="710">
        <v>1</v>
      </c>
      <c r="AJ19" s="711">
        <f>AI19/'État des Résultats'!AI$14</f>
        <v>2.6976355224645597E-5</v>
      </c>
      <c r="AL19" s="710">
        <v>0</v>
      </c>
      <c r="AM19" s="711">
        <f>AL19/'État des Résultats'!AL$14</f>
        <v>0</v>
      </c>
      <c r="AP19" s="712">
        <f t="shared" si="0"/>
        <v>1</v>
      </c>
      <c r="AQ19" s="713">
        <f>AP19/'État des Résultats'!AP$14</f>
        <v>1.7689413262062687E-6</v>
      </c>
      <c r="AS19" s="210"/>
    </row>
    <row r="20" spans="2:69" x14ac:dyDescent="0.15">
      <c r="B20" s="768">
        <v>8180</v>
      </c>
      <c r="C20" s="767" t="s">
        <v>383</v>
      </c>
      <c r="E20" s="710">
        <v>0</v>
      </c>
      <c r="F20" s="711">
        <f>E20/'État des Résultats'!E$14</f>
        <v>0</v>
      </c>
      <c r="H20" s="710">
        <v>0</v>
      </c>
      <c r="I20" s="711">
        <f>H20/'État des Résultats'!H$14</f>
        <v>0</v>
      </c>
      <c r="K20" s="710">
        <v>0</v>
      </c>
      <c r="L20" s="711">
        <f>K20/'État des Résultats'!K$14</f>
        <v>0</v>
      </c>
      <c r="N20" s="710">
        <v>0</v>
      </c>
      <c r="O20" s="711">
        <f>N20/'État des Résultats'!N$14</f>
        <v>0</v>
      </c>
      <c r="Q20" s="710">
        <v>0</v>
      </c>
      <c r="R20" s="711">
        <f>Q20/'État des Résultats'!Q$14</f>
        <v>0</v>
      </c>
      <c r="T20" s="710">
        <v>0</v>
      </c>
      <c r="U20" s="711">
        <f>T20/'État des Résultats'!T$14</f>
        <v>0</v>
      </c>
      <c r="W20" s="710">
        <v>0</v>
      </c>
      <c r="X20" s="711">
        <f>W20/'État des Résultats'!W$14</f>
        <v>0</v>
      </c>
      <c r="Z20" s="710">
        <v>0</v>
      </c>
      <c r="AA20" s="711">
        <f>Z20/'État des Résultats'!Z$14</f>
        <v>0</v>
      </c>
      <c r="AC20" s="710">
        <v>0</v>
      </c>
      <c r="AD20" s="711">
        <f>AC20/'État des Résultats'!AC$14</f>
        <v>0</v>
      </c>
      <c r="AF20" s="710">
        <v>0</v>
      </c>
      <c r="AG20" s="711">
        <f>AF20/'État des Résultats'!AF$14</f>
        <v>0</v>
      </c>
      <c r="AI20" s="710">
        <v>1</v>
      </c>
      <c r="AJ20" s="711">
        <f>AI20/'État des Résultats'!AI$14</f>
        <v>2.6976355224645597E-5</v>
      </c>
      <c r="AL20" s="710">
        <v>0</v>
      </c>
      <c r="AM20" s="711">
        <f>AL20/'État des Résultats'!AL$14</f>
        <v>0</v>
      </c>
      <c r="AP20" s="712">
        <f t="shared" si="0"/>
        <v>1</v>
      </c>
      <c r="AQ20" s="713">
        <f>AP20/'État des Résultats'!AP$14</f>
        <v>1.7689413262062687E-6</v>
      </c>
    </row>
    <row r="21" spans="2:69" x14ac:dyDescent="0.15">
      <c r="B21" s="768">
        <v>8190</v>
      </c>
      <c r="C21" s="767" t="s">
        <v>384</v>
      </c>
      <c r="E21" s="710">
        <v>0</v>
      </c>
      <c r="F21" s="711">
        <f>E21/'État des Résultats'!E$14</f>
        <v>0</v>
      </c>
      <c r="H21" s="710">
        <v>0</v>
      </c>
      <c r="I21" s="711">
        <f>H21/'État des Résultats'!H$14</f>
        <v>0</v>
      </c>
      <c r="K21" s="710">
        <v>0</v>
      </c>
      <c r="L21" s="711">
        <f>K21/'État des Résultats'!K$14</f>
        <v>0</v>
      </c>
      <c r="N21" s="710">
        <v>0</v>
      </c>
      <c r="O21" s="711">
        <f>N21/'État des Résultats'!N$14</f>
        <v>0</v>
      </c>
      <c r="Q21" s="710">
        <v>0</v>
      </c>
      <c r="R21" s="711">
        <f>Q21/'État des Résultats'!Q$14</f>
        <v>0</v>
      </c>
      <c r="T21" s="710">
        <v>0</v>
      </c>
      <c r="U21" s="711">
        <f>T21/'État des Résultats'!T$14</f>
        <v>0</v>
      </c>
      <c r="W21" s="710">
        <v>0</v>
      </c>
      <c r="X21" s="711">
        <f>W21/'État des Résultats'!W$14</f>
        <v>0</v>
      </c>
      <c r="Z21" s="710">
        <v>0</v>
      </c>
      <c r="AA21" s="711">
        <f>Z21/'État des Résultats'!Z$14</f>
        <v>0</v>
      </c>
      <c r="AC21" s="710">
        <v>0</v>
      </c>
      <c r="AD21" s="711">
        <f>AC21/'État des Résultats'!AC$14</f>
        <v>0</v>
      </c>
      <c r="AF21" s="710">
        <v>0</v>
      </c>
      <c r="AG21" s="711">
        <f>AF21/'État des Résultats'!AF$14</f>
        <v>0</v>
      </c>
      <c r="AI21" s="710">
        <v>1</v>
      </c>
      <c r="AJ21" s="711">
        <f>AI21/'État des Résultats'!AI$14</f>
        <v>2.6976355224645597E-5</v>
      </c>
      <c r="AL21" s="710">
        <v>0</v>
      </c>
      <c r="AM21" s="711">
        <f>AL21/'État des Résultats'!AL$14</f>
        <v>0</v>
      </c>
      <c r="AP21" s="712">
        <f t="shared" si="0"/>
        <v>1</v>
      </c>
      <c r="AQ21" s="713">
        <f>AP21/'État des Résultats'!AP$14</f>
        <v>1.7689413262062687E-6</v>
      </c>
    </row>
    <row r="22" spans="2:69" x14ac:dyDescent="0.15">
      <c r="B22" s="768">
        <v>8199</v>
      </c>
      <c r="C22" s="767" t="s">
        <v>385</v>
      </c>
      <c r="E22" s="710">
        <v>0</v>
      </c>
      <c r="F22" s="711">
        <f>E22/'État des Résultats'!E$14</f>
        <v>0</v>
      </c>
      <c r="H22" s="710">
        <v>0</v>
      </c>
      <c r="I22" s="711">
        <f>H22/'État des Résultats'!H$14</f>
        <v>0</v>
      </c>
      <c r="K22" s="710">
        <v>0</v>
      </c>
      <c r="L22" s="711">
        <f>K22/'État des Résultats'!K$14</f>
        <v>0</v>
      </c>
      <c r="N22" s="710">
        <v>0</v>
      </c>
      <c r="O22" s="711">
        <f>N22/'État des Résultats'!N$14</f>
        <v>0</v>
      </c>
      <c r="Q22" s="710">
        <v>0</v>
      </c>
      <c r="R22" s="711">
        <f>Q22/'État des Résultats'!Q$14</f>
        <v>0</v>
      </c>
      <c r="T22" s="710">
        <v>0</v>
      </c>
      <c r="U22" s="711">
        <f>T22/'État des Résultats'!T$14</f>
        <v>0</v>
      </c>
      <c r="W22" s="710">
        <v>0</v>
      </c>
      <c r="X22" s="711">
        <f>W22/'État des Résultats'!W$14</f>
        <v>0</v>
      </c>
      <c r="Z22" s="710">
        <v>0</v>
      </c>
      <c r="AA22" s="711">
        <f>Z22/'État des Résultats'!Z$14</f>
        <v>0</v>
      </c>
      <c r="AC22" s="710">
        <v>0</v>
      </c>
      <c r="AD22" s="711">
        <f>AC22/'État des Résultats'!AC$14</f>
        <v>0</v>
      </c>
      <c r="AF22" s="710">
        <v>0</v>
      </c>
      <c r="AG22" s="711">
        <f>AF22/'État des Résultats'!AF$14</f>
        <v>0</v>
      </c>
      <c r="AI22" s="710">
        <v>1</v>
      </c>
      <c r="AJ22" s="711">
        <f>AI22/'État des Résultats'!AI$14</f>
        <v>2.6976355224645597E-5</v>
      </c>
      <c r="AL22" s="710">
        <v>0</v>
      </c>
      <c r="AM22" s="711">
        <f>AL22/'État des Résultats'!AL$14</f>
        <v>0</v>
      </c>
      <c r="AP22" s="712">
        <f t="shared" si="0"/>
        <v>1</v>
      </c>
      <c r="AQ22" s="713">
        <f>AP22/'État des Résultats'!AP$14</f>
        <v>1.7689413262062687E-6</v>
      </c>
    </row>
    <row r="23" spans="2:69" ht="14" thickBot="1" x14ac:dyDescent="0.2">
      <c r="B23" s="770" t="s">
        <v>2</v>
      </c>
      <c r="C23" s="771"/>
      <c r="E23" s="772" t="s">
        <v>2</v>
      </c>
      <c r="F23" s="717" t="s">
        <v>2</v>
      </c>
      <c r="H23" s="772" t="s">
        <v>2</v>
      </c>
      <c r="I23" s="717" t="s">
        <v>2</v>
      </c>
      <c r="K23" s="772" t="s">
        <v>2</v>
      </c>
      <c r="L23" s="717" t="s">
        <v>2</v>
      </c>
      <c r="N23" s="772" t="s">
        <v>2</v>
      </c>
      <c r="O23" s="717" t="s">
        <v>2</v>
      </c>
      <c r="Q23" s="772" t="s">
        <v>2</v>
      </c>
      <c r="R23" s="717" t="s">
        <v>2</v>
      </c>
      <c r="S23" s="773"/>
      <c r="T23" s="772" t="s">
        <v>2</v>
      </c>
      <c r="U23" s="717" t="s">
        <v>2</v>
      </c>
      <c r="W23" s="772" t="s">
        <v>2</v>
      </c>
      <c r="X23" s="717" t="s">
        <v>2</v>
      </c>
      <c r="Z23" s="772" t="s">
        <v>2</v>
      </c>
      <c r="AA23" s="717" t="s">
        <v>2</v>
      </c>
      <c r="AC23" s="772" t="s">
        <v>2</v>
      </c>
      <c r="AD23" s="717" t="s">
        <v>2</v>
      </c>
      <c r="AF23" s="772" t="s">
        <v>2</v>
      </c>
      <c r="AG23" s="717" t="s">
        <v>2</v>
      </c>
      <c r="AI23" s="772" t="s">
        <v>2</v>
      </c>
      <c r="AJ23" s="717" t="s">
        <v>2</v>
      </c>
      <c r="AL23" s="772" t="s">
        <v>2</v>
      </c>
      <c r="AM23" s="717" t="s">
        <v>2</v>
      </c>
      <c r="AP23" s="712" t="s">
        <v>2</v>
      </c>
      <c r="AQ23" s="718" t="s">
        <v>2</v>
      </c>
    </row>
    <row r="24" spans="2:69" ht="15" thickTop="1" thickBot="1" x14ac:dyDescent="0.2">
      <c r="B24" s="499">
        <v>8100</v>
      </c>
      <c r="C24" s="500" t="s">
        <v>376</v>
      </c>
      <c r="D24" s="214"/>
      <c r="E24" s="719">
        <f>SUM(E13:E22)</f>
        <v>0</v>
      </c>
      <c r="F24" s="720">
        <f>E24/'État des Résultats'!E14</f>
        <v>0</v>
      </c>
      <c r="G24" s="214"/>
      <c r="H24" s="719">
        <f>SUM(H13:H22)</f>
        <v>0</v>
      </c>
      <c r="I24" s="720">
        <f>H24/'État des Résultats'!H14</f>
        <v>0</v>
      </c>
      <c r="J24" s="214"/>
      <c r="K24" s="719">
        <f>SUM(K13:K22)</f>
        <v>0</v>
      </c>
      <c r="L24" s="720">
        <f>K24/'État des Résultats'!K14</f>
        <v>0</v>
      </c>
      <c r="M24" s="214"/>
      <c r="N24" s="719">
        <f>SUM(N13:N22)</f>
        <v>0</v>
      </c>
      <c r="O24" s="720">
        <f>N24/'État des Résultats'!N14</f>
        <v>0</v>
      </c>
      <c r="P24" s="214"/>
      <c r="Q24" s="719">
        <f>SUM(Q13:Q22)</f>
        <v>0</v>
      </c>
      <c r="R24" s="720">
        <f>Q24/'État des Résultats'!Q14</f>
        <v>0</v>
      </c>
      <c r="S24" s="214"/>
      <c r="T24" s="719">
        <f>SUM(T13:T22)</f>
        <v>0</v>
      </c>
      <c r="U24" s="720">
        <f>T24/'État des Résultats'!T14</f>
        <v>0</v>
      </c>
      <c r="V24" s="214"/>
      <c r="W24" s="719">
        <f>SUM(W13:W22)</f>
        <v>0</v>
      </c>
      <c r="X24" s="720">
        <f>W24/'État des Résultats'!W14</f>
        <v>0</v>
      </c>
      <c r="Y24" s="214"/>
      <c r="Z24" s="719">
        <f>SUM(Z13:Z22)</f>
        <v>0</v>
      </c>
      <c r="AA24" s="720">
        <f>Z24/'État des Résultats'!Z14</f>
        <v>0</v>
      </c>
      <c r="AB24" s="214"/>
      <c r="AC24" s="719">
        <f>SUM(AC13:AC22)</f>
        <v>0</v>
      </c>
      <c r="AD24" s="720">
        <f>AC24/'État des Résultats'!AC14</f>
        <v>0</v>
      </c>
      <c r="AE24" s="214"/>
      <c r="AF24" s="719">
        <f>SUM(AF13:AF22)</f>
        <v>0</v>
      </c>
      <c r="AG24" s="720">
        <f>AF24/'État des Résultats'!AF14</f>
        <v>0</v>
      </c>
      <c r="AH24" s="214"/>
      <c r="AI24" s="719">
        <f>SUM(AI13:AI22)</f>
        <v>9</v>
      </c>
      <c r="AJ24" s="720">
        <f>AI24/'État des Résultats'!AI14</f>
        <v>2.4278719702181038E-4</v>
      </c>
      <c r="AK24" s="214"/>
      <c r="AL24" s="719">
        <f>SUM(AL13:AL22)</f>
        <v>0</v>
      </c>
      <c r="AM24" s="720">
        <f>AL24/'État des Résultats'!AL14</f>
        <v>0</v>
      </c>
      <c r="AN24" s="214"/>
      <c r="AO24" s="214"/>
      <c r="AP24" s="719">
        <f>SUM(AP13:AP22)</f>
        <v>9</v>
      </c>
      <c r="AQ24" s="720">
        <f>AP24/'État des Résultats'!AP14</f>
        <v>1.5920471935856419E-5</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722"/>
    </row>
  </sheetData>
  <sheetProtection algorithmName="SHA-512" hashValue="zynleYzi1rJPuz/IJ9G/f93A2htouKMHRdQ05fo48b/vuVDmO9BALqtLW84tv0dEa23M84A389lv0ox9ugxHZw==" saltValue="ibiB9phc1Io9F4PPk3YVh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340"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803" t="str">
        <f>'État des Résultats'!C2</f>
        <v xml:space="preserve">Entreprise de restauration alimentaire 12 inc. </v>
      </c>
      <c r="C2" s="804"/>
      <c r="D2" s="804"/>
      <c r="E2" s="804"/>
      <c r="F2" s="804"/>
      <c r="G2" s="804"/>
      <c r="H2" s="804"/>
      <c r="I2" s="804"/>
      <c r="J2" s="804"/>
      <c r="K2" s="804"/>
      <c r="L2" s="804"/>
      <c r="M2" s="804"/>
      <c r="N2" s="804"/>
      <c r="O2" s="805"/>
    </row>
    <row r="3" spans="2:17" ht="20" customHeight="1" x14ac:dyDescent="0.2">
      <c r="B3" s="806" t="str">
        <f>'État des Résultats'!C3</f>
        <v xml:space="preserve">États des résultats prévisionnels </v>
      </c>
      <c r="C3" s="807"/>
      <c r="D3" s="807"/>
      <c r="E3" s="807"/>
      <c r="F3" s="807"/>
      <c r="G3" s="807"/>
      <c r="H3" s="807"/>
      <c r="I3" s="807"/>
      <c r="J3" s="807"/>
      <c r="K3" s="807"/>
      <c r="L3" s="807"/>
      <c r="M3" s="807"/>
      <c r="N3" s="807"/>
      <c r="O3" s="808"/>
    </row>
    <row r="4" spans="2:17" ht="13" customHeight="1" thickBot="1" x14ac:dyDescent="0.2">
      <c r="B4" s="809" t="str">
        <f>'État des Résultats'!C4</f>
        <v>Pour la période du 1er janvier 2021 au 31 décembre 2021</v>
      </c>
      <c r="C4" s="810"/>
      <c r="D4" s="810"/>
      <c r="E4" s="810"/>
      <c r="F4" s="810"/>
      <c r="G4" s="810"/>
      <c r="H4" s="810"/>
      <c r="I4" s="810"/>
      <c r="J4" s="810"/>
      <c r="K4" s="810"/>
      <c r="L4" s="810"/>
      <c r="M4" s="810"/>
      <c r="N4" s="810"/>
      <c r="O4" s="811"/>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812" t="str">
        <f>+'Calendrier 2021'!B7:C7</f>
        <v>NB de place</v>
      </c>
      <c r="C7" s="813"/>
      <c r="D7" s="8">
        <f>+'Calendrier 2021'!D7</f>
        <v>50</v>
      </c>
      <c r="E7" s="8">
        <f t="shared" ref="E7:O7" si="0">+D7</f>
        <v>50</v>
      </c>
      <c r="F7" s="8">
        <f t="shared" si="0"/>
        <v>50</v>
      </c>
      <c r="G7" s="8">
        <f t="shared" si="0"/>
        <v>50</v>
      </c>
      <c r="H7" s="8">
        <f t="shared" si="0"/>
        <v>50</v>
      </c>
      <c r="I7" s="8">
        <f t="shared" si="0"/>
        <v>50</v>
      </c>
      <c r="J7" s="8">
        <f t="shared" si="0"/>
        <v>50</v>
      </c>
      <c r="K7" s="8">
        <f t="shared" si="0"/>
        <v>50</v>
      </c>
      <c r="L7" s="8">
        <f t="shared" si="0"/>
        <v>50</v>
      </c>
      <c r="M7" s="8">
        <f t="shared" si="0"/>
        <v>50</v>
      </c>
      <c r="N7" s="8">
        <f t="shared" si="0"/>
        <v>50</v>
      </c>
      <c r="O7" s="9">
        <f t="shared" si="0"/>
        <v>50</v>
      </c>
    </row>
    <row r="8" spans="2:17" ht="15" thickTop="1" thickBot="1" x14ac:dyDescent="0.2">
      <c r="B8" s="814" t="str">
        <f>+'Calendrier 2021'!B8:C8</f>
        <v>NB de jour</v>
      </c>
      <c r="C8" s="815"/>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800" t="s">
        <v>0</v>
      </c>
      <c r="C9" s="801"/>
      <c r="D9" s="801"/>
      <c r="E9" s="801"/>
      <c r="F9" s="801"/>
      <c r="G9" s="801"/>
      <c r="H9" s="801"/>
      <c r="I9" s="801"/>
      <c r="J9" s="801"/>
      <c r="K9" s="801"/>
      <c r="L9" s="801"/>
      <c r="M9" s="801"/>
      <c r="N9" s="801"/>
      <c r="O9" s="802"/>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10</v>
      </c>
      <c r="O12" s="14">
        <v>0</v>
      </c>
    </row>
    <row r="13" spans="2:17" ht="14" customHeight="1" x14ac:dyDescent="0.15">
      <c r="B13" s="13">
        <v>3</v>
      </c>
      <c r="C13" s="102" t="s">
        <v>5</v>
      </c>
      <c r="D13" s="14">
        <v>0</v>
      </c>
      <c r="E13" s="14">
        <v>9</v>
      </c>
      <c r="F13" s="14">
        <v>10</v>
      </c>
      <c r="G13" s="14">
        <v>0</v>
      </c>
      <c r="H13" s="14">
        <v>0</v>
      </c>
      <c r="I13" s="14">
        <v>0</v>
      </c>
      <c r="J13" s="14">
        <v>0</v>
      </c>
      <c r="K13" s="14">
        <v>0</v>
      </c>
      <c r="L13" s="14">
        <v>0</v>
      </c>
      <c r="M13" s="14">
        <v>0</v>
      </c>
      <c r="N13" s="14">
        <v>10</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10</v>
      </c>
      <c r="O14" s="14">
        <v>0</v>
      </c>
    </row>
    <row r="15" spans="2:17" ht="14" customHeight="1" x14ac:dyDescent="0.15">
      <c r="B15" s="13">
        <v>5</v>
      </c>
      <c r="C15" s="102" t="s">
        <v>7</v>
      </c>
      <c r="D15" s="14">
        <v>0</v>
      </c>
      <c r="E15" s="14">
        <v>9</v>
      </c>
      <c r="F15" s="14">
        <v>10</v>
      </c>
      <c r="G15" s="14">
        <v>0</v>
      </c>
      <c r="H15" s="14">
        <v>0</v>
      </c>
      <c r="I15" s="14">
        <v>0</v>
      </c>
      <c r="J15" s="14">
        <v>0</v>
      </c>
      <c r="K15" s="14">
        <v>0</v>
      </c>
      <c r="L15" s="14">
        <v>0</v>
      </c>
      <c r="M15" s="14">
        <v>0</v>
      </c>
      <c r="N15" s="14">
        <v>10</v>
      </c>
      <c r="O15" s="14">
        <v>0</v>
      </c>
    </row>
    <row r="16" spans="2:17" ht="14" customHeight="1" x14ac:dyDescent="0.15">
      <c r="B16" s="13">
        <v>6</v>
      </c>
      <c r="C16" s="102" t="s">
        <v>8</v>
      </c>
      <c r="D16" s="14">
        <v>0</v>
      </c>
      <c r="E16" s="14">
        <v>9</v>
      </c>
      <c r="F16" s="14">
        <v>10</v>
      </c>
      <c r="G16" s="14">
        <v>0</v>
      </c>
      <c r="H16" s="14">
        <v>0</v>
      </c>
      <c r="I16" s="14">
        <v>0</v>
      </c>
      <c r="J16" s="14">
        <v>0</v>
      </c>
      <c r="K16" s="14">
        <v>0</v>
      </c>
      <c r="L16" s="14">
        <v>0</v>
      </c>
      <c r="M16" s="14">
        <v>0</v>
      </c>
      <c r="N16" s="14">
        <v>10</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45</v>
      </c>
      <c r="F18" s="285">
        <f t="shared" si="1"/>
        <v>50</v>
      </c>
      <c r="G18" s="285">
        <f t="shared" si="1"/>
        <v>0</v>
      </c>
      <c r="H18" s="286">
        <f t="shared" si="1"/>
        <v>0</v>
      </c>
      <c r="I18" s="285">
        <f t="shared" si="1"/>
        <v>0</v>
      </c>
      <c r="J18" s="285">
        <f t="shared" si="1"/>
        <v>0</v>
      </c>
      <c r="K18" s="285">
        <f t="shared" si="1"/>
        <v>0</v>
      </c>
      <c r="L18" s="285">
        <f t="shared" si="1"/>
        <v>0</v>
      </c>
      <c r="M18" s="285">
        <f t="shared" si="1"/>
        <v>0</v>
      </c>
      <c r="N18" s="285">
        <f t="shared" si="1"/>
        <v>50</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10</v>
      </c>
      <c r="O21" s="14">
        <v>0</v>
      </c>
    </row>
    <row r="22" spans="2:15" ht="14" customHeight="1" thickTop="1" thickBot="1" x14ac:dyDescent="0.2">
      <c r="B22" s="121">
        <v>3</v>
      </c>
      <c r="C22" s="102" t="str">
        <f t="shared" si="2"/>
        <v>11 h 30 à 14 h 30</v>
      </c>
      <c r="D22" s="14">
        <v>0</v>
      </c>
      <c r="E22" s="14">
        <v>9</v>
      </c>
      <c r="F22" s="14">
        <v>10</v>
      </c>
      <c r="G22" s="14">
        <v>0</v>
      </c>
      <c r="H22" s="14">
        <v>0</v>
      </c>
      <c r="I22" s="14">
        <v>15</v>
      </c>
      <c r="J22" s="14">
        <v>0</v>
      </c>
      <c r="K22" s="14">
        <v>0</v>
      </c>
      <c r="L22" s="14">
        <v>0</v>
      </c>
      <c r="M22" s="14">
        <v>0</v>
      </c>
      <c r="N22" s="14">
        <v>10</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10</v>
      </c>
      <c r="O23" s="14">
        <v>0</v>
      </c>
    </row>
    <row r="24" spans="2:15" ht="14" customHeight="1" thickTop="1" thickBot="1" x14ac:dyDescent="0.2">
      <c r="B24" s="121">
        <v>5</v>
      </c>
      <c r="C24" s="102" t="str">
        <f t="shared" si="2"/>
        <v>17 h à 19 h</v>
      </c>
      <c r="D24" s="14">
        <v>0</v>
      </c>
      <c r="E24" s="14">
        <v>9</v>
      </c>
      <c r="F24" s="14">
        <v>10</v>
      </c>
      <c r="G24" s="14">
        <v>0</v>
      </c>
      <c r="H24" s="14">
        <v>0</v>
      </c>
      <c r="I24" s="14">
        <v>15</v>
      </c>
      <c r="J24" s="14">
        <v>0</v>
      </c>
      <c r="K24" s="14">
        <v>0</v>
      </c>
      <c r="L24" s="14">
        <v>0</v>
      </c>
      <c r="M24" s="14">
        <v>0</v>
      </c>
      <c r="N24" s="14">
        <v>10</v>
      </c>
      <c r="O24" s="14">
        <v>0</v>
      </c>
    </row>
    <row r="25" spans="2:15" ht="14" customHeight="1" thickTop="1" thickBot="1" x14ac:dyDescent="0.2">
      <c r="B25" s="121">
        <v>6</v>
      </c>
      <c r="C25" s="102" t="str">
        <f t="shared" si="2"/>
        <v>19 h à 23 h</v>
      </c>
      <c r="D25" s="14">
        <v>0</v>
      </c>
      <c r="E25" s="14">
        <v>9</v>
      </c>
      <c r="F25" s="14">
        <v>10</v>
      </c>
      <c r="G25" s="14">
        <v>0</v>
      </c>
      <c r="H25" s="14">
        <v>0</v>
      </c>
      <c r="I25" s="14">
        <v>15</v>
      </c>
      <c r="J25" s="14">
        <v>0</v>
      </c>
      <c r="K25" s="14">
        <v>0</v>
      </c>
      <c r="L25" s="14">
        <v>0</v>
      </c>
      <c r="M25" s="14">
        <v>0</v>
      </c>
      <c r="N25" s="14">
        <v>10</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45</v>
      </c>
      <c r="F27" s="302">
        <f t="shared" si="4"/>
        <v>50</v>
      </c>
      <c r="G27" s="302">
        <f t="shared" si="4"/>
        <v>0</v>
      </c>
      <c r="H27" s="17">
        <f t="shared" si="4"/>
        <v>0</v>
      </c>
      <c r="I27" s="302">
        <f t="shared" si="4"/>
        <v>75</v>
      </c>
      <c r="J27" s="302">
        <f t="shared" si="4"/>
        <v>0</v>
      </c>
      <c r="K27" s="17">
        <f t="shared" si="4"/>
        <v>0</v>
      </c>
      <c r="L27" s="303">
        <f>+L20+L21+L22+L23+L24+L25+L26</f>
        <v>0</v>
      </c>
      <c r="M27" s="24">
        <f t="shared" si="4"/>
        <v>0</v>
      </c>
      <c r="N27" s="24">
        <f t="shared" si="4"/>
        <v>50</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12</v>
      </c>
      <c r="M30" s="14">
        <v>0</v>
      </c>
      <c r="N30" s="14">
        <v>10</v>
      </c>
      <c r="O30" s="14">
        <v>12</v>
      </c>
    </row>
    <row r="31" spans="2:15" ht="14" customHeight="1" thickTop="1" thickBot="1" x14ac:dyDescent="0.2">
      <c r="B31" s="121">
        <v>3</v>
      </c>
      <c r="C31" s="102" t="str">
        <f t="shared" si="5"/>
        <v>11 h 30 à 14 h 30</v>
      </c>
      <c r="D31" s="14">
        <v>0</v>
      </c>
      <c r="E31" s="14">
        <v>9</v>
      </c>
      <c r="F31" s="14">
        <v>10</v>
      </c>
      <c r="G31" s="14">
        <v>0</v>
      </c>
      <c r="H31" s="14">
        <v>0</v>
      </c>
      <c r="I31" s="14">
        <v>15</v>
      </c>
      <c r="J31" s="14">
        <v>0</v>
      </c>
      <c r="K31" s="14">
        <v>0</v>
      </c>
      <c r="L31" s="14">
        <v>12</v>
      </c>
      <c r="M31" s="14">
        <v>0</v>
      </c>
      <c r="N31" s="14">
        <v>10</v>
      </c>
      <c r="O31" s="14">
        <v>12</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12</v>
      </c>
      <c r="M32" s="14">
        <v>0</v>
      </c>
      <c r="N32" s="14">
        <v>10</v>
      </c>
      <c r="O32" s="14">
        <v>12</v>
      </c>
    </row>
    <row r="33" spans="2:15" ht="14" customHeight="1" thickTop="1" thickBot="1" x14ac:dyDescent="0.2">
      <c r="B33" s="121">
        <v>5</v>
      </c>
      <c r="C33" s="102" t="str">
        <f t="shared" si="5"/>
        <v>17 h à 19 h</v>
      </c>
      <c r="D33" s="14">
        <v>0</v>
      </c>
      <c r="E33" s="14">
        <v>9</v>
      </c>
      <c r="F33" s="14">
        <v>10</v>
      </c>
      <c r="G33" s="14">
        <v>0</v>
      </c>
      <c r="H33" s="14">
        <v>0</v>
      </c>
      <c r="I33" s="14">
        <v>15</v>
      </c>
      <c r="J33" s="14">
        <v>0</v>
      </c>
      <c r="K33" s="14">
        <v>0</v>
      </c>
      <c r="L33" s="14">
        <v>12</v>
      </c>
      <c r="M33" s="14">
        <v>0</v>
      </c>
      <c r="N33" s="14">
        <v>10</v>
      </c>
      <c r="O33" s="14">
        <v>12</v>
      </c>
    </row>
    <row r="34" spans="2:15" ht="14" customHeight="1" thickTop="1" thickBot="1" x14ac:dyDescent="0.2">
      <c r="B34" s="121">
        <v>6</v>
      </c>
      <c r="C34" s="102" t="str">
        <f t="shared" si="5"/>
        <v>19 h à 23 h</v>
      </c>
      <c r="D34" s="14">
        <v>0</v>
      </c>
      <c r="E34" s="14">
        <v>9</v>
      </c>
      <c r="F34" s="14">
        <v>10</v>
      </c>
      <c r="G34" s="14">
        <v>0</v>
      </c>
      <c r="H34" s="14">
        <v>0</v>
      </c>
      <c r="I34" s="14">
        <v>15</v>
      </c>
      <c r="J34" s="14">
        <v>0</v>
      </c>
      <c r="K34" s="14">
        <v>0</v>
      </c>
      <c r="L34" s="14">
        <v>12</v>
      </c>
      <c r="M34" s="14">
        <v>0</v>
      </c>
      <c r="N34" s="14">
        <v>10</v>
      </c>
      <c r="O34" s="14">
        <v>12</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45</v>
      </c>
      <c r="F36" s="17">
        <f t="shared" si="7"/>
        <v>50</v>
      </c>
      <c r="G36" s="24">
        <f t="shared" si="7"/>
        <v>0</v>
      </c>
      <c r="H36" s="17">
        <f t="shared" si="7"/>
        <v>0</v>
      </c>
      <c r="I36" s="24">
        <f t="shared" si="7"/>
        <v>75</v>
      </c>
      <c r="J36" s="24">
        <f t="shared" si="7"/>
        <v>0</v>
      </c>
      <c r="K36" s="17">
        <f t="shared" si="7"/>
        <v>0</v>
      </c>
      <c r="L36" s="24">
        <f t="shared" si="7"/>
        <v>60</v>
      </c>
      <c r="M36" s="24">
        <f t="shared" si="7"/>
        <v>0</v>
      </c>
      <c r="N36" s="17">
        <f t="shared" si="7"/>
        <v>50</v>
      </c>
      <c r="O36" s="24">
        <f t="shared" si="7"/>
        <v>60</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11</v>
      </c>
      <c r="H39" s="14">
        <v>0</v>
      </c>
      <c r="I39" s="14">
        <v>15</v>
      </c>
      <c r="J39" s="14">
        <v>20</v>
      </c>
      <c r="K39" s="14">
        <v>0</v>
      </c>
      <c r="L39" s="14">
        <v>12</v>
      </c>
      <c r="M39" s="14">
        <v>0</v>
      </c>
      <c r="N39" s="14">
        <v>10</v>
      </c>
      <c r="O39" s="14">
        <v>12</v>
      </c>
    </row>
    <row r="40" spans="2:15" ht="14" customHeight="1" thickTop="1" thickBot="1" x14ac:dyDescent="0.2">
      <c r="B40" s="121">
        <v>3</v>
      </c>
      <c r="C40" s="102" t="str">
        <f t="shared" si="8"/>
        <v>11 h 30 à 14 h 30</v>
      </c>
      <c r="D40" s="14">
        <v>0</v>
      </c>
      <c r="E40" s="14">
        <v>9</v>
      </c>
      <c r="F40" s="14">
        <v>10</v>
      </c>
      <c r="G40" s="14">
        <v>11</v>
      </c>
      <c r="H40" s="14">
        <v>0</v>
      </c>
      <c r="I40" s="14">
        <v>15</v>
      </c>
      <c r="J40" s="14">
        <v>20</v>
      </c>
      <c r="K40" s="14">
        <v>0</v>
      </c>
      <c r="L40" s="14">
        <v>12</v>
      </c>
      <c r="M40" s="14">
        <v>0</v>
      </c>
      <c r="N40" s="14">
        <v>10</v>
      </c>
      <c r="O40" s="14">
        <v>12</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12</v>
      </c>
      <c r="M41" s="14">
        <v>0</v>
      </c>
      <c r="N41" s="14">
        <v>10</v>
      </c>
      <c r="O41" s="14">
        <v>12</v>
      </c>
    </row>
    <row r="42" spans="2:15" ht="14" customHeight="1" thickTop="1" thickBot="1" x14ac:dyDescent="0.2">
      <c r="B42" s="121">
        <v>5</v>
      </c>
      <c r="C42" s="102" t="str">
        <f t="shared" si="8"/>
        <v>17 h à 19 h</v>
      </c>
      <c r="D42" s="14">
        <v>0</v>
      </c>
      <c r="E42" s="14">
        <v>9</v>
      </c>
      <c r="F42" s="14">
        <v>10</v>
      </c>
      <c r="G42" s="14">
        <v>11</v>
      </c>
      <c r="H42" s="14">
        <v>0</v>
      </c>
      <c r="I42" s="14">
        <v>15</v>
      </c>
      <c r="J42" s="14">
        <v>20</v>
      </c>
      <c r="K42" s="14">
        <v>0</v>
      </c>
      <c r="L42" s="14">
        <v>12</v>
      </c>
      <c r="M42" s="14">
        <v>0</v>
      </c>
      <c r="N42" s="14">
        <v>10</v>
      </c>
      <c r="O42" s="14">
        <v>12</v>
      </c>
    </row>
    <row r="43" spans="2:15" ht="14" customHeight="1" thickTop="1" thickBot="1" x14ac:dyDescent="0.2">
      <c r="B43" s="121">
        <v>6</v>
      </c>
      <c r="C43" s="102" t="str">
        <f t="shared" si="8"/>
        <v>19 h à 23 h</v>
      </c>
      <c r="D43" s="14">
        <v>0</v>
      </c>
      <c r="E43" s="14">
        <v>9</v>
      </c>
      <c r="F43" s="14">
        <v>10</v>
      </c>
      <c r="G43" s="14">
        <v>11</v>
      </c>
      <c r="H43" s="14">
        <v>0</v>
      </c>
      <c r="I43" s="14">
        <v>15</v>
      </c>
      <c r="J43" s="14">
        <v>20</v>
      </c>
      <c r="K43" s="14">
        <v>0</v>
      </c>
      <c r="L43" s="14">
        <v>12</v>
      </c>
      <c r="M43" s="14">
        <v>0</v>
      </c>
      <c r="N43" s="14">
        <v>10</v>
      </c>
      <c r="O43" s="14">
        <v>12</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45</v>
      </c>
      <c r="F45" s="17">
        <f t="shared" si="9"/>
        <v>50</v>
      </c>
      <c r="G45" s="24">
        <f t="shared" si="9"/>
        <v>55</v>
      </c>
      <c r="H45" s="17">
        <f t="shared" si="9"/>
        <v>0</v>
      </c>
      <c r="I45" s="17">
        <f t="shared" si="9"/>
        <v>75</v>
      </c>
      <c r="J45" s="24">
        <f t="shared" si="9"/>
        <v>100</v>
      </c>
      <c r="K45" s="17">
        <f t="shared" si="9"/>
        <v>0</v>
      </c>
      <c r="L45" s="24">
        <f>+L38+L39+L40+L41+L42+L43+L44</f>
        <v>60</v>
      </c>
      <c r="M45" s="24">
        <f>+M38+M39+M40+M41+M42+M43+M44</f>
        <v>0</v>
      </c>
      <c r="N45" s="17">
        <f>+N38+N39+N40+N41+N42+N43+N44</f>
        <v>50</v>
      </c>
      <c r="O45" s="24">
        <f>+O38+O39+O40+O41+O42+O43+O44</f>
        <v>60</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10</v>
      </c>
      <c r="E48" s="14">
        <v>9</v>
      </c>
      <c r="F48" s="14">
        <v>10</v>
      </c>
      <c r="G48" s="14">
        <v>11</v>
      </c>
      <c r="H48" s="14">
        <v>0</v>
      </c>
      <c r="I48" s="14">
        <v>15</v>
      </c>
      <c r="J48" s="14">
        <v>20</v>
      </c>
      <c r="K48" s="14">
        <v>0</v>
      </c>
      <c r="L48" s="14">
        <v>12</v>
      </c>
      <c r="M48" s="14">
        <v>11</v>
      </c>
      <c r="N48" s="14">
        <v>10</v>
      </c>
      <c r="O48" s="14">
        <v>12</v>
      </c>
    </row>
    <row r="49" spans="2:15" ht="14" customHeight="1" thickTop="1" thickBot="1" x14ac:dyDescent="0.2">
      <c r="B49" s="121">
        <v>3</v>
      </c>
      <c r="C49" s="102" t="str">
        <f t="shared" si="10"/>
        <v>11 h 30 à 14 h 30</v>
      </c>
      <c r="D49" s="14">
        <v>10</v>
      </c>
      <c r="E49" s="14">
        <v>9</v>
      </c>
      <c r="F49" s="14">
        <v>10</v>
      </c>
      <c r="G49" s="14">
        <v>11</v>
      </c>
      <c r="H49" s="14">
        <v>0</v>
      </c>
      <c r="I49" s="14">
        <v>15</v>
      </c>
      <c r="J49" s="14">
        <v>20</v>
      </c>
      <c r="K49" s="14">
        <v>0</v>
      </c>
      <c r="L49" s="14">
        <v>12</v>
      </c>
      <c r="M49" s="14">
        <v>11</v>
      </c>
      <c r="N49" s="14">
        <v>10</v>
      </c>
      <c r="O49" s="14">
        <v>12</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12</v>
      </c>
      <c r="M50" s="14">
        <v>11</v>
      </c>
      <c r="N50" s="14">
        <v>10</v>
      </c>
      <c r="O50" s="14">
        <v>12</v>
      </c>
    </row>
    <row r="51" spans="2:15" ht="14" customHeight="1" thickTop="1" thickBot="1" x14ac:dyDescent="0.2">
      <c r="B51" s="121">
        <v>5</v>
      </c>
      <c r="C51" s="102" t="str">
        <f t="shared" si="10"/>
        <v>17 h à 19 h</v>
      </c>
      <c r="D51" s="14">
        <v>10</v>
      </c>
      <c r="E51" s="14">
        <v>9</v>
      </c>
      <c r="F51" s="14">
        <v>10</v>
      </c>
      <c r="G51" s="14">
        <v>11</v>
      </c>
      <c r="H51" s="14">
        <v>0</v>
      </c>
      <c r="I51" s="14">
        <v>15</v>
      </c>
      <c r="J51" s="14">
        <v>20</v>
      </c>
      <c r="K51" s="14">
        <v>0</v>
      </c>
      <c r="L51" s="14">
        <v>12</v>
      </c>
      <c r="M51" s="14">
        <v>11</v>
      </c>
      <c r="N51" s="14">
        <v>10</v>
      </c>
      <c r="O51" s="14">
        <v>12</v>
      </c>
    </row>
    <row r="52" spans="2:15" ht="14" customHeight="1" thickTop="1" thickBot="1" x14ac:dyDescent="0.2">
      <c r="B52" s="121">
        <v>6</v>
      </c>
      <c r="C52" s="102" t="str">
        <f t="shared" si="10"/>
        <v>19 h à 23 h</v>
      </c>
      <c r="D52" s="14">
        <v>10</v>
      </c>
      <c r="E52" s="14">
        <v>9</v>
      </c>
      <c r="F52" s="14">
        <v>10</v>
      </c>
      <c r="G52" s="14">
        <v>11</v>
      </c>
      <c r="H52" s="14">
        <v>0</v>
      </c>
      <c r="I52" s="14">
        <v>15</v>
      </c>
      <c r="J52" s="14">
        <v>20</v>
      </c>
      <c r="K52" s="14">
        <v>0</v>
      </c>
      <c r="L52" s="14">
        <v>12</v>
      </c>
      <c r="M52" s="14">
        <v>11</v>
      </c>
      <c r="N52" s="14">
        <v>10</v>
      </c>
      <c r="O52" s="14">
        <v>12</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50</v>
      </c>
      <c r="E54" s="17">
        <f t="shared" si="12"/>
        <v>45</v>
      </c>
      <c r="F54" s="17">
        <f t="shared" si="12"/>
        <v>50</v>
      </c>
      <c r="G54" s="24">
        <f t="shared" si="12"/>
        <v>55</v>
      </c>
      <c r="H54" s="17">
        <f t="shared" si="12"/>
        <v>0</v>
      </c>
      <c r="I54" s="17">
        <f t="shared" si="12"/>
        <v>75</v>
      </c>
      <c r="J54" s="24">
        <f t="shared" si="12"/>
        <v>100</v>
      </c>
      <c r="K54" s="17">
        <f t="shared" si="12"/>
        <v>0</v>
      </c>
      <c r="L54" s="17">
        <f t="shared" si="12"/>
        <v>60</v>
      </c>
      <c r="M54" s="24">
        <f t="shared" si="12"/>
        <v>55</v>
      </c>
      <c r="N54" s="17">
        <f>+N47+N48+N49+N50+N51+N52+N53</f>
        <v>50</v>
      </c>
      <c r="O54" s="17">
        <f>+O47+O48+O49+O50+O51+O52+O53</f>
        <v>60</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10</v>
      </c>
      <c r="E57" s="14">
        <v>9</v>
      </c>
      <c r="F57" s="14">
        <v>10</v>
      </c>
      <c r="G57" s="22">
        <v>11</v>
      </c>
      <c r="H57" s="14">
        <v>12</v>
      </c>
      <c r="I57" s="14">
        <v>15</v>
      </c>
      <c r="J57" s="14">
        <v>20</v>
      </c>
      <c r="K57" s="14">
        <v>0</v>
      </c>
      <c r="L57" s="14">
        <v>12</v>
      </c>
      <c r="M57" s="14">
        <v>11</v>
      </c>
      <c r="N57" s="14">
        <v>10</v>
      </c>
      <c r="O57" s="14">
        <v>12</v>
      </c>
    </row>
    <row r="58" spans="2:15" ht="14" customHeight="1" thickTop="1" thickBot="1" x14ac:dyDescent="0.2">
      <c r="B58" s="18">
        <v>3</v>
      </c>
      <c r="C58" s="102" t="str">
        <f t="shared" si="13"/>
        <v>11 h 30 à 14 h 30</v>
      </c>
      <c r="D58" s="14">
        <v>10</v>
      </c>
      <c r="E58" s="14">
        <v>9</v>
      </c>
      <c r="F58" s="14">
        <v>10</v>
      </c>
      <c r="G58" s="22">
        <v>11</v>
      </c>
      <c r="H58" s="14">
        <v>12</v>
      </c>
      <c r="I58" s="14">
        <v>15</v>
      </c>
      <c r="J58" s="14">
        <v>20</v>
      </c>
      <c r="K58" s="14">
        <v>0</v>
      </c>
      <c r="L58" s="14">
        <v>12</v>
      </c>
      <c r="M58" s="14">
        <v>11</v>
      </c>
      <c r="N58" s="14">
        <v>10</v>
      </c>
      <c r="O58" s="14">
        <v>12</v>
      </c>
    </row>
    <row r="59" spans="2:15" ht="14" customHeight="1" thickTop="1" thickBot="1" x14ac:dyDescent="0.2">
      <c r="B59" s="18">
        <v>4</v>
      </c>
      <c r="C59" s="102" t="str">
        <f t="shared" si="13"/>
        <v>14 h 30 à 17 h</v>
      </c>
      <c r="D59" s="14">
        <v>10</v>
      </c>
      <c r="E59" s="14">
        <v>9</v>
      </c>
      <c r="F59" s="14">
        <v>10</v>
      </c>
      <c r="G59" s="22">
        <v>11</v>
      </c>
      <c r="H59" s="14">
        <v>12</v>
      </c>
      <c r="I59" s="14">
        <v>15</v>
      </c>
      <c r="J59" s="14">
        <v>20</v>
      </c>
      <c r="K59" s="14">
        <v>0</v>
      </c>
      <c r="L59" s="14">
        <v>12</v>
      </c>
      <c r="M59" s="14">
        <v>11</v>
      </c>
      <c r="N59" s="14">
        <v>10</v>
      </c>
      <c r="O59" s="14">
        <v>12</v>
      </c>
    </row>
    <row r="60" spans="2:15" ht="14" customHeight="1" thickTop="1" thickBot="1" x14ac:dyDescent="0.2">
      <c r="B60" s="18">
        <v>5</v>
      </c>
      <c r="C60" s="102" t="str">
        <f t="shared" si="13"/>
        <v>17 h à 19 h</v>
      </c>
      <c r="D60" s="14">
        <v>10</v>
      </c>
      <c r="E60" s="14">
        <v>9</v>
      </c>
      <c r="F60" s="14">
        <v>10</v>
      </c>
      <c r="G60" s="22">
        <v>11</v>
      </c>
      <c r="H60" s="14">
        <v>12</v>
      </c>
      <c r="I60" s="14">
        <v>15</v>
      </c>
      <c r="J60" s="14">
        <v>20</v>
      </c>
      <c r="K60" s="14">
        <v>0</v>
      </c>
      <c r="L60" s="14">
        <v>12</v>
      </c>
      <c r="M60" s="14">
        <v>11</v>
      </c>
      <c r="N60" s="14">
        <v>10</v>
      </c>
      <c r="O60" s="14">
        <v>12</v>
      </c>
    </row>
    <row r="61" spans="2:15" ht="14" customHeight="1" thickTop="1" thickBot="1" x14ac:dyDescent="0.2">
      <c r="B61" s="18">
        <v>6</v>
      </c>
      <c r="C61" s="102" t="str">
        <f t="shared" si="13"/>
        <v>19 h à 23 h</v>
      </c>
      <c r="D61" s="14">
        <v>10</v>
      </c>
      <c r="E61" s="14">
        <v>9</v>
      </c>
      <c r="F61" s="14">
        <v>10</v>
      </c>
      <c r="G61" s="22">
        <v>11</v>
      </c>
      <c r="H61" s="14">
        <v>12</v>
      </c>
      <c r="I61" s="14">
        <v>15</v>
      </c>
      <c r="J61" s="14">
        <v>20</v>
      </c>
      <c r="K61" s="14">
        <v>0</v>
      </c>
      <c r="L61" s="14">
        <v>12</v>
      </c>
      <c r="M61" s="14">
        <v>11</v>
      </c>
      <c r="N61" s="14">
        <v>10</v>
      </c>
      <c r="O61" s="14">
        <v>12</v>
      </c>
    </row>
    <row r="62" spans="2:15" ht="14" customHeight="1" thickTop="1" thickBot="1" x14ac:dyDescent="0.2">
      <c r="B62" s="18">
        <v>7</v>
      </c>
      <c r="C62" s="102" t="str">
        <f t="shared" si="13"/>
        <v>23 h à 6 h</v>
      </c>
      <c r="D62" s="14">
        <v>0</v>
      </c>
      <c r="E62" s="14">
        <v>0</v>
      </c>
      <c r="F62" s="14">
        <v>0</v>
      </c>
      <c r="G62" s="22">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50</v>
      </c>
      <c r="E63" s="17">
        <f t="shared" si="15"/>
        <v>45</v>
      </c>
      <c r="F63" s="17">
        <f t="shared" si="15"/>
        <v>50</v>
      </c>
      <c r="G63" s="17">
        <f t="shared" si="15"/>
        <v>55</v>
      </c>
      <c r="H63" s="17">
        <f t="shared" si="15"/>
        <v>60</v>
      </c>
      <c r="I63" s="17">
        <f t="shared" si="15"/>
        <v>75</v>
      </c>
      <c r="J63" s="17">
        <f t="shared" si="15"/>
        <v>100</v>
      </c>
      <c r="K63" s="17">
        <f t="shared" si="15"/>
        <v>0</v>
      </c>
      <c r="L63" s="17">
        <f t="shared" si="15"/>
        <v>60</v>
      </c>
      <c r="M63" s="24">
        <f t="shared" si="15"/>
        <v>55</v>
      </c>
      <c r="N63" s="17">
        <f>+N56+N57+N58+N59+N60+N61+N62</f>
        <v>50</v>
      </c>
      <c r="O63" s="17">
        <f>+O56+O57+O58+O59+O60+O61+O62</f>
        <v>60</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22">
        <v>11</v>
      </c>
      <c r="H66" s="14">
        <v>12</v>
      </c>
      <c r="I66" s="14">
        <v>15</v>
      </c>
      <c r="J66" s="22">
        <v>20</v>
      </c>
      <c r="K66" s="14">
        <v>18</v>
      </c>
      <c r="L66" s="14">
        <v>12</v>
      </c>
      <c r="M66" s="14">
        <v>11</v>
      </c>
      <c r="N66" s="14">
        <v>10</v>
      </c>
      <c r="O66" s="14">
        <v>12</v>
      </c>
    </row>
    <row r="67" spans="2:15" ht="14" customHeight="1" thickTop="1" thickBot="1" x14ac:dyDescent="0.2">
      <c r="B67" s="18">
        <v>3</v>
      </c>
      <c r="C67" s="102" t="str">
        <f t="shared" si="16"/>
        <v>11 h 30 à 14 h 30</v>
      </c>
      <c r="D67" s="14">
        <v>10</v>
      </c>
      <c r="E67" s="14">
        <v>9</v>
      </c>
      <c r="F67" s="14">
        <v>10</v>
      </c>
      <c r="G67" s="22">
        <v>11</v>
      </c>
      <c r="H67" s="14">
        <v>12</v>
      </c>
      <c r="I67" s="14">
        <v>15</v>
      </c>
      <c r="J67" s="22">
        <v>20</v>
      </c>
      <c r="K67" s="14">
        <v>18</v>
      </c>
      <c r="L67" s="14">
        <v>12</v>
      </c>
      <c r="M67" s="14">
        <v>11</v>
      </c>
      <c r="N67" s="14">
        <v>10</v>
      </c>
      <c r="O67" s="14">
        <v>12</v>
      </c>
    </row>
    <row r="68" spans="2:15" ht="14" customHeight="1" thickTop="1" thickBot="1" x14ac:dyDescent="0.2">
      <c r="B68" s="18">
        <v>4</v>
      </c>
      <c r="C68" s="102" t="str">
        <f t="shared" si="16"/>
        <v>14 h 30 à 17 h</v>
      </c>
      <c r="D68" s="14">
        <v>10</v>
      </c>
      <c r="E68" s="14">
        <v>9</v>
      </c>
      <c r="F68" s="14">
        <v>10</v>
      </c>
      <c r="G68" s="22">
        <v>11</v>
      </c>
      <c r="H68" s="14">
        <v>12</v>
      </c>
      <c r="I68" s="14">
        <v>15</v>
      </c>
      <c r="J68" s="22">
        <v>20</v>
      </c>
      <c r="K68" s="14">
        <v>18</v>
      </c>
      <c r="L68" s="14">
        <v>12</v>
      </c>
      <c r="M68" s="14">
        <v>11</v>
      </c>
      <c r="N68" s="14">
        <v>10</v>
      </c>
      <c r="O68" s="14">
        <v>12</v>
      </c>
    </row>
    <row r="69" spans="2:15" ht="14" customHeight="1" thickTop="1" thickBot="1" x14ac:dyDescent="0.2">
      <c r="B69" s="18">
        <v>5</v>
      </c>
      <c r="C69" s="102" t="str">
        <f t="shared" si="16"/>
        <v>17 h à 19 h</v>
      </c>
      <c r="D69" s="14">
        <v>10</v>
      </c>
      <c r="E69" s="14">
        <v>9</v>
      </c>
      <c r="F69" s="14">
        <v>10</v>
      </c>
      <c r="G69" s="22">
        <v>11</v>
      </c>
      <c r="H69" s="14">
        <v>12</v>
      </c>
      <c r="I69" s="14">
        <v>15</v>
      </c>
      <c r="J69" s="22">
        <v>20</v>
      </c>
      <c r="K69" s="14">
        <v>18</v>
      </c>
      <c r="L69" s="14">
        <v>12</v>
      </c>
      <c r="M69" s="14">
        <v>11</v>
      </c>
      <c r="N69" s="14">
        <v>10</v>
      </c>
      <c r="O69" s="14">
        <v>12</v>
      </c>
    </row>
    <row r="70" spans="2:15" ht="14" customHeight="1" thickTop="1" thickBot="1" x14ac:dyDescent="0.2">
      <c r="B70" s="18">
        <v>6</v>
      </c>
      <c r="C70" s="102" t="str">
        <f t="shared" si="16"/>
        <v>19 h à 23 h</v>
      </c>
      <c r="D70" s="14">
        <v>10</v>
      </c>
      <c r="E70" s="14">
        <v>9</v>
      </c>
      <c r="F70" s="14">
        <v>10</v>
      </c>
      <c r="G70" s="22">
        <v>11</v>
      </c>
      <c r="H70" s="14">
        <v>12</v>
      </c>
      <c r="I70" s="14">
        <v>15</v>
      </c>
      <c r="J70" s="22">
        <v>20</v>
      </c>
      <c r="K70" s="14">
        <v>18</v>
      </c>
      <c r="L70" s="14">
        <v>12</v>
      </c>
      <c r="M70" s="14">
        <v>11</v>
      </c>
      <c r="N70" s="14">
        <v>10</v>
      </c>
      <c r="O70" s="14">
        <v>12</v>
      </c>
    </row>
    <row r="71" spans="2:15" ht="14" customHeight="1" thickTop="1" thickBot="1" x14ac:dyDescent="0.2">
      <c r="B71" s="18">
        <v>7</v>
      </c>
      <c r="C71" s="102" t="str">
        <f t="shared" si="16"/>
        <v>23 h à 6 h</v>
      </c>
      <c r="D71" s="14">
        <v>0</v>
      </c>
      <c r="E71" s="14">
        <v>0</v>
      </c>
      <c r="F71" s="14">
        <v>0</v>
      </c>
      <c r="G71" s="22">
        <v>0</v>
      </c>
      <c r="H71" s="14">
        <v>0</v>
      </c>
      <c r="I71" s="14">
        <v>0</v>
      </c>
      <c r="J71" s="22">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50</v>
      </c>
      <c r="E72" s="17">
        <f t="shared" si="18"/>
        <v>45</v>
      </c>
      <c r="F72" s="17">
        <f t="shared" si="18"/>
        <v>50</v>
      </c>
      <c r="G72" s="17">
        <f t="shared" si="18"/>
        <v>55</v>
      </c>
      <c r="H72" s="17">
        <f t="shared" si="18"/>
        <v>60</v>
      </c>
      <c r="I72" s="17">
        <f t="shared" si="18"/>
        <v>75</v>
      </c>
      <c r="J72" s="17">
        <f t="shared" si="18"/>
        <v>100</v>
      </c>
      <c r="K72" s="17">
        <f t="shared" si="18"/>
        <v>90</v>
      </c>
      <c r="L72" s="17">
        <f t="shared" si="18"/>
        <v>60</v>
      </c>
      <c r="M72" s="17">
        <f t="shared" si="18"/>
        <v>55</v>
      </c>
      <c r="N72" s="17">
        <f t="shared" si="18"/>
        <v>50</v>
      </c>
      <c r="O72" s="17">
        <f t="shared" si="18"/>
        <v>60</v>
      </c>
    </row>
    <row r="73" spans="2:15" ht="14" customHeight="1" thickTop="1" thickBot="1" x14ac:dyDescent="0.2">
      <c r="B73" s="793" t="s">
        <v>17</v>
      </c>
      <c r="C73" s="794"/>
      <c r="D73" s="794"/>
      <c r="E73" s="794"/>
      <c r="F73" s="794"/>
      <c r="G73" s="794"/>
      <c r="H73" s="794"/>
      <c r="I73" s="794"/>
      <c r="J73" s="794"/>
      <c r="K73" s="794"/>
      <c r="L73" s="794"/>
      <c r="M73" s="794"/>
      <c r="N73" s="794"/>
      <c r="O73" s="795"/>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10</v>
      </c>
      <c r="E76" s="14">
        <v>9</v>
      </c>
      <c r="F76" s="14">
        <v>10</v>
      </c>
      <c r="G76" s="22">
        <v>11</v>
      </c>
      <c r="H76" s="14">
        <v>12</v>
      </c>
      <c r="I76" s="14">
        <v>15</v>
      </c>
      <c r="J76" s="22">
        <v>20</v>
      </c>
      <c r="K76" s="14">
        <v>18</v>
      </c>
      <c r="L76" s="14">
        <v>12</v>
      </c>
      <c r="M76" s="22">
        <v>11</v>
      </c>
      <c r="N76" s="14">
        <v>10</v>
      </c>
      <c r="O76" s="14">
        <v>12</v>
      </c>
    </row>
    <row r="77" spans="2:15" ht="14" customHeight="1" x14ac:dyDescent="0.15">
      <c r="B77" s="13">
        <v>3</v>
      </c>
      <c r="C77" s="102" t="str">
        <f t="shared" si="19"/>
        <v>11 h 30 à 14 h 30</v>
      </c>
      <c r="D77" s="14">
        <v>10</v>
      </c>
      <c r="E77" s="14">
        <v>9</v>
      </c>
      <c r="F77" s="14">
        <v>10</v>
      </c>
      <c r="G77" s="22">
        <v>11</v>
      </c>
      <c r="H77" s="14">
        <v>12</v>
      </c>
      <c r="I77" s="14">
        <v>15</v>
      </c>
      <c r="J77" s="22">
        <v>20</v>
      </c>
      <c r="K77" s="14">
        <v>18</v>
      </c>
      <c r="L77" s="14">
        <v>12</v>
      </c>
      <c r="M77" s="22">
        <v>11</v>
      </c>
      <c r="N77" s="14">
        <v>10</v>
      </c>
      <c r="O77" s="14">
        <v>12</v>
      </c>
    </row>
    <row r="78" spans="2:15" ht="14" customHeight="1" x14ac:dyDescent="0.15">
      <c r="B78" s="13">
        <v>4</v>
      </c>
      <c r="C78" s="102" t="str">
        <f t="shared" si="19"/>
        <v>14 h 30 à 17 h</v>
      </c>
      <c r="D78" s="14">
        <v>10</v>
      </c>
      <c r="E78" s="14">
        <v>9</v>
      </c>
      <c r="F78" s="14">
        <v>10</v>
      </c>
      <c r="G78" s="22">
        <v>11</v>
      </c>
      <c r="H78" s="14">
        <v>12</v>
      </c>
      <c r="I78" s="14">
        <v>15</v>
      </c>
      <c r="J78" s="22">
        <v>20</v>
      </c>
      <c r="K78" s="14">
        <v>18</v>
      </c>
      <c r="L78" s="14">
        <v>12</v>
      </c>
      <c r="M78" s="22">
        <v>11</v>
      </c>
      <c r="N78" s="14">
        <v>10</v>
      </c>
      <c r="O78" s="14">
        <v>12</v>
      </c>
    </row>
    <row r="79" spans="2:15" ht="14" customHeight="1" x14ac:dyDescent="0.15">
      <c r="B79" s="13">
        <v>5</v>
      </c>
      <c r="C79" s="102" t="str">
        <f t="shared" si="19"/>
        <v>17 h à 19 h</v>
      </c>
      <c r="D79" s="14">
        <v>10</v>
      </c>
      <c r="E79" s="14">
        <v>9</v>
      </c>
      <c r="F79" s="14">
        <v>10</v>
      </c>
      <c r="G79" s="22">
        <v>11</v>
      </c>
      <c r="H79" s="14">
        <v>12</v>
      </c>
      <c r="I79" s="14">
        <v>15</v>
      </c>
      <c r="J79" s="22">
        <v>20</v>
      </c>
      <c r="K79" s="14">
        <v>18</v>
      </c>
      <c r="L79" s="14">
        <v>12</v>
      </c>
      <c r="M79" s="22">
        <v>11</v>
      </c>
      <c r="N79" s="14">
        <v>10</v>
      </c>
      <c r="O79" s="14">
        <v>12</v>
      </c>
    </row>
    <row r="80" spans="2:15" ht="14" customHeight="1" x14ac:dyDescent="0.15">
      <c r="B80" s="13">
        <v>6</v>
      </c>
      <c r="C80" s="102" t="str">
        <f t="shared" si="19"/>
        <v>19 h à 23 h</v>
      </c>
      <c r="D80" s="14">
        <v>10</v>
      </c>
      <c r="E80" s="14">
        <v>9</v>
      </c>
      <c r="F80" s="14">
        <v>10</v>
      </c>
      <c r="G80" s="22">
        <v>11</v>
      </c>
      <c r="H80" s="14">
        <v>12</v>
      </c>
      <c r="I80" s="14">
        <v>15</v>
      </c>
      <c r="J80" s="22">
        <v>20</v>
      </c>
      <c r="K80" s="14">
        <v>18</v>
      </c>
      <c r="L80" s="14">
        <v>12</v>
      </c>
      <c r="M80" s="22">
        <v>11</v>
      </c>
      <c r="N80" s="14">
        <v>10</v>
      </c>
      <c r="O80" s="14">
        <v>12</v>
      </c>
    </row>
    <row r="81" spans="2:15" ht="14" customHeight="1" x14ac:dyDescent="0.15">
      <c r="B81" s="13">
        <v>7</v>
      </c>
      <c r="C81" s="102" t="str">
        <f t="shared" si="19"/>
        <v>23 h à 6 h</v>
      </c>
      <c r="D81" s="14">
        <v>0</v>
      </c>
      <c r="E81" s="14">
        <v>0</v>
      </c>
      <c r="F81" s="14">
        <v>0</v>
      </c>
      <c r="G81" s="22">
        <v>0</v>
      </c>
      <c r="H81" s="14">
        <v>0</v>
      </c>
      <c r="I81" s="14">
        <v>0</v>
      </c>
      <c r="J81" s="22">
        <v>0</v>
      </c>
      <c r="K81" s="14">
        <v>0</v>
      </c>
      <c r="L81" s="14">
        <v>0</v>
      </c>
      <c r="M81" s="22">
        <v>0</v>
      </c>
      <c r="N81" s="14">
        <v>0</v>
      </c>
      <c r="O81" s="14">
        <v>0</v>
      </c>
    </row>
    <row r="82" spans="2:15" ht="14" customHeight="1" thickBot="1" x14ac:dyDescent="0.2">
      <c r="B82" s="15"/>
      <c r="C82" s="301" t="str">
        <f>+C72</f>
        <v>Total</v>
      </c>
      <c r="D82" s="17">
        <f t="shared" ref="D82:O82" si="20">+D75+D76+D77+D78+D79+D80+D81</f>
        <v>50</v>
      </c>
      <c r="E82" s="17">
        <f t="shared" si="20"/>
        <v>45</v>
      </c>
      <c r="F82" s="17">
        <f t="shared" si="20"/>
        <v>50</v>
      </c>
      <c r="G82" s="17">
        <f t="shared" si="20"/>
        <v>55</v>
      </c>
      <c r="H82" s="17">
        <f t="shared" si="20"/>
        <v>60</v>
      </c>
      <c r="I82" s="17">
        <f t="shared" si="20"/>
        <v>75</v>
      </c>
      <c r="J82" s="17">
        <f t="shared" si="20"/>
        <v>100</v>
      </c>
      <c r="K82" s="17">
        <f t="shared" si="20"/>
        <v>90</v>
      </c>
      <c r="L82" s="17">
        <f t="shared" si="20"/>
        <v>60</v>
      </c>
      <c r="M82" s="17">
        <f t="shared" si="20"/>
        <v>55</v>
      </c>
      <c r="N82" s="17">
        <f t="shared" si="20"/>
        <v>50</v>
      </c>
      <c r="O82" s="17">
        <f t="shared" si="20"/>
        <v>60</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10</v>
      </c>
      <c r="E85" s="14">
        <v>9</v>
      </c>
      <c r="F85" s="14">
        <v>10</v>
      </c>
      <c r="G85" s="22">
        <v>11</v>
      </c>
      <c r="H85" s="14">
        <v>12</v>
      </c>
      <c r="I85" s="14">
        <v>15</v>
      </c>
      <c r="J85" s="22">
        <v>20</v>
      </c>
      <c r="K85" s="14">
        <v>18</v>
      </c>
      <c r="L85" s="14">
        <v>12</v>
      </c>
      <c r="M85" s="22">
        <v>11</v>
      </c>
      <c r="N85" s="14">
        <v>10</v>
      </c>
      <c r="O85" s="14">
        <v>12</v>
      </c>
    </row>
    <row r="86" spans="2:15" ht="14" customHeight="1" thickTop="1" thickBot="1" x14ac:dyDescent="0.2">
      <c r="B86" s="121">
        <v>3</v>
      </c>
      <c r="C86" s="102" t="str">
        <f t="shared" si="21"/>
        <v>11 h 30 à 14 h 30</v>
      </c>
      <c r="D86" s="14">
        <v>10</v>
      </c>
      <c r="E86" s="14">
        <v>9</v>
      </c>
      <c r="F86" s="14">
        <v>10</v>
      </c>
      <c r="G86" s="22">
        <v>11</v>
      </c>
      <c r="H86" s="14">
        <v>12</v>
      </c>
      <c r="I86" s="14">
        <v>15</v>
      </c>
      <c r="J86" s="22">
        <v>20</v>
      </c>
      <c r="K86" s="14">
        <v>18</v>
      </c>
      <c r="L86" s="14">
        <v>12</v>
      </c>
      <c r="M86" s="22">
        <v>11</v>
      </c>
      <c r="N86" s="14">
        <v>10</v>
      </c>
      <c r="O86" s="14">
        <v>12</v>
      </c>
    </row>
    <row r="87" spans="2:15" ht="14" customHeight="1" thickTop="1" thickBot="1" x14ac:dyDescent="0.2">
      <c r="B87" s="121">
        <v>4</v>
      </c>
      <c r="C87" s="102" t="str">
        <f t="shared" si="21"/>
        <v>14 h 30 à 17 h</v>
      </c>
      <c r="D87" s="14">
        <v>10</v>
      </c>
      <c r="E87" s="14">
        <v>9</v>
      </c>
      <c r="F87" s="14">
        <v>10</v>
      </c>
      <c r="G87" s="22">
        <v>11</v>
      </c>
      <c r="H87" s="14">
        <v>12</v>
      </c>
      <c r="I87" s="14">
        <v>15</v>
      </c>
      <c r="J87" s="22">
        <v>20</v>
      </c>
      <c r="K87" s="14">
        <v>18</v>
      </c>
      <c r="L87" s="14">
        <v>12</v>
      </c>
      <c r="M87" s="22">
        <v>11</v>
      </c>
      <c r="N87" s="14">
        <v>10</v>
      </c>
      <c r="O87" s="14">
        <v>12</v>
      </c>
    </row>
    <row r="88" spans="2:15" ht="14" customHeight="1" thickTop="1" thickBot="1" x14ac:dyDescent="0.2">
      <c r="B88" s="121">
        <v>5</v>
      </c>
      <c r="C88" s="102" t="str">
        <f t="shared" si="21"/>
        <v>17 h à 19 h</v>
      </c>
      <c r="D88" s="14">
        <v>10</v>
      </c>
      <c r="E88" s="14">
        <v>9</v>
      </c>
      <c r="F88" s="14">
        <v>10</v>
      </c>
      <c r="G88" s="22">
        <v>11</v>
      </c>
      <c r="H88" s="14">
        <v>12</v>
      </c>
      <c r="I88" s="14">
        <v>15</v>
      </c>
      <c r="J88" s="22">
        <v>20</v>
      </c>
      <c r="K88" s="14">
        <v>18</v>
      </c>
      <c r="L88" s="14">
        <v>12</v>
      </c>
      <c r="M88" s="22">
        <v>11</v>
      </c>
      <c r="N88" s="14">
        <v>10</v>
      </c>
      <c r="O88" s="14">
        <v>12</v>
      </c>
    </row>
    <row r="89" spans="2:15" ht="14" customHeight="1" thickTop="1" thickBot="1" x14ac:dyDescent="0.2">
      <c r="B89" s="121">
        <v>6</v>
      </c>
      <c r="C89" s="102" t="str">
        <f t="shared" si="21"/>
        <v>19 h à 23 h</v>
      </c>
      <c r="D89" s="14">
        <v>10</v>
      </c>
      <c r="E89" s="14">
        <v>9</v>
      </c>
      <c r="F89" s="14">
        <v>10</v>
      </c>
      <c r="G89" s="22">
        <v>11</v>
      </c>
      <c r="H89" s="14">
        <v>12</v>
      </c>
      <c r="I89" s="14">
        <v>15</v>
      </c>
      <c r="J89" s="22">
        <v>20</v>
      </c>
      <c r="K89" s="14">
        <v>18</v>
      </c>
      <c r="L89" s="14">
        <v>12</v>
      </c>
      <c r="M89" s="22">
        <v>11</v>
      </c>
      <c r="N89" s="14">
        <v>10</v>
      </c>
      <c r="O89" s="14">
        <v>12</v>
      </c>
    </row>
    <row r="90" spans="2:15" ht="14" customHeight="1" thickTop="1" thickBot="1" x14ac:dyDescent="0.2">
      <c r="B90" s="121">
        <v>7</v>
      </c>
      <c r="C90" s="102" t="str">
        <f t="shared" si="21"/>
        <v>23 h à 6 h</v>
      </c>
      <c r="D90" s="14">
        <v>0</v>
      </c>
      <c r="E90" s="14">
        <v>0</v>
      </c>
      <c r="F90" s="14">
        <v>0</v>
      </c>
      <c r="G90" s="22">
        <v>0</v>
      </c>
      <c r="H90" s="14">
        <v>0</v>
      </c>
      <c r="I90" s="14">
        <v>0</v>
      </c>
      <c r="J90" s="22">
        <v>0</v>
      </c>
      <c r="K90" s="14">
        <v>0</v>
      </c>
      <c r="L90" s="14">
        <v>0</v>
      </c>
      <c r="M90" s="22">
        <v>0</v>
      </c>
      <c r="N90" s="14">
        <v>0</v>
      </c>
      <c r="O90" s="14">
        <v>0</v>
      </c>
    </row>
    <row r="91" spans="2:15" ht="14" customHeight="1" thickTop="1" thickBot="1" x14ac:dyDescent="0.2">
      <c r="B91" s="19"/>
      <c r="C91" s="21" t="str">
        <f t="shared" ref="C91" si="22">+C82</f>
        <v>Total</v>
      </c>
      <c r="D91" s="17">
        <f t="shared" ref="D91:O91" si="23">+D84+D85+D86+D87+D88+D89+D90</f>
        <v>50</v>
      </c>
      <c r="E91" s="17">
        <f t="shared" si="23"/>
        <v>45</v>
      </c>
      <c r="F91" s="17">
        <f t="shared" si="23"/>
        <v>50</v>
      </c>
      <c r="G91" s="17">
        <f t="shared" si="23"/>
        <v>55</v>
      </c>
      <c r="H91" s="17">
        <f t="shared" si="23"/>
        <v>60</v>
      </c>
      <c r="I91" s="17">
        <f t="shared" si="23"/>
        <v>75</v>
      </c>
      <c r="J91" s="17">
        <f t="shared" si="23"/>
        <v>100</v>
      </c>
      <c r="K91" s="17">
        <f t="shared" si="23"/>
        <v>90</v>
      </c>
      <c r="L91" s="17">
        <f t="shared" si="23"/>
        <v>60</v>
      </c>
      <c r="M91" s="17">
        <f t="shared" si="23"/>
        <v>55</v>
      </c>
      <c r="N91" s="17">
        <f t="shared" si="23"/>
        <v>50</v>
      </c>
      <c r="O91" s="17">
        <f t="shared" si="23"/>
        <v>60</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10</v>
      </c>
      <c r="E94" s="14">
        <v>9</v>
      </c>
      <c r="F94" s="14">
        <v>10</v>
      </c>
      <c r="G94" s="22">
        <v>11</v>
      </c>
      <c r="H94" s="14">
        <v>12</v>
      </c>
      <c r="I94" s="14">
        <v>15</v>
      </c>
      <c r="J94" s="14">
        <v>20</v>
      </c>
      <c r="K94" s="14">
        <v>18</v>
      </c>
      <c r="L94" s="14">
        <v>12</v>
      </c>
      <c r="M94" s="14">
        <v>11</v>
      </c>
      <c r="N94" s="14">
        <v>10</v>
      </c>
      <c r="O94" s="14">
        <v>12</v>
      </c>
    </row>
    <row r="95" spans="2:15" ht="14" customHeight="1" thickTop="1" thickBot="1" x14ac:dyDescent="0.2">
      <c r="B95" s="121">
        <v>3</v>
      </c>
      <c r="C95" s="102" t="str">
        <f t="shared" si="24"/>
        <v>11 h 30 à 14 h 30</v>
      </c>
      <c r="D95" s="14">
        <v>10</v>
      </c>
      <c r="E95" s="14">
        <v>9</v>
      </c>
      <c r="F95" s="14">
        <v>10</v>
      </c>
      <c r="G95" s="22">
        <v>11</v>
      </c>
      <c r="H95" s="14">
        <v>12</v>
      </c>
      <c r="I95" s="14">
        <v>15</v>
      </c>
      <c r="J95" s="14">
        <v>20</v>
      </c>
      <c r="K95" s="14">
        <v>18</v>
      </c>
      <c r="L95" s="14">
        <v>12</v>
      </c>
      <c r="M95" s="14">
        <v>11</v>
      </c>
      <c r="N95" s="14">
        <v>10</v>
      </c>
      <c r="O95" s="14">
        <v>12</v>
      </c>
    </row>
    <row r="96" spans="2:15" ht="14" customHeight="1" thickTop="1" thickBot="1" x14ac:dyDescent="0.2">
      <c r="B96" s="121">
        <v>4</v>
      </c>
      <c r="C96" s="102" t="str">
        <f t="shared" si="24"/>
        <v>14 h 30 à 17 h</v>
      </c>
      <c r="D96" s="14">
        <v>10</v>
      </c>
      <c r="E96" s="14">
        <v>9</v>
      </c>
      <c r="F96" s="14">
        <v>10</v>
      </c>
      <c r="G96" s="22">
        <v>11</v>
      </c>
      <c r="H96" s="14">
        <v>12</v>
      </c>
      <c r="I96" s="14">
        <v>15</v>
      </c>
      <c r="J96" s="14">
        <v>20</v>
      </c>
      <c r="K96" s="14">
        <v>18</v>
      </c>
      <c r="L96" s="14">
        <v>12</v>
      </c>
      <c r="M96" s="14">
        <v>11</v>
      </c>
      <c r="N96" s="14">
        <v>10</v>
      </c>
      <c r="O96" s="14">
        <v>12</v>
      </c>
    </row>
    <row r="97" spans="2:15" ht="14" customHeight="1" thickTop="1" thickBot="1" x14ac:dyDescent="0.2">
      <c r="B97" s="121">
        <v>5</v>
      </c>
      <c r="C97" s="102" t="str">
        <f t="shared" si="24"/>
        <v>17 h à 19 h</v>
      </c>
      <c r="D97" s="14">
        <v>10</v>
      </c>
      <c r="E97" s="14">
        <v>9</v>
      </c>
      <c r="F97" s="14">
        <v>10</v>
      </c>
      <c r="G97" s="22">
        <v>11</v>
      </c>
      <c r="H97" s="14">
        <v>12</v>
      </c>
      <c r="I97" s="14">
        <v>15</v>
      </c>
      <c r="J97" s="14">
        <v>20</v>
      </c>
      <c r="K97" s="14">
        <v>18</v>
      </c>
      <c r="L97" s="14">
        <v>12</v>
      </c>
      <c r="M97" s="14">
        <v>11</v>
      </c>
      <c r="N97" s="14">
        <v>10</v>
      </c>
      <c r="O97" s="14">
        <v>12</v>
      </c>
    </row>
    <row r="98" spans="2:15" ht="14" customHeight="1" thickTop="1" thickBot="1" x14ac:dyDescent="0.2">
      <c r="B98" s="121">
        <v>6</v>
      </c>
      <c r="C98" s="102" t="str">
        <f t="shared" si="24"/>
        <v>19 h à 23 h</v>
      </c>
      <c r="D98" s="14">
        <v>10</v>
      </c>
      <c r="E98" s="14">
        <v>9</v>
      </c>
      <c r="F98" s="14">
        <v>10</v>
      </c>
      <c r="G98" s="22">
        <v>11</v>
      </c>
      <c r="H98" s="14">
        <v>12</v>
      </c>
      <c r="I98" s="14">
        <v>15</v>
      </c>
      <c r="J98" s="14">
        <v>20</v>
      </c>
      <c r="K98" s="14">
        <v>18</v>
      </c>
      <c r="L98" s="14">
        <v>12</v>
      </c>
      <c r="M98" s="14">
        <v>11</v>
      </c>
      <c r="N98" s="14">
        <v>10</v>
      </c>
      <c r="O98" s="14">
        <v>12</v>
      </c>
    </row>
    <row r="99" spans="2:15" ht="14" customHeight="1" thickTop="1" thickBot="1" x14ac:dyDescent="0.2">
      <c r="B99" s="121">
        <v>7</v>
      </c>
      <c r="C99" s="102" t="str">
        <f t="shared" si="24"/>
        <v>23 h à 6 h</v>
      </c>
      <c r="D99" s="14">
        <v>0</v>
      </c>
      <c r="E99" s="14">
        <v>0</v>
      </c>
      <c r="F99" s="14">
        <v>0</v>
      </c>
      <c r="G99" s="22">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50</v>
      </c>
      <c r="E100" s="17">
        <f t="shared" si="26"/>
        <v>45</v>
      </c>
      <c r="F100" s="17">
        <f t="shared" si="26"/>
        <v>50</v>
      </c>
      <c r="G100" s="17">
        <f t="shared" si="26"/>
        <v>55</v>
      </c>
      <c r="H100" s="17">
        <f t="shared" si="26"/>
        <v>60</v>
      </c>
      <c r="I100" s="17">
        <f t="shared" si="26"/>
        <v>75</v>
      </c>
      <c r="J100" s="17">
        <f t="shared" si="26"/>
        <v>100</v>
      </c>
      <c r="K100" s="17">
        <f t="shared" si="26"/>
        <v>90</v>
      </c>
      <c r="L100" s="17">
        <f t="shared" si="26"/>
        <v>60</v>
      </c>
      <c r="M100" s="17">
        <f t="shared" si="26"/>
        <v>55</v>
      </c>
      <c r="N100" s="17">
        <f t="shared" si="26"/>
        <v>50</v>
      </c>
      <c r="O100" s="17">
        <f t="shared" si="26"/>
        <v>60</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10</v>
      </c>
      <c r="E103" s="14">
        <v>9</v>
      </c>
      <c r="F103" s="14">
        <v>10</v>
      </c>
      <c r="G103" s="22">
        <v>11</v>
      </c>
      <c r="H103" s="14">
        <v>12</v>
      </c>
      <c r="I103" s="14">
        <v>15</v>
      </c>
      <c r="J103" s="14">
        <v>20</v>
      </c>
      <c r="K103" s="14">
        <v>18</v>
      </c>
      <c r="L103" s="14">
        <v>12</v>
      </c>
      <c r="M103" s="14">
        <v>11</v>
      </c>
      <c r="N103" s="14">
        <v>10</v>
      </c>
      <c r="O103" s="14">
        <v>12</v>
      </c>
    </row>
    <row r="104" spans="2:15" ht="14" customHeight="1" thickTop="1" thickBot="1" x14ac:dyDescent="0.2">
      <c r="B104" s="121">
        <v>3</v>
      </c>
      <c r="C104" s="102" t="str">
        <f t="shared" si="27"/>
        <v>11 h 30 à 14 h 30</v>
      </c>
      <c r="D104" s="14">
        <v>10</v>
      </c>
      <c r="E104" s="14">
        <v>9</v>
      </c>
      <c r="F104" s="14">
        <v>10</v>
      </c>
      <c r="G104" s="22">
        <v>11</v>
      </c>
      <c r="H104" s="14">
        <v>12</v>
      </c>
      <c r="I104" s="14">
        <v>15</v>
      </c>
      <c r="J104" s="14">
        <v>20</v>
      </c>
      <c r="K104" s="14">
        <v>18</v>
      </c>
      <c r="L104" s="14">
        <v>12</v>
      </c>
      <c r="M104" s="14">
        <v>11</v>
      </c>
      <c r="N104" s="14">
        <v>10</v>
      </c>
      <c r="O104" s="14">
        <v>12</v>
      </c>
    </row>
    <row r="105" spans="2:15" ht="14" customHeight="1" thickTop="1" thickBot="1" x14ac:dyDescent="0.2">
      <c r="B105" s="121">
        <v>4</v>
      </c>
      <c r="C105" s="102" t="str">
        <f t="shared" si="27"/>
        <v>14 h 30 à 17 h</v>
      </c>
      <c r="D105" s="14">
        <v>10</v>
      </c>
      <c r="E105" s="14">
        <v>9</v>
      </c>
      <c r="F105" s="14">
        <v>10</v>
      </c>
      <c r="G105" s="22">
        <v>11</v>
      </c>
      <c r="H105" s="14">
        <v>12</v>
      </c>
      <c r="I105" s="14">
        <v>15</v>
      </c>
      <c r="J105" s="14">
        <v>20</v>
      </c>
      <c r="K105" s="14">
        <v>18</v>
      </c>
      <c r="L105" s="14">
        <v>12</v>
      </c>
      <c r="M105" s="14">
        <v>11</v>
      </c>
      <c r="N105" s="14">
        <v>10</v>
      </c>
      <c r="O105" s="14">
        <v>12</v>
      </c>
    </row>
    <row r="106" spans="2:15" ht="14" customHeight="1" thickTop="1" thickBot="1" x14ac:dyDescent="0.2">
      <c r="B106" s="121">
        <v>5</v>
      </c>
      <c r="C106" s="102" t="str">
        <f t="shared" si="27"/>
        <v>17 h à 19 h</v>
      </c>
      <c r="D106" s="14">
        <v>10</v>
      </c>
      <c r="E106" s="14">
        <v>9</v>
      </c>
      <c r="F106" s="14">
        <v>10</v>
      </c>
      <c r="G106" s="22">
        <v>11</v>
      </c>
      <c r="H106" s="14">
        <v>12</v>
      </c>
      <c r="I106" s="14">
        <v>15</v>
      </c>
      <c r="J106" s="14">
        <v>20</v>
      </c>
      <c r="K106" s="14">
        <v>18</v>
      </c>
      <c r="L106" s="14">
        <v>12</v>
      </c>
      <c r="M106" s="14">
        <v>11</v>
      </c>
      <c r="N106" s="14">
        <v>10</v>
      </c>
      <c r="O106" s="14">
        <v>12</v>
      </c>
    </row>
    <row r="107" spans="2:15" ht="14" customHeight="1" thickTop="1" thickBot="1" x14ac:dyDescent="0.2">
      <c r="B107" s="121">
        <v>6</v>
      </c>
      <c r="C107" s="102" t="str">
        <f t="shared" si="27"/>
        <v>19 h à 23 h</v>
      </c>
      <c r="D107" s="14">
        <v>10</v>
      </c>
      <c r="E107" s="14">
        <v>9</v>
      </c>
      <c r="F107" s="14">
        <v>10</v>
      </c>
      <c r="G107" s="22">
        <v>11</v>
      </c>
      <c r="H107" s="14">
        <v>12</v>
      </c>
      <c r="I107" s="14">
        <v>15</v>
      </c>
      <c r="J107" s="14">
        <v>20</v>
      </c>
      <c r="K107" s="14">
        <v>18</v>
      </c>
      <c r="L107" s="14">
        <v>12</v>
      </c>
      <c r="M107" s="14">
        <v>11</v>
      </c>
      <c r="N107" s="14">
        <v>10</v>
      </c>
      <c r="O107" s="14">
        <v>12</v>
      </c>
    </row>
    <row r="108" spans="2:15" ht="14" customHeight="1" thickTop="1" thickBot="1" x14ac:dyDescent="0.2">
      <c r="B108" s="121">
        <v>7</v>
      </c>
      <c r="C108" s="102" t="str">
        <f t="shared" si="27"/>
        <v>23 h à 6 h</v>
      </c>
      <c r="D108" s="14">
        <v>0</v>
      </c>
      <c r="E108" s="14">
        <v>0</v>
      </c>
      <c r="F108" s="14">
        <v>0</v>
      </c>
      <c r="G108" s="22">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50</v>
      </c>
      <c r="E109" s="17">
        <f t="shared" si="28"/>
        <v>45</v>
      </c>
      <c r="F109" s="17">
        <f t="shared" si="28"/>
        <v>50</v>
      </c>
      <c r="G109" s="17">
        <f t="shared" si="28"/>
        <v>55</v>
      </c>
      <c r="H109" s="17">
        <f t="shared" si="28"/>
        <v>60</v>
      </c>
      <c r="I109" s="17">
        <f t="shared" si="28"/>
        <v>75</v>
      </c>
      <c r="J109" s="17">
        <f t="shared" si="28"/>
        <v>100</v>
      </c>
      <c r="K109" s="17">
        <f t="shared" si="28"/>
        <v>90</v>
      </c>
      <c r="L109" s="17">
        <f t="shared" si="28"/>
        <v>60</v>
      </c>
      <c r="M109" s="17">
        <f t="shared" si="28"/>
        <v>55</v>
      </c>
      <c r="N109" s="17">
        <f t="shared" si="28"/>
        <v>50</v>
      </c>
      <c r="O109" s="17">
        <f t="shared" si="28"/>
        <v>60</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10</v>
      </c>
      <c r="E112" s="14">
        <v>9</v>
      </c>
      <c r="F112" s="14">
        <v>10</v>
      </c>
      <c r="G112" s="14">
        <v>11</v>
      </c>
      <c r="H112" s="14">
        <v>12</v>
      </c>
      <c r="I112" s="14">
        <v>15</v>
      </c>
      <c r="J112" s="14">
        <v>20</v>
      </c>
      <c r="K112" s="14">
        <v>18</v>
      </c>
      <c r="L112" s="14">
        <v>12</v>
      </c>
      <c r="M112" s="14">
        <v>11</v>
      </c>
      <c r="N112" s="14">
        <v>10</v>
      </c>
      <c r="O112" s="14">
        <v>12</v>
      </c>
    </row>
    <row r="113" spans="2:16" ht="14" customHeight="1" thickTop="1" thickBot="1" x14ac:dyDescent="0.2">
      <c r="B113" s="121">
        <v>3</v>
      </c>
      <c r="C113" s="102" t="str">
        <f t="shared" si="29"/>
        <v>11 h 30 à 14 h 30</v>
      </c>
      <c r="D113" s="14">
        <v>10</v>
      </c>
      <c r="E113" s="14">
        <v>9</v>
      </c>
      <c r="F113" s="14">
        <v>10</v>
      </c>
      <c r="G113" s="14">
        <v>11</v>
      </c>
      <c r="H113" s="14">
        <v>12</v>
      </c>
      <c r="I113" s="14">
        <v>15</v>
      </c>
      <c r="J113" s="14">
        <v>20</v>
      </c>
      <c r="K113" s="14">
        <v>18</v>
      </c>
      <c r="L113" s="14">
        <v>12</v>
      </c>
      <c r="M113" s="14">
        <v>11</v>
      </c>
      <c r="N113" s="14">
        <v>10</v>
      </c>
      <c r="O113" s="14">
        <v>12</v>
      </c>
    </row>
    <row r="114" spans="2:16" ht="14" customHeight="1" thickTop="1" thickBot="1" x14ac:dyDescent="0.2">
      <c r="B114" s="121">
        <v>4</v>
      </c>
      <c r="C114" s="102" t="str">
        <f t="shared" si="29"/>
        <v>14 h 30 à 17 h</v>
      </c>
      <c r="D114" s="14">
        <v>10</v>
      </c>
      <c r="E114" s="14">
        <v>9</v>
      </c>
      <c r="F114" s="14">
        <v>10</v>
      </c>
      <c r="G114" s="14">
        <v>11</v>
      </c>
      <c r="H114" s="14">
        <v>12</v>
      </c>
      <c r="I114" s="14">
        <v>15</v>
      </c>
      <c r="J114" s="14">
        <v>20</v>
      </c>
      <c r="K114" s="14">
        <v>18</v>
      </c>
      <c r="L114" s="14">
        <v>12</v>
      </c>
      <c r="M114" s="14">
        <v>11</v>
      </c>
      <c r="N114" s="14">
        <v>10</v>
      </c>
      <c r="O114" s="14">
        <v>12</v>
      </c>
    </row>
    <row r="115" spans="2:16" ht="14" customHeight="1" thickTop="1" thickBot="1" x14ac:dyDescent="0.2">
      <c r="B115" s="121">
        <v>5</v>
      </c>
      <c r="C115" s="102" t="str">
        <f t="shared" si="29"/>
        <v>17 h à 19 h</v>
      </c>
      <c r="D115" s="14">
        <v>10</v>
      </c>
      <c r="E115" s="14">
        <v>9</v>
      </c>
      <c r="F115" s="14">
        <v>10</v>
      </c>
      <c r="G115" s="14">
        <v>11</v>
      </c>
      <c r="H115" s="14">
        <v>12</v>
      </c>
      <c r="I115" s="14">
        <v>15</v>
      </c>
      <c r="J115" s="14">
        <v>20</v>
      </c>
      <c r="K115" s="14">
        <v>18</v>
      </c>
      <c r="L115" s="14">
        <v>12</v>
      </c>
      <c r="M115" s="14">
        <v>11</v>
      </c>
      <c r="N115" s="14">
        <v>10</v>
      </c>
      <c r="O115" s="14">
        <v>12</v>
      </c>
    </row>
    <row r="116" spans="2:16" ht="14" customHeight="1" thickTop="1" thickBot="1" x14ac:dyDescent="0.2">
      <c r="B116" s="121">
        <v>6</v>
      </c>
      <c r="C116" s="102" t="str">
        <f t="shared" si="29"/>
        <v>19 h à 23 h</v>
      </c>
      <c r="D116" s="14">
        <v>10</v>
      </c>
      <c r="E116" s="14">
        <v>9</v>
      </c>
      <c r="F116" s="14">
        <v>10</v>
      </c>
      <c r="G116" s="14">
        <v>11</v>
      </c>
      <c r="H116" s="14">
        <v>12</v>
      </c>
      <c r="I116" s="14">
        <v>15</v>
      </c>
      <c r="J116" s="14">
        <v>20</v>
      </c>
      <c r="K116" s="14">
        <v>18</v>
      </c>
      <c r="L116" s="14">
        <v>12</v>
      </c>
      <c r="M116" s="14">
        <v>11</v>
      </c>
      <c r="N116" s="14">
        <v>10</v>
      </c>
      <c r="O116" s="14">
        <v>12</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50</v>
      </c>
      <c r="E118" s="17">
        <f t="shared" si="31"/>
        <v>45</v>
      </c>
      <c r="F118" s="17">
        <f t="shared" si="31"/>
        <v>50</v>
      </c>
      <c r="G118" s="17">
        <f t="shared" si="31"/>
        <v>55</v>
      </c>
      <c r="H118" s="17">
        <f t="shared" si="31"/>
        <v>60</v>
      </c>
      <c r="I118" s="17">
        <f t="shared" si="31"/>
        <v>75</v>
      </c>
      <c r="J118" s="17">
        <f t="shared" si="31"/>
        <v>100</v>
      </c>
      <c r="K118" s="17">
        <f t="shared" si="31"/>
        <v>90</v>
      </c>
      <c r="L118" s="17">
        <f t="shared" si="31"/>
        <v>60</v>
      </c>
      <c r="M118" s="17">
        <f t="shared" si="31"/>
        <v>55</v>
      </c>
      <c r="N118" s="17">
        <f t="shared" si="31"/>
        <v>50</v>
      </c>
      <c r="O118" s="17">
        <f t="shared" si="31"/>
        <v>60</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10</v>
      </c>
      <c r="E121" s="14">
        <v>9</v>
      </c>
      <c r="F121" s="14">
        <v>10</v>
      </c>
      <c r="G121" s="14">
        <v>11</v>
      </c>
      <c r="H121" s="14">
        <v>12</v>
      </c>
      <c r="I121" s="14">
        <v>15</v>
      </c>
      <c r="J121" s="14">
        <v>20</v>
      </c>
      <c r="K121" s="14">
        <v>18</v>
      </c>
      <c r="L121" s="14">
        <v>12</v>
      </c>
      <c r="M121" s="14">
        <v>11</v>
      </c>
      <c r="N121" s="14">
        <v>10</v>
      </c>
      <c r="O121" s="14">
        <v>12</v>
      </c>
    </row>
    <row r="122" spans="2:16" ht="14" customHeight="1" thickTop="1" thickBot="1" x14ac:dyDescent="0.2">
      <c r="B122" s="18">
        <v>3</v>
      </c>
      <c r="C122" s="102" t="str">
        <f t="shared" si="32"/>
        <v>11 h 30 à 14 h 30</v>
      </c>
      <c r="D122" s="14">
        <v>10</v>
      </c>
      <c r="E122" s="14">
        <v>9</v>
      </c>
      <c r="F122" s="14">
        <v>10</v>
      </c>
      <c r="G122" s="14">
        <v>11</v>
      </c>
      <c r="H122" s="14">
        <v>12</v>
      </c>
      <c r="I122" s="14">
        <v>15</v>
      </c>
      <c r="J122" s="14">
        <v>20</v>
      </c>
      <c r="K122" s="14">
        <v>18</v>
      </c>
      <c r="L122" s="14">
        <v>12</v>
      </c>
      <c r="M122" s="14">
        <v>11</v>
      </c>
      <c r="N122" s="14">
        <v>10</v>
      </c>
      <c r="O122" s="14">
        <v>12</v>
      </c>
    </row>
    <row r="123" spans="2:16" ht="14" customHeight="1" thickTop="1" thickBot="1" x14ac:dyDescent="0.2">
      <c r="B123" s="18">
        <v>4</v>
      </c>
      <c r="C123" s="102" t="str">
        <f t="shared" si="32"/>
        <v>14 h 30 à 17 h</v>
      </c>
      <c r="D123" s="14">
        <v>10</v>
      </c>
      <c r="E123" s="14">
        <v>9</v>
      </c>
      <c r="F123" s="14">
        <v>10</v>
      </c>
      <c r="G123" s="14">
        <v>11</v>
      </c>
      <c r="H123" s="14">
        <v>12</v>
      </c>
      <c r="I123" s="14">
        <v>15</v>
      </c>
      <c r="J123" s="14">
        <v>20</v>
      </c>
      <c r="K123" s="14">
        <v>18</v>
      </c>
      <c r="L123" s="14">
        <v>12</v>
      </c>
      <c r="M123" s="14">
        <v>11</v>
      </c>
      <c r="N123" s="14">
        <v>10</v>
      </c>
      <c r="O123" s="14">
        <v>12</v>
      </c>
    </row>
    <row r="124" spans="2:16" ht="14" customHeight="1" thickTop="1" thickBot="1" x14ac:dyDescent="0.2">
      <c r="B124" s="18">
        <v>5</v>
      </c>
      <c r="C124" s="102" t="str">
        <f t="shared" si="32"/>
        <v>17 h à 19 h</v>
      </c>
      <c r="D124" s="14">
        <v>10</v>
      </c>
      <c r="E124" s="14">
        <v>9</v>
      </c>
      <c r="F124" s="14">
        <v>10</v>
      </c>
      <c r="G124" s="14">
        <v>11</v>
      </c>
      <c r="H124" s="14">
        <v>12</v>
      </c>
      <c r="I124" s="14">
        <v>15</v>
      </c>
      <c r="J124" s="14">
        <v>20</v>
      </c>
      <c r="K124" s="14">
        <v>18</v>
      </c>
      <c r="L124" s="14">
        <v>12</v>
      </c>
      <c r="M124" s="14">
        <v>11</v>
      </c>
      <c r="N124" s="14">
        <v>10</v>
      </c>
      <c r="O124" s="14">
        <v>12</v>
      </c>
    </row>
    <row r="125" spans="2:16" ht="14" customHeight="1" thickTop="1" thickBot="1" x14ac:dyDescent="0.2">
      <c r="B125" s="18">
        <v>6</v>
      </c>
      <c r="C125" s="102" t="str">
        <f t="shared" si="32"/>
        <v>19 h à 23 h</v>
      </c>
      <c r="D125" s="14">
        <v>10</v>
      </c>
      <c r="E125" s="14">
        <v>9</v>
      </c>
      <c r="F125" s="14">
        <v>10</v>
      </c>
      <c r="G125" s="14">
        <v>11</v>
      </c>
      <c r="H125" s="14">
        <v>12</v>
      </c>
      <c r="I125" s="14">
        <v>15</v>
      </c>
      <c r="J125" s="14">
        <v>20</v>
      </c>
      <c r="K125" s="14">
        <v>18</v>
      </c>
      <c r="L125" s="14">
        <v>12</v>
      </c>
      <c r="M125" s="14">
        <v>11</v>
      </c>
      <c r="N125" s="14">
        <v>10</v>
      </c>
      <c r="O125" s="14">
        <v>12</v>
      </c>
    </row>
    <row r="126" spans="2:16" ht="14" customHeight="1" thickTop="1" thickBot="1" x14ac:dyDescent="0.2">
      <c r="B126" s="18">
        <v>7</v>
      </c>
      <c r="C126" s="102" t="str">
        <f t="shared" si="32"/>
        <v>23 h à 6 h</v>
      </c>
      <c r="D126" s="14">
        <v>0</v>
      </c>
      <c r="E126" s="14">
        <v>0</v>
      </c>
      <c r="F126" s="14">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50</v>
      </c>
      <c r="E127" s="17">
        <f>+E120+E121+E122+E123+E124+E125+E126</f>
        <v>45</v>
      </c>
      <c r="F127" s="17">
        <f>+F120+F121+F122+F123+F124+F125+F126</f>
        <v>50</v>
      </c>
      <c r="G127" s="17">
        <f t="shared" ref="G127:N127" si="34">+G120+G121+G122+G123+G124+G125+G126</f>
        <v>55</v>
      </c>
      <c r="H127" s="17">
        <f t="shared" si="34"/>
        <v>60</v>
      </c>
      <c r="I127" s="17">
        <f t="shared" si="34"/>
        <v>75</v>
      </c>
      <c r="J127" s="17">
        <f t="shared" si="34"/>
        <v>100</v>
      </c>
      <c r="K127" s="17">
        <f t="shared" si="34"/>
        <v>90</v>
      </c>
      <c r="L127" s="17">
        <f t="shared" si="34"/>
        <v>60</v>
      </c>
      <c r="M127" s="17">
        <f t="shared" si="34"/>
        <v>55</v>
      </c>
      <c r="N127" s="17">
        <f t="shared" si="34"/>
        <v>50</v>
      </c>
      <c r="O127" s="24">
        <f>+O120+O121+O122+O123+O124+O125+O126</f>
        <v>60</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10</v>
      </c>
      <c r="E130" s="14">
        <v>9</v>
      </c>
      <c r="F130" s="14">
        <v>10</v>
      </c>
      <c r="G130" s="14">
        <v>11</v>
      </c>
      <c r="H130" s="14">
        <v>12</v>
      </c>
      <c r="I130" s="14">
        <v>15</v>
      </c>
      <c r="J130" s="14">
        <v>20</v>
      </c>
      <c r="K130" s="14">
        <v>18</v>
      </c>
      <c r="L130" s="14">
        <v>12</v>
      </c>
      <c r="M130" s="14">
        <v>11</v>
      </c>
      <c r="N130" s="14">
        <v>10</v>
      </c>
      <c r="O130" s="14">
        <v>12</v>
      </c>
    </row>
    <row r="131" spans="2:15" ht="14" customHeight="1" thickTop="1" thickBot="1" x14ac:dyDescent="0.2">
      <c r="B131" s="18">
        <v>3</v>
      </c>
      <c r="C131" s="102" t="str">
        <f t="shared" si="35"/>
        <v>11 h 30 à 14 h 30</v>
      </c>
      <c r="D131" s="14">
        <v>10</v>
      </c>
      <c r="E131" s="14">
        <v>9</v>
      </c>
      <c r="F131" s="14">
        <v>10</v>
      </c>
      <c r="G131" s="14">
        <v>11</v>
      </c>
      <c r="H131" s="14">
        <v>12</v>
      </c>
      <c r="I131" s="14">
        <v>15</v>
      </c>
      <c r="J131" s="14">
        <v>20</v>
      </c>
      <c r="K131" s="14">
        <v>18</v>
      </c>
      <c r="L131" s="14">
        <v>12</v>
      </c>
      <c r="M131" s="14">
        <v>11</v>
      </c>
      <c r="N131" s="14">
        <v>10</v>
      </c>
      <c r="O131" s="14">
        <v>12</v>
      </c>
    </row>
    <row r="132" spans="2:15" ht="14" customHeight="1" thickTop="1" thickBot="1" x14ac:dyDescent="0.2">
      <c r="B132" s="18">
        <v>4</v>
      </c>
      <c r="C132" s="102" t="str">
        <f t="shared" si="35"/>
        <v>14 h 30 à 17 h</v>
      </c>
      <c r="D132" s="14">
        <v>10</v>
      </c>
      <c r="E132" s="14">
        <v>9</v>
      </c>
      <c r="F132" s="14">
        <v>10</v>
      </c>
      <c r="G132" s="14">
        <v>11</v>
      </c>
      <c r="H132" s="14">
        <v>12</v>
      </c>
      <c r="I132" s="14">
        <v>15</v>
      </c>
      <c r="J132" s="14">
        <v>20</v>
      </c>
      <c r="K132" s="14">
        <v>18</v>
      </c>
      <c r="L132" s="14">
        <v>12</v>
      </c>
      <c r="M132" s="14">
        <v>11</v>
      </c>
      <c r="N132" s="14">
        <v>10</v>
      </c>
      <c r="O132" s="14">
        <v>12</v>
      </c>
    </row>
    <row r="133" spans="2:15" ht="14" customHeight="1" thickTop="1" thickBot="1" x14ac:dyDescent="0.2">
      <c r="B133" s="18">
        <v>5</v>
      </c>
      <c r="C133" s="102" t="str">
        <f t="shared" si="35"/>
        <v>17 h à 19 h</v>
      </c>
      <c r="D133" s="14">
        <v>10</v>
      </c>
      <c r="E133" s="14">
        <v>9</v>
      </c>
      <c r="F133" s="14">
        <v>10</v>
      </c>
      <c r="G133" s="14">
        <v>11</v>
      </c>
      <c r="H133" s="14">
        <v>12</v>
      </c>
      <c r="I133" s="14">
        <v>15</v>
      </c>
      <c r="J133" s="14">
        <v>20</v>
      </c>
      <c r="K133" s="14">
        <v>18</v>
      </c>
      <c r="L133" s="14">
        <v>12</v>
      </c>
      <c r="M133" s="14">
        <v>11</v>
      </c>
      <c r="N133" s="14">
        <v>10</v>
      </c>
      <c r="O133" s="14">
        <v>12</v>
      </c>
    </row>
    <row r="134" spans="2:15" ht="14" customHeight="1" thickTop="1" thickBot="1" x14ac:dyDescent="0.2">
      <c r="B134" s="18">
        <v>6</v>
      </c>
      <c r="C134" s="102" t="str">
        <f t="shared" si="35"/>
        <v>19 h à 23 h</v>
      </c>
      <c r="D134" s="14">
        <v>10</v>
      </c>
      <c r="E134" s="14">
        <v>9</v>
      </c>
      <c r="F134" s="14">
        <v>10</v>
      </c>
      <c r="G134" s="14">
        <v>11</v>
      </c>
      <c r="H134" s="14">
        <v>12</v>
      </c>
      <c r="I134" s="14">
        <v>15</v>
      </c>
      <c r="J134" s="14">
        <v>20</v>
      </c>
      <c r="K134" s="14">
        <v>18</v>
      </c>
      <c r="L134" s="14">
        <v>12</v>
      </c>
      <c r="M134" s="14">
        <v>11</v>
      </c>
      <c r="N134" s="14">
        <v>10</v>
      </c>
      <c r="O134" s="14">
        <v>12</v>
      </c>
    </row>
    <row r="135" spans="2:15" ht="14" customHeight="1" thickTop="1" thickBot="1" x14ac:dyDescent="0.2">
      <c r="B135" s="18">
        <v>7</v>
      </c>
      <c r="C135" s="102" t="str">
        <f t="shared" si="35"/>
        <v>23 h à 6 h</v>
      </c>
      <c r="D135" s="14">
        <v>0</v>
      </c>
      <c r="E135" s="14">
        <v>0</v>
      </c>
      <c r="F135" s="14">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50</v>
      </c>
      <c r="E136" s="24">
        <f t="shared" si="37"/>
        <v>45</v>
      </c>
      <c r="F136" s="24">
        <f t="shared" si="37"/>
        <v>50</v>
      </c>
      <c r="G136" s="24">
        <f t="shared" si="37"/>
        <v>55</v>
      </c>
      <c r="H136" s="24">
        <f t="shared" si="37"/>
        <v>60</v>
      </c>
      <c r="I136" s="24">
        <f t="shared" si="37"/>
        <v>75</v>
      </c>
      <c r="J136" s="24">
        <f t="shared" si="37"/>
        <v>100</v>
      </c>
      <c r="K136" s="24">
        <f t="shared" si="37"/>
        <v>90</v>
      </c>
      <c r="L136" s="24">
        <f t="shared" si="37"/>
        <v>60</v>
      </c>
      <c r="M136" s="24">
        <f>+M129+M130+M131+M132+M133+M134+M135</f>
        <v>55</v>
      </c>
      <c r="N136" s="24">
        <f>+N129+N130+N131+N132+N133+N134+N135</f>
        <v>50</v>
      </c>
      <c r="O136" s="24">
        <f>+O129+O130+O131+O132+O133+O134+O135</f>
        <v>60</v>
      </c>
    </row>
    <row r="137" spans="2:15" ht="14" customHeight="1" thickTop="1" thickBot="1" x14ac:dyDescent="0.2">
      <c r="B137" s="793" t="s">
        <v>18</v>
      </c>
      <c r="C137" s="794"/>
      <c r="D137" s="794"/>
      <c r="E137" s="794"/>
      <c r="F137" s="794"/>
      <c r="G137" s="794"/>
      <c r="H137" s="794"/>
      <c r="I137" s="794"/>
      <c r="J137" s="794"/>
      <c r="K137" s="794"/>
      <c r="L137" s="794"/>
      <c r="M137" s="794"/>
      <c r="N137" s="794"/>
      <c r="O137" s="795"/>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10</v>
      </c>
      <c r="E140" s="14">
        <v>9</v>
      </c>
      <c r="F140" s="14">
        <v>10</v>
      </c>
      <c r="G140" s="14">
        <v>11</v>
      </c>
      <c r="H140" s="14">
        <v>12</v>
      </c>
      <c r="I140" s="14">
        <v>15</v>
      </c>
      <c r="J140" s="14">
        <v>20</v>
      </c>
      <c r="K140" s="14">
        <v>18</v>
      </c>
      <c r="L140" s="14">
        <v>12</v>
      </c>
      <c r="M140" s="14">
        <v>11</v>
      </c>
      <c r="N140" s="14">
        <v>10</v>
      </c>
      <c r="O140" s="14">
        <v>12</v>
      </c>
    </row>
    <row r="141" spans="2:15" ht="14" customHeight="1" x14ac:dyDescent="0.15">
      <c r="B141" s="13">
        <v>3</v>
      </c>
      <c r="C141" s="102" t="str">
        <f t="shared" si="38"/>
        <v>11 h 30 à 14 h 30</v>
      </c>
      <c r="D141" s="14">
        <v>10</v>
      </c>
      <c r="E141" s="14">
        <v>9</v>
      </c>
      <c r="F141" s="14">
        <v>10</v>
      </c>
      <c r="G141" s="14">
        <v>11</v>
      </c>
      <c r="H141" s="14">
        <v>12</v>
      </c>
      <c r="I141" s="14">
        <v>15</v>
      </c>
      <c r="J141" s="14">
        <v>20</v>
      </c>
      <c r="K141" s="14">
        <v>18</v>
      </c>
      <c r="L141" s="14">
        <v>12</v>
      </c>
      <c r="M141" s="14">
        <v>11</v>
      </c>
      <c r="N141" s="14">
        <v>10</v>
      </c>
      <c r="O141" s="14">
        <v>12</v>
      </c>
    </row>
    <row r="142" spans="2:15" ht="14" customHeight="1" x14ac:dyDescent="0.15">
      <c r="B142" s="13">
        <v>4</v>
      </c>
      <c r="C142" s="102" t="str">
        <f t="shared" si="38"/>
        <v>14 h 30 à 17 h</v>
      </c>
      <c r="D142" s="14">
        <v>10</v>
      </c>
      <c r="E142" s="14">
        <v>9</v>
      </c>
      <c r="F142" s="14">
        <v>10</v>
      </c>
      <c r="G142" s="14">
        <v>11</v>
      </c>
      <c r="H142" s="14">
        <v>12</v>
      </c>
      <c r="I142" s="14">
        <v>15</v>
      </c>
      <c r="J142" s="14">
        <v>20</v>
      </c>
      <c r="K142" s="14">
        <v>18</v>
      </c>
      <c r="L142" s="14">
        <v>12</v>
      </c>
      <c r="M142" s="14">
        <v>11</v>
      </c>
      <c r="N142" s="14">
        <v>10</v>
      </c>
      <c r="O142" s="14">
        <v>12</v>
      </c>
    </row>
    <row r="143" spans="2:15" ht="14" customHeight="1" x14ac:dyDescent="0.15">
      <c r="B143" s="13">
        <v>5</v>
      </c>
      <c r="C143" s="102" t="str">
        <f t="shared" si="38"/>
        <v>17 h à 19 h</v>
      </c>
      <c r="D143" s="14">
        <v>10</v>
      </c>
      <c r="E143" s="14">
        <v>9</v>
      </c>
      <c r="F143" s="14">
        <v>10</v>
      </c>
      <c r="G143" s="14">
        <v>11</v>
      </c>
      <c r="H143" s="14">
        <v>12</v>
      </c>
      <c r="I143" s="14">
        <v>15</v>
      </c>
      <c r="J143" s="14">
        <v>20</v>
      </c>
      <c r="K143" s="14">
        <v>18</v>
      </c>
      <c r="L143" s="14">
        <v>12</v>
      </c>
      <c r="M143" s="14">
        <v>11</v>
      </c>
      <c r="N143" s="14">
        <v>10</v>
      </c>
      <c r="O143" s="14">
        <v>12</v>
      </c>
    </row>
    <row r="144" spans="2:15" ht="14" customHeight="1" x14ac:dyDescent="0.15">
      <c r="B144" s="13">
        <v>6</v>
      </c>
      <c r="C144" s="102" t="str">
        <f t="shared" si="38"/>
        <v>19 h à 23 h</v>
      </c>
      <c r="D144" s="14">
        <v>10</v>
      </c>
      <c r="E144" s="14">
        <v>9</v>
      </c>
      <c r="F144" s="14">
        <v>10</v>
      </c>
      <c r="G144" s="14">
        <v>11</v>
      </c>
      <c r="H144" s="14">
        <v>12</v>
      </c>
      <c r="I144" s="14">
        <v>15</v>
      </c>
      <c r="J144" s="14">
        <v>20</v>
      </c>
      <c r="K144" s="14">
        <v>18</v>
      </c>
      <c r="L144" s="14">
        <v>12</v>
      </c>
      <c r="M144" s="14">
        <v>11</v>
      </c>
      <c r="N144" s="14">
        <v>10</v>
      </c>
      <c r="O144" s="14">
        <v>12</v>
      </c>
    </row>
    <row r="145" spans="2:15" ht="14" customHeight="1" x14ac:dyDescent="0.15">
      <c r="B145" s="13">
        <v>7</v>
      </c>
      <c r="C145" s="102" t="str">
        <f t="shared" si="38"/>
        <v>23 h à 6 h</v>
      </c>
      <c r="D145" s="14">
        <v>0</v>
      </c>
      <c r="E145" s="14">
        <v>0</v>
      </c>
      <c r="F145" s="14">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50</v>
      </c>
      <c r="E146" s="24">
        <f t="shared" si="39"/>
        <v>45</v>
      </c>
      <c r="F146" s="24">
        <f t="shared" si="39"/>
        <v>50</v>
      </c>
      <c r="G146" s="24">
        <f t="shared" si="39"/>
        <v>55</v>
      </c>
      <c r="H146" s="24">
        <f t="shared" si="39"/>
        <v>60</v>
      </c>
      <c r="I146" s="24">
        <f t="shared" si="39"/>
        <v>75</v>
      </c>
      <c r="J146" s="24">
        <f t="shared" si="39"/>
        <v>100</v>
      </c>
      <c r="K146" s="24">
        <f t="shared" si="39"/>
        <v>90</v>
      </c>
      <c r="L146" s="24">
        <f t="shared" si="39"/>
        <v>60</v>
      </c>
      <c r="M146" s="24">
        <f>+M139+M140+M141+M142+M143+M144+M145</f>
        <v>55</v>
      </c>
      <c r="N146" s="24">
        <f>+N139+N140+N141+N142+N143+N144+N145</f>
        <v>50</v>
      </c>
      <c r="O146" s="24">
        <f>+O139+O140+O141+O142+O143+O144+O145</f>
        <v>60</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10</v>
      </c>
      <c r="E149" s="14">
        <v>9</v>
      </c>
      <c r="F149" s="14">
        <v>10</v>
      </c>
      <c r="G149" s="14">
        <v>11</v>
      </c>
      <c r="H149" s="14">
        <v>12</v>
      </c>
      <c r="I149" s="14">
        <v>15</v>
      </c>
      <c r="J149" s="14">
        <v>20</v>
      </c>
      <c r="K149" s="14">
        <v>18</v>
      </c>
      <c r="L149" s="14">
        <v>12</v>
      </c>
      <c r="M149" s="14">
        <v>11</v>
      </c>
      <c r="N149" s="14">
        <v>10</v>
      </c>
      <c r="O149" s="14">
        <v>12</v>
      </c>
    </row>
    <row r="150" spans="2:15" ht="14" customHeight="1" thickTop="1" thickBot="1" x14ac:dyDescent="0.2">
      <c r="B150" s="121">
        <v>3</v>
      </c>
      <c r="C150" s="102" t="str">
        <f t="shared" si="40"/>
        <v>11 h 30 à 14 h 30</v>
      </c>
      <c r="D150" s="14">
        <v>10</v>
      </c>
      <c r="E150" s="14">
        <v>9</v>
      </c>
      <c r="F150" s="14">
        <v>10</v>
      </c>
      <c r="G150" s="14">
        <v>11</v>
      </c>
      <c r="H150" s="14">
        <v>12</v>
      </c>
      <c r="I150" s="14">
        <v>15</v>
      </c>
      <c r="J150" s="14">
        <v>20</v>
      </c>
      <c r="K150" s="14">
        <v>18</v>
      </c>
      <c r="L150" s="14">
        <v>12</v>
      </c>
      <c r="M150" s="14">
        <v>11</v>
      </c>
      <c r="N150" s="14">
        <v>10</v>
      </c>
      <c r="O150" s="14">
        <v>12</v>
      </c>
    </row>
    <row r="151" spans="2:15" ht="14" customHeight="1" thickTop="1" thickBot="1" x14ac:dyDescent="0.2">
      <c r="B151" s="121">
        <v>4</v>
      </c>
      <c r="C151" s="102" t="str">
        <f t="shared" si="40"/>
        <v>14 h 30 à 17 h</v>
      </c>
      <c r="D151" s="14">
        <v>10</v>
      </c>
      <c r="E151" s="14">
        <v>9</v>
      </c>
      <c r="F151" s="14">
        <v>10</v>
      </c>
      <c r="G151" s="14">
        <v>11</v>
      </c>
      <c r="H151" s="14">
        <v>12</v>
      </c>
      <c r="I151" s="14">
        <v>15</v>
      </c>
      <c r="J151" s="14">
        <v>20</v>
      </c>
      <c r="K151" s="14">
        <v>18</v>
      </c>
      <c r="L151" s="14">
        <v>12</v>
      </c>
      <c r="M151" s="14">
        <v>11</v>
      </c>
      <c r="N151" s="14">
        <v>10</v>
      </c>
      <c r="O151" s="14">
        <v>12</v>
      </c>
    </row>
    <row r="152" spans="2:15" ht="14" customHeight="1" thickTop="1" thickBot="1" x14ac:dyDescent="0.2">
      <c r="B152" s="121">
        <v>5</v>
      </c>
      <c r="C152" s="102" t="str">
        <f t="shared" si="40"/>
        <v>17 h à 19 h</v>
      </c>
      <c r="D152" s="14">
        <v>10</v>
      </c>
      <c r="E152" s="14">
        <v>9</v>
      </c>
      <c r="F152" s="14">
        <v>10</v>
      </c>
      <c r="G152" s="14">
        <v>11</v>
      </c>
      <c r="H152" s="14">
        <v>12</v>
      </c>
      <c r="I152" s="14">
        <v>15</v>
      </c>
      <c r="J152" s="14">
        <v>20</v>
      </c>
      <c r="K152" s="14">
        <v>18</v>
      </c>
      <c r="L152" s="14">
        <v>12</v>
      </c>
      <c r="M152" s="14">
        <v>11</v>
      </c>
      <c r="N152" s="14">
        <v>10</v>
      </c>
      <c r="O152" s="14">
        <v>12</v>
      </c>
    </row>
    <row r="153" spans="2:15" ht="14" customHeight="1" thickTop="1" thickBot="1" x14ac:dyDescent="0.2">
      <c r="B153" s="121">
        <v>6</v>
      </c>
      <c r="C153" s="102" t="str">
        <f t="shared" si="40"/>
        <v>19 h à 23 h</v>
      </c>
      <c r="D153" s="14">
        <v>10</v>
      </c>
      <c r="E153" s="14">
        <v>9</v>
      </c>
      <c r="F153" s="14">
        <v>10</v>
      </c>
      <c r="G153" s="14">
        <v>11</v>
      </c>
      <c r="H153" s="14">
        <v>12</v>
      </c>
      <c r="I153" s="14">
        <v>15</v>
      </c>
      <c r="J153" s="14">
        <v>20</v>
      </c>
      <c r="K153" s="14">
        <v>18</v>
      </c>
      <c r="L153" s="14">
        <v>12</v>
      </c>
      <c r="M153" s="14">
        <v>11</v>
      </c>
      <c r="N153" s="14">
        <v>10</v>
      </c>
      <c r="O153" s="14">
        <v>12</v>
      </c>
    </row>
    <row r="154" spans="2:15" ht="14" customHeight="1" thickTop="1" thickBot="1" x14ac:dyDescent="0.2">
      <c r="B154" s="121">
        <v>7</v>
      </c>
      <c r="C154" s="102" t="str">
        <f t="shared" si="40"/>
        <v>23 h à 6 h</v>
      </c>
      <c r="D154" s="14">
        <v>0</v>
      </c>
      <c r="E154" s="14">
        <v>0</v>
      </c>
      <c r="F154" s="14">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50</v>
      </c>
      <c r="E155" s="24">
        <f t="shared" si="42"/>
        <v>45</v>
      </c>
      <c r="F155" s="24">
        <f t="shared" si="42"/>
        <v>50</v>
      </c>
      <c r="G155" s="24">
        <f t="shared" si="42"/>
        <v>55</v>
      </c>
      <c r="H155" s="24">
        <f t="shared" si="42"/>
        <v>60</v>
      </c>
      <c r="I155" s="24">
        <f t="shared" si="42"/>
        <v>75</v>
      </c>
      <c r="J155" s="24">
        <f t="shared" si="42"/>
        <v>100</v>
      </c>
      <c r="K155" s="24">
        <f t="shared" si="42"/>
        <v>90</v>
      </c>
      <c r="L155" s="24">
        <f t="shared" si="42"/>
        <v>60</v>
      </c>
      <c r="M155" s="24">
        <f>+M148+M149+M150+M151+M152+M153+M154</f>
        <v>55</v>
      </c>
      <c r="N155" s="24">
        <f>+N148+N149+N150+N151+N152+N153+N154</f>
        <v>50</v>
      </c>
      <c r="O155" s="24">
        <f>+O148+O149+O150+O151+O152+O153+O154</f>
        <v>60</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10</v>
      </c>
      <c r="E158" s="14">
        <v>9</v>
      </c>
      <c r="F158" s="14">
        <v>10</v>
      </c>
      <c r="G158" s="14">
        <v>11</v>
      </c>
      <c r="H158" s="14">
        <v>12</v>
      </c>
      <c r="I158" s="14">
        <v>15</v>
      </c>
      <c r="J158" s="14">
        <v>20</v>
      </c>
      <c r="K158" s="14">
        <v>18</v>
      </c>
      <c r="L158" s="14">
        <v>12</v>
      </c>
      <c r="M158" s="14">
        <v>11</v>
      </c>
      <c r="N158" s="14">
        <v>10</v>
      </c>
      <c r="O158" s="14">
        <v>12</v>
      </c>
    </row>
    <row r="159" spans="2:15" ht="14" customHeight="1" thickTop="1" thickBot="1" x14ac:dyDescent="0.2">
      <c r="B159" s="121">
        <v>3</v>
      </c>
      <c r="C159" s="102" t="str">
        <f t="shared" si="43"/>
        <v>11 h 30 à 14 h 30</v>
      </c>
      <c r="D159" s="14">
        <v>10</v>
      </c>
      <c r="E159" s="14">
        <v>9</v>
      </c>
      <c r="F159" s="14">
        <v>10</v>
      </c>
      <c r="G159" s="14">
        <v>11</v>
      </c>
      <c r="H159" s="14">
        <v>12</v>
      </c>
      <c r="I159" s="14">
        <v>15</v>
      </c>
      <c r="J159" s="14">
        <v>20</v>
      </c>
      <c r="K159" s="14">
        <v>18</v>
      </c>
      <c r="L159" s="14">
        <v>12</v>
      </c>
      <c r="M159" s="14">
        <v>11</v>
      </c>
      <c r="N159" s="14">
        <v>10</v>
      </c>
      <c r="O159" s="14">
        <v>12</v>
      </c>
    </row>
    <row r="160" spans="2:15" ht="14" customHeight="1" thickTop="1" thickBot="1" x14ac:dyDescent="0.2">
      <c r="B160" s="121">
        <v>4</v>
      </c>
      <c r="C160" s="102" t="str">
        <f t="shared" si="43"/>
        <v>14 h 30 à 17 h</v>
      </c>
      <c r="D160" s="14">
        <v>10</v>
      </c>
      <c r="E160" s="14">
        <v>9</v>
      </c>
      <c r="F160" s="14">
        <v>10</v>
      </c>
      <c r="G160" s="14">
        <v>11</v>
      </c>
      <c r="H160" s="14">
        <v>12</v>
      </c>
      <c r="I160" s="14">
        <v>15</v>
      </c>
      <c r="J160" s="14">
        <v>20</v>
      </c>
      <c r="K160" s="14">
        <v>18</v>
      </c>
      <c r="L160" s="14">
        <v>12</v>
      </c>
      <c r="M160" s="14">
        <v>11</v>
      </c>
      <c r="N160" s="14">
        <v>10</v>
      </c>
      <c r="O160" s="14">
        <v>12</v>
      </c>
    </row>
    <row r="161" spans="2:15" ht="14" customHeight="1" thickTop="1" thickBot="1" x14ac:dyDescent="0.2">
      <c r="B161" s="121">
        <v>5</v>
      </c>
      <c r="C161" s="102" t="str">
        <f t="shared" si="43"/>
        <v>17 h à 19 h</v>
      </c>
      <c r="D161" s="14">
        <v>10</v>
      </c>
      <c r="E161" s="14">
        <v>9</v>
      </c>
      <c r="F161" s="14">
        <v>10</v>
      </c>
      <c r="G161" s="14">
        <v>11</v>
      </c>
      <c r="H161" s="14">
        <v>12</v>
      </c>
      <c r="I161" s="14">
        <v>15</v>
      </c>
      <c r="J161" s="14">
        <v>20</v>
      </c>
      <c r="K161" s="14">
        <v>18</v>
      </c>
      <c r="L161" s="14">
        <v>12</v>
      </c>
      <c r="M161" s="14">
        <v>11</v>
      </c>
      <c r="N161" s="14">
        <v>10</v>
      </c>
      <c r="O161" s="14">
        <v>12</v>
      </c>
    </row>
    <row r="162" spans="2:15" ht="14" customHeight="1" thickTop="1" thickBot="1" x14ac:dyDescent="0.2">
      <c r="B162" s="121">
        <v>6</v>
      </c>
      <c r="C162" s="102" t="str">
        <f t="shared" si="43"/>
        <v>19 h à 23 h</v>
      </c>
      <c r="D162" s="14">
        <v>10</v>
      </c>
      <c r="E162" s="14">
        <v>9</v>
      </c>
      <c r="F162" s="14">
        <v>10</v>
      </c>
      <c r="G162" s="14">
        <v>11</v>
      </c>
      <c r="H162" s="14">
        <v>12</v>
      </c>
      <c r="I162" s="14">
        <v>15</v>
      </c>
      <c r="J162" s="14">
        <v>20</v>
      </c>
      <c r="K162" s="14">
        <v>18</v>
      </c>
      <c r="L162" s="14">
        <v>12</v>
      </c>
      <c r="M162" s="14">
        <v>11</v>
      </c>
      <c r="N162" s="14">
        <v>10</v>
      </c>
      <c r="O162" s="14">
        <v>12</v>
      </c>
    </row>
    <row r="163" spans="2:15" ht="14" customHeight="1" thickTop="1" thickBot="1" x14ac:dyDescent="0.2">
      <c r="B163" s="121">
        <v>7</v>
      </c>
      <c r="C163" s="102" t="str">
        <f t="shared" si="43"/>
        <v>23 h à 6 h</v>
      </c>
      <c r="D163" s="14">
        <v>0</v>
      </c>
      <c r="E163" s="14">
        <v>0</v>
      </c>
      <c r="F163" s="14">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50</v>
      </c>
      <c r="E164" s="24">
        <f t="shared" si="45"/>
        <v>45</v>
      </c>
      <c r="F164" s="24">
        <f t="shared" si="45"/>
        <v>50</v>
      </c>
      <c r="G164" s="24">
        <f t="shared" si="45"/>
        <v>55</v>
      </c>
      <c r="H164" s="24">
        <f t="shared" si="45"/>
        <v>60</v>
      </c>
      <c r="I164" s="24">
        <f t="shared" si="45"/>
        <v>75</v>
      </c>
      <c r="J164" s="24">
        <f t="shared" si="45"/>
        <v>100</v>
      </c>
      <c r="K164" s="24">
        <f t="shared" si="45"/>
        <v>90</v>
      </c>
      <c r="L164" s="24">
        <f t="shared" si="45"/>
        <v>60</v>
      </c>
      <c r="M164" s="24">
        <f>+M157+M158+M159+M160+M161+M162+M163</f>
        <v>55</v>
      </c>
      <c r="N164" s="24">
        <f>+N157+N158+N159+N160+N161+N162+N163</f>
        <v>50</v>
      </c>
      <c r="O164" s="24">
        <f>+O157+O158+O159+O160+O161+O162+O163</f>
        <v>60</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10</v>
      </c>
      <c r="E167" s="14">
        <v>9</v>
      </c>
      <c r="F167" s="14">
        <v>10</v>
      </c>
      <c r="G167" s="14">
        <v>11</v>
      </c>
      <c r="H167" s="14">
        <v>12</v>
      </c>
      <c r="I167" s="14">
        <v>15</v>
      </c>
      <c r="J167" s="14">
        <v>20</v>
      </c>
      <c r="K167" s="14">
        <v>18</v>
      </c>
      <c r="L167" s="14">
        <v>12</v>
      </c>
      <c r="M167" s="14">
        <v>11</v>
      </c>
      <c r="N167" s="14">
        <v>10</v>
      </c>
      <c r="O167" s="14">
        <v>12</v>
      </c>
    </row>
    <row r="168" spans="2:15" ht="14" customHeight="1" thickTop="1" thickBot="1" x14ac:dyDescent="0.2">
      <c r="B168" s="121">
        <v>3</v>
      </c>
      <c r="C168" s="102" t="str">
        <f t="shared" si="46"/>
        <v>11 h 30 à 14 h 30</v>
      </c>
      <c r="D168" s="14">
        <v>10</v>
      </c>
      <c r="E168" s="14">
        <v>9</v>
      </c>
      <c r="F168" s="14">
        <v>10</v>
      </c>
      <c r="G168" s="14">
        <v>11</v>
      </c>
      <c r="H168" s="14">
        <v>12</v>
      </c>
      <c r="I168" s="14">
        <v>15</v>
      </c>
      <c r="J168" s="14">
        <v>20</v>
      </c>
      <c r="K168" s="14">
        <v>18</v>
      </c>
      <c r="L168" s="14">
        <v>12</v>
      </c>
      <c r="M168" s="14">
        <v>11</v>
      </c>
      <c r="N168" s="14">
        <v>10</v>
      </c>
      <c r="O168" s="14">
        <v>12</v>
      </c>
    </row>
    <row r="169" spans="2:15" ht="14" customHeight="1" thickTop="1" thickBot="1" x14ac:dyDescent="0.2">
      <c r="B169" s="121">
        <v>4</v>
      </c>
      <c r="C169" s="102" t="str">
        <f t="shared" si="46"/>
        <v>14 h 30 à 17 h</v>
      </c>
      <c r="D169" s="14">
        <v>10</v>
      </c>
      <c r="E169" s="14">
        <v>9</v>
      </c>
      <c r="F169" s="14">
        <v>10</v>
      </c>
      <c r="G169" s="14">
        <v>11</v>
      </c>
      <c r="H169" s="14">
        <v>12</v>
      </c>
      <c r="I169" s="14">
        <v>15</v>
      </c>
      <c r="J169" s="14">
        <v>20</v>
      </c>
      <c r="K169" s="14">
        <v>18</v>
      </c>
      <c r="L169" s="14">
        <v>12</v>
      </c>
      <c r="M169" s="14">
        <v>11</v>
      </c>
      <c r="N169" s="14">
        <v>10</v>
      </c>
      <c r="O169" s="14">
        <v>12</v>
      </c>
    </row>
    <row r="170" spans="2:15" ht="14" customHeight="1" thickTop="1" thickBot="1" x14ac:dyDescent="0.2">
      <c r="B170" s="121">
        <v>5</v>
      </c>
      <c r="C170" s="102" t="str">
        <f t="shared" si="46"/>
        <v>17 h à 19 h</v>
      </c>
      <c r="D170" s="14">
        <v>10</v>
      </c>
      <c r="E170" s="14">
        <v>9</v>
      </c>
      <c r="F170" s="14">
        <v>10</v>
      </c>
      <c r="G170" s="14">
        <v>11</v>
      </c>
      <c r="H170" s="14">
        <v>12</v>
      </c>
      <c r="I170" s="14">
        <v>15</v>
      </c>
      <c r="J170" s="14">
        <v>20</v>
      </c>
      <c r="K170" s="14">
        <v>18</v>
      </c>
      <c r="L170" s="14">
        <v>12</v>
      </c>
      <c r="M170" s="14">
        <v>11</v>
      </c>
      <c r="N170" s="14">
        <v>10</v>
      </c>
      <c r="O170" s="14">
        <v>12</v>
      </c>
    </row>
    <row r="171" spans="2:15" ht="14" customHeight="1" thickTop="1" thickBot="1" x14ac:dyDescent="0.2">
      <c r="B171" s="121">
        <v>6</v>
      </c>
      <c r="C171" s="102" t="str">
        <f t="shared" si="46"/>
        <v>19 h à 23 h</v>
      </c>
      <c r="D171" s="14">
        <v>10</v>
      </c>
      <c r="E171" s="14">
        <v>9</v>
      </c>
      <c r="F171" s="14">
        <v>10</v>
      </c>
      <c r="G171" s="14">
        <v>11</v>
      </c>
      <c r="H171" s="14">
        <v>12</v>
      </c>
      <c r="I171" s="14">
        <v>15</v>
      </c>
      <c r="J171" s="14">
        <v>20</v>
      </c>
      <c r="K171" s="14">
        <v>18</v>
      </c>
      <c r="L171" s="14">
        <v>12</v>
      </c>
      <c r="M171" s="14">
        <v>11</v>
      </c>
      <c r="N171" s="14">
        <v>10</v>
      </c>
      <c r="O171" s="14">
        <v>12</v>
      </c>
    </row>
    <row r="172" spans="2:15" ht="14" customHeight="1" thickTop="1" thickBot="1" x14ac:dyDescent="0.2">
      <c r="B172" s="121">
        <v>7</v>
      </c>
      <c r="C172" s="102" t="str">
        <f t="shared" si="46"/>
        <v>23 h à 6 h</v>
      </c>
      <c r="D172" s="14">
        <v>0</v>
      </c>
      <c r="E172" s="14">
        <v>0</v>
      </c>
      <c r="F172" s="14">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50</v>
      </c>
      <c r="E173" s="24">
        <f t="shared" si="47"/>
        <v>45</v>
      </c>
      <c r="F173" s="24">
        <f t="shared" si="47"/>
        <v>50</v>
      </c>
      <c r="G173" s="24">
        <f t="shared" si="47"/>
        <v>55</v>
      </c>
      <c r="H173" s="24">
        <f t="shared" si="47"/>
        <v>60</v>
      </c>
      <c r="I173" s="24">
        <f t="shared" si="47"/>
        <v>75</v>
      </c>
      <c r="J173" s="24">
        <f t="shared" si="47"/>
        <v>100</v>
      </c>
      <c r="K173" s="24">
        <f t="shared" si="47"/>
        <v>90</v>
      </c>
      <c r="L173" s="24">
        <f t="shared" si="47"/>
        <v>60</v>
      </c>
      <c r="M173" s="24">
        <f>+M166+M167+M168+M169+M170+M171+M172</f>
        <v>55</v>
      </c>
      <c r="N173" s="24">
        <f>+N166+N167+N168+N169+N170+N171+N172</f>
        <v>50</v>
      </c>
      <c r="O173" s="24">
        <f>+O166+O167+O168+O169+O170+O171+O172</f>
        <v>60</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10</v>
      </c>
      <c r="E176" s="14">
        <v>9</v>
      </c>
      <c r="F176" s="14">
        <v>10</v>
      </c>
      <c r="G176" s="14">
        <v>11</v>
      </c>
      <c r="H176" s="14">
        <v>12</v>
      </c>
      <c r="I176" s="14">
        <v>15</v>
      </c>
      <c r="J176" s="14">
        <v>20</v>
      </c>
      <c r="K176" s="14">
        <v>18</v>
      </c>
      <c r="L176" s="14">
        <v>12</v>
      </c>
      <c r="M176" s="14">
        <v>11</v>
      </c>
      <c r="N176" s="14">
        <v>10</v>
      </c>
      <c r="O176" s="14">
        <v>12</v>
      </c>
    </row>
    <row r="177" spans="2:15" ht="14" customHeight="1" thickTop="1" thickBot="1" x14ac:dyDescent="0.2">
      <c r="B177" s="121">
        <v>3</v>
      </c>
      <c r="C177" s="102" t="str">
        <f t="shared" si="48"/>
        <v>11 h 30 à 14 h 30</v>
      </c>
      <c r="D177" s="22">
        <v>10</v>
      </c>
      <c r="E177" s="14">
        <v>9</v>
      </c>
      <c r="F177" s="14">
        <v>10</v>
      </c>
      <c r="G177" s="14">
        <v>11</v>
      </c>
      <c r="H177" s="14">
        <v>12</v>
      </c>
      <c r="I177" s="14">
        <v>15</v>
      </c>
      <c r="J177" s="14">
        <v>20</v>
      </c>
      <c r="K177" s="14">
        <v>18</v>
      </c>
      <c r="L177" s="14">
        <v>12</v>
      </c>
      <c r="M177" s="14">
        <v>11</v>
      </c>
      <c r="N177" s="14">
        <v>10</v>
      </c>
      <c r="O177" s="14">
        <v>12</v>
      </c>
    </row>
    <row r="178" spans="2:15" ht="14" customHeight="1" thickTop="1" thickBot="1" x14ac:dyDescent="0.2">
      <c r="B178" s="121">
        <v>4</v>
      </c>
      <c r="C178" s="102" t="str">
        <f t="shared" si="48"/>
        <v>14 h 30 à 17 h</v>
      </c>
      <c r="D178" s="22">
        <v>10</v>
      </c>
      <c r="E178" s="14">
        <v>9</v>
      </c>
      <c r="F178" s="14">
        <v>10</v>
      </c>
      <c r="G178" s="14">
        <v>11</v>
      </c>
      <c r="H178" s="14">
        <v>12</v>
      </c>
      <c r="I178" s="14">
        <v>15</v>
      </c>
      <c r="J178" s="14">
        <v>20</v>
      </c>
      <c r="K178" s="14">
        <v>18</v>
      </c>
      <c r="L178" s="14">
        <v>12</v>
      </c>
      <c r="M178" s="14">
        <v>11</v>
      </c>
      <c r="N178" s="14">
        <v>10</v>
      </c>
      <c r="O178" s="14">
        <v>12</v>
      </c>
    </row>
    <row r="179" spans="2:15" ht="14" customHeight="1" thickTop="1" thickBot="1" x14ac:dyDescent="0.2">
      <c r="B179" s="121">
        <v>5</v>
      </c>
      <c r="C179" s="102" t="str">
        <f t="shared" si="48"/>
        <v>17 h à 19 h</v>
      </c>
      <c r="D179" s="22">
        <v>10</v>
      </c>
      <c r="E179" s="14">
        <v>9</v>
      </c>
      <c r="F179" s="14">
        <v>10</v>
      </c>
      <c r="G179" s="14">
        <v>11</v>
      </c>
      <c r="H179" s="14">
        <v>12</v>
      </c>
      <c r="I179" s="14">
        <v>15</v>
      </c>
      <c r="J179" s="14">
        <v>20</v>
      </c>
      <c r="K179" s="14">
        <v>18</v>
      </c>
      <c r="L179" s="14">
        <v>12</v>
      </c>
      <c r="M179" s="14">
        <v>11</v>
      </c>
      <c r="N179" s="14">
        <v>10</v>
      </c>
      <c r="O179" s="14">
        <v>12</v>
      </c>
    </row>
    <row r="180" spans="2:15" ht="14" customHeight="1" thickTop="1" thickBot="1" x14ac:dyDescent="0.2">
      <c r="B180" s="121">
        <v>6</v>
      </c>
      <c r="C180" s="102" t="str">
        <f t="shared" si="48"/>
        <v>19 h à 23 h</v>
      </c>
      <c r="D180" s="22">
        <v>10</v>
      </c>
      <c r="E180" s="14">
        <v>9</v>
      </c>
      <c r="F180" s="14">
        <v>10</v>
      </c>
      <c r="G180" s="14">
        <v>11</v>
      </c>
      <c r="H180" s="14">
        <v>12</v>
      </c>
      <c r="I180" s="14">
        <v>15</v>
      </c>
      <c r="J180" s="14">
        <v>20</v>
      </c>
      <c r="K180" s="14">
        <v>18</v>
      </c>
      <c r="L180" s="14">
        <v>12</v>
      </c>
      <c r="M180" s="14">
        <v>11</v>
      </c>
      <c r="N180" s="14">
        <v>10</v>
      </c>
      <c r="O180" s="14">
        <v>12</v>
      </c>
    </row>
    <row r="181" spans="2:15" ht="14" customHeight="1" thickTop="1" thickBot="1" x14ac:dyDescent="0.2">
      <c r="B181" s="121">
        <v>7</v>
      </c>
      <c r="C181" s="102" t="str">
        <f t="shared" si="48"/>
        <v>23 h à 6 h</v>
      </c>
      <c r="D181" s="14">
        <v>0</v>
      </c>
      <c r="E181" s="14">
        <v>0</v>
      </c>
      <c r="F181" s="14">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50</v>
      </c>
      <c r="E182" s="24">
        <f t="shared" si="50"/>
        <v>45</v>
      </c>
      <c r="F182" s="24">
        <f t="shared" si="50"/>
        <v>50</v>
      </c>
      <c r="G182" s="24">
        <f t="shared" si="50"/>
        <v>55</v>
      </c>
      <c r="H182" s="24">
        <f t="shared" si="50"/>
        <v>60</v>
      </c>
      <c r="I182" s="24">
        <f t="shared" si="50"/>
        <v>75</v>
      </c>
      <c r="J182" s="24">
        <f t="shared" si="50"/>
        <v>100</v>
      </c>
      <c r="K182" s="24">
        <f t="shared" si="50"/>
        <v>90</v>
      </c>
      <c r="L182" s="24">
        <f t="shared" si="50"/>
        <v>60</v>
      </c>
      <c r="M182" s="24">
        <f>+M175+M176+M177+M178+M179+M180+M181</f>
        <v>55</v>
      </c>
      <c r="N182" s="24">
        <f>+N175+N176+N177+N178+N179+N180+N181</f>
        <v>50</v>
      </c>
      <c r="O182" s="24">
        <f>+O175+O176+O177+O178+O179+O180+O181</f>
        <v>60</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10</v>
      </c>
      <c r="E185" s="14">
        <v>9</v>
      </c>
      <c r="F185" s="14">
        <v>10</v>
      </c>
      <c r="G185" s="14">
        <v>11</v>
      </c>
      <c r="H185" s="14">
        <v>12</v>
      </c>
      <c r="I185" s="14">
        <v>15</v>
      </c>
      <c r="J185" s="14">
        <v>20</v>
      </c>
      <c r="K185" s="14">
        <v>18</v>
      </c>
      <c r="L185" s="14">
        <v>12</v>
      </c>
      <c r="M185" s="14">
        <v>11</v>
      </c>
      <c r="N185" s="14">
        <v>10</v>
      </c>
      <c r="O185" s="14">
        <v>12</v>
      </c>
    </row>
    <row r="186" spans="2:15" ht="14" customHeight="1" thickTop="1" thickBot="1" x14ac:dyDescent="0.2">
      <c r="B186" s="18">
        <v>3</v>
      </c>
      <c r="C186" s="102" t="str">
        <f t="shared" si="51"/>
        <v>11 h 30 à 14 h 30</v>
      </c>
      <c r="D186" s="22">
        <v>10</v>
      </c>
      <c r="E186" s="14">
        <v>9</v>
      </c>
      <c r="F186" s="14">
        <v>10</v>
      </c>
      <c r="G186" s="14">
        <v>11</v>
      </c>
      <c r="H186" s="14">
        <v>12</v>
      </c>
      <c r="I186" s="14">
        <v>15</v>
      </c>
      <c r="J186" s="14">
        <v>20</v>
      </c>
      <c r="K186" s="14">
        <v>18</v>
      </c>
      <c r="L186" s="14">
        <v>12</v>
      </c>
      <c r="M186" s="14">
        <v>11</v>
      </c>
      <c r="N186" s="14">
        <v>10</v>
      </c>
      <c r="O186" s="14">
        <v>12</v>
      </c>
    </row>
    <row r="187" spans="2:15" ht="14" customHeight="1" thickTop="1" thickBot="1" x14ac:dyDescent="0.2">
      <c r="B187" s="18">
        <v>4</v>
      </c>
      <c r="C187" s="102" t="str">
        <f t="shared" si="51"/>
        <v>14 h 30 à 17 h</v>
      </c>
      <c r="D187" s="22">
        <v>10</v>
      </c>
      <c r="E187" s="14">
        <v>9</v>
      </c>
      <c r="F187" s="14">
        <v>10</v>
      </c>
      <c r="G187" s="14">
        <v>11</v>
      </c>
      <c r="H187" s="14">
        <v>12</v>
      </c>
      <c r="I187" s="14">
        <v>15</v>
      </c>
      <c r="J187" s="14">
        <v>20</v>
      </c>
      <c r="K187" s="14">
        <v>18</v>
      </c>
      <c r="L187" s="14">
        <v>12</v>
      </c>
      <c r="M187" s="14">
        <v>11</v>
      </c>
      <c r="N187" s="14">
        <v>10</v>
      </c>
      <c r="O187" s="14">
        <v>12</v>
      </c>
    </row>
    <row r="188" spans="2:15" ht="14" customHeight="1" thickTop="1" thickBot="1" x14ac:dyDescent="0.2">
      <c r="B188" s="18">
        <v>5</v>
      </c>
      <c r="C188" s="102" t="str">
        <f t="shared" si="51"/>
        <v>17 h à 19 h</v>
      </c>
      <c r="D188" s="22">
        <v>10</v>
      </c>
      <c r="E188" s="14">
        <v>9</v>
      </c>
      <c r="F188" s="14">
        <v>10</v>
      </c>
      <c r="G188" s="14">
        <v>11</v>
      </c>
      <c r="H188" s="14">
        <v>12</v>
      </c>
      <c r="I188" s="14">
        <v>15</v>
      </c>
      <c r="J188" s="14">
        <v>20</v>
      </c>
      <c r="K188" s="14">
        <v>18</v>
      </c>
      <c r="L188" s="14">
        <v>12</v>
      </c>
      <c r="M188" s="14">
        <v>11</v>
      </c>
      <c r="N188" s="14">
        <v>10</v>
      </c>
      <c r="O188" s="14">
        <v>12</v>
      </c>
    </row>
    <row r="189" spans="2:15" ht="14" customHeight="1" thickTop="1" thickBot="1" x14ac:dyDescent="0.2">
      <c r="B189" s="18">
        <v>6</v>
      </c>
      <c r="C189" s="102" t="str">
        <f t="shared" si="51"/>
        <v>19 h à 23 h</v>
      </c>
      <c r="D189" s="22">
        <v>10</v>
      </c>
      <c r="E189" s="14">
        <v>9</v>
      </c>
      <c r="F189" s="14">
        <v>10</v>
      </c>
      <c r="G189" s="14">
        <v>11</v>
      </c>
      <c r="H189" s="14">
        <v>12</v>
      </c>
      <c r="I189" s="14">
        <v>15</v>
      </c>
      <c r="J189" s="14">
        <v>20</v>
      </c>
      <c r="K189" s="14">
        <v>18</v>
      </c>
      <c r="L189" s="14">
        <v>12</v>
      </c>
      <c r="M189" s="14">
        <v>11</v>
      </c>
      <c r="N189" s="14">
        <v>10</v>
      </c>
      <c r="O189" s="14">
        <v>12</v>
      </c>
    </row>
    <row r="190" spans="2:15" ht="14" customHeight="1" thickTop="1" thickBot="1" x14ac:dyDescent="0.2">
      <c r="B190" s="18">
        <v>7</v>
      </c>
      <c r="C190" s="102" t="str">
        <f t="shared" si="51"/>
        <v>23 h à 6 h</v>
      </c>
      <c r="D190" s="14">
        <v>0</v>
      </c>
      <c r="E190" s="14">
        <v>0</v>
      </c>
      <c r="F190" s="14">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50</v>
      </c>
      <c r="E191" s="24">
        <f t="shared" si="53"/>
        <v>45</v>
      </c>
      <c r="F191" s="24">
        <f t="shared" si="53"/>
        <v>50</v>
      </c>
      <c r="G191" s="24">
        <f t="shared" si="53"/>
        <v>55</v>
      </c>
      <c r="H191" s="24">
        <f t="shared" si="53"/>
        <v>60</v>
      </c>
      <c r="I191" s="24">
        <f t="shared" si="53"/>
        <v>75</v>
      </c>
      <c r="J191" s="24">
        <f t="shared" si="53"/>
        <v>100</v>
      </c>
      <c r="K191" s="24">
        <f t="shared" si="53"/>
        <v>90</v>
      </c>
      <c r="L191" s="24">
        <f t="shared" si="53"/>
        <v>60</v>
      </c>
      <c r="M191" s="24">
        <f>+M184+M185+M186+M187+M188+M189+M190</f>
        <v>55</v>
      </c>
      <c r="N191" s="24">
        <f>+N184+N185+N186+N187+N188+N189+N190</f>
        <v>50</v>
      </c>
      <c r="O191" s="24">
        <f>+O184+O185+O186+O187+O188+O189+O190</f>
        <v>60</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10</v>
      </c>
      <c r="E194" s="14">
        <v>9</v>
      </c>
      <c r="F194" s="14">
        <v>10</v>
      </c>
      <c r="G194" s="14">
        <v>11</v>
      </c>
      <c r="H194" s="14">
        <v>12</v>
      </c>
      <c r="I194" s="14">
        <v>15</v>
      </c>
      <c r="J194" s="14">
        <v>20</v>
      </c>
      <c r="K194" s="14">
        <v>18</v>
      </c>
      <c r="L194" s="14">
        <v>12</v>
      </c>
      <c r="M194" s="14">
        <v>11</v>
      </c>
      <c r="N194" s="14">
        <v>10</v>
      </c>
      <c r="O194" s="14">
        <v>12</v>
      </c>
    </row>
    <row r="195" spans="2:15" ht="14" customHeight="1" thickTop="1" thickBot="1" x14ac:dyDescent="0.2">
      <c r="B195" s="18">
        <v>3</v>
      </c>
      <c r="C195" s="102" t="str">
        <f t="shared" si="54"/>
        <v>11 h 30 à 14 h 30</v>
      </c>
      <c r="D195" s="22">
        <v>10</v>
      </c>
      <c r="E195" s="14">
        <v>9</v>
      </c>
      <c r="F195" s="14">
        <v>10</v>
      </c>
      <c r="G195" s="14">
        <v>11</v>
      </c>
      <c r="H195" s="14">
        <v>12</v>
      </c>
      <c r="I195" s="14">
        <v>15</v>
      </c>
      <c r="J195" s="14">
        <v>20</v>
      </c>
      <c r="K195" s="14">
        <v>18</v>
      </c>
      <c r="L195" s="14">
        <v>12</v>
      </c>
      <c r="M195" s="14">
        <v>11</v>
      </c>
      <c r="N195" s="14">
        <v>10</v>
      </c>
      <c r="O195" s="14">
        <v>12</v>
      </c>
    </row>
    <row r="196" spans="2:15" ht="14" customHeight="1" thickTop="1" thickBot="1" x14ac:dyDescent="0.2">
      <c r="B196" s="18">
        <v>4</v>
      </c>
      <c r="C196" s="102" t="str">
        <f t="shared" si="54"/>
        <v>14 h 30 à 17 h</v>
      </c>
      <c r="D196" s="22">
        <v>10</v>
      </c>
      <c r="E196" s="14">
        <v>9</v>
      </c>
      <c r="F196" s="14">
        <v>10</v>
      </c>
      <c r="G196" s="14">
        <v>11</v>
      </c>
      <c r="H196" s="14">
        <v>12</v>
      </c>
      <c r="I196" s="14">
        <v>15</v>
      </c>
      <c r="J196" s="14">
        <v>20</v>
      </c>
      <c r="K196" s="14">
        <v>18</v>
      </c>
      <c r="L196" s="14">
        <v>12</v>
      </c>
      <c r="M196" s="14">
        <v>11</v>
      </c>
      <c r="N196" s="14">
        <v>10</v>
      </c>
      <c r="O196" s="14">
        <v>12</v>
      </c>
    </row>
    <row r="197" spans="2:15" ht="14" customHeight="1" thickTop="1" thickBot="1" x14ac:dyDescent="0.2">
      <c r="B197" s="18">
        <v>5</v>
      </c>
      <c r="C197" s="102" t="str">
        <f t="shared" si="54"/>
        <v>17 h à 19 h</v>
      </c>
      <c r="D197" s="22">
        <v>10</v>
      </c>
      <c r="E197" s="14">
        <v>9</v>
      </c>
      <c r="F197" s="14">
        <v>10</v>
      </c>
      <c r="G197" s="14">
        <v>11</v>
      </c>
      <c r="H197" s="14">
        <v>12</v>
      </c>
      <c r="I197" s="14">
        <v>15</v>
      </c>
      <c r="J197" s="14">
        <v>20</v>
      </c>
      <c r="K197" s="14">
        <v>18</v>
      </c>
      <c r="L197" s="14">
        <v>12</v>
      </c>
      <c r="M197" s="14">
        <v>11</v>
      </c>
      <c r="N197" s="14">
        <v>10</v>
      </c>
      <c r="O197" s="14">
        <v>12</v>
      </c>
    </row>
    <row r="198" spans="2:15" ht="14" customHeight="1" thickTop="1" thickBot="1" x14ac:dyDescent="0.2">
      <c r="B198" s="18">
        <v>6</v>
      </c>
      <c r="C198" s="102" t="str">
        <f t="shared" si="54"/>
        <v>19 h à 23 h</v>
      </c>
      <c r="D198" s="22">
        <v>10</v>
      </c>
      <c r="E198" s="14">
        <v>9</v>
      </c>
      <c r="F198" s="14">
        <v>10</v>
      </c>
      <c r="G198" s="14">
        <v>11</v>
      </c>
      <c r="H198" s="14">
        <v>12</v>
      </c>
      <c r="I198" s="14">
        <v>15</v>
      </c>
      <c r="J198" s="14">
        <v>20</v>
      </c>
      <c r="K198" s="14">
        <v>18</v>
      </c>
      <c r="L198" s="14">
        <v>12</v>
      </c>
      <c r="M198" s="14">
        <v>11</v>
      </c>
      <c r="N198" s="14">
        <v>10</v>
      </c>
      <c r="O198" s="14">
        <v>12</v>
      </c>
    </row>
    <row r="199" spans="2:15" ht="14" customHeight="1" thickTop="1" thickBot="1" x14ac:dyDescent="0.2">
      <c r="B199" s="18">
        <v>7</v>
      </c>
      <c r="C199" s="102" t="str">
        <f t="shared" si="54"/>
        <v>23 h à 6 h</v>
      </c>
      <c r="D199" s="14">
        <v>0</v>
      </c>
      <c r="E199" s="14">
        <v>0</v>
      </c>
      <c r="F199" s="14">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50</v>
      </c>
      <c r="E200" s="24">
        <f t="shared" si="56"/>
        <v>45</v>
      </c>
      <c r="F200" s="24">
        <f t="shared" si="56"/>
        <v>50</v>
      </c>
      <c r="G200" s="24">
        <f t="shared" si="56"/>
        <v>55</v>
      </c>
      <c r="H200" s="24">
        <f t="shared" si="56"/>
        <v>60</v>
      </c>
      <c r="I200" s="24">
        <f t="shared" si="56"/>
        <v>75</v>
      </c>
      <c r="J200" s="24">
        <f t="shared" si="56"/>
        <v>100</v>
      </c>
      <c r="K200" s="24">
        <f t="shared" si="56"/>
        <v>90</v>
      </c>
      <c r="L200" s="24">
        <f t="shared" si="56"/>
        <v>60</v>
      </c>
      <c r="M200" s="24">
        <f>+M193+M194+M195+M196+M197+M198+M199</f>
        <v>55</v>
      </c>
      <c r="N200" s="24">
        <f>+N193+N194+N195+N196+N197+N198+N199</f>
        <v>50</v>
      </c>
      <c r="O200" s="24">
        <f>+O193+O194+O195+O196+O197+O198+O199</f>
        <v>60</v>
      </c>
    </row>
    <row r="201" spans="2:15" ht="14" customHeight="1" thickTop="1" thickBot="1" x14ac:dyDescent="0.2">
      <c r="B201" s="793" t="s">
        <v>19</v>
      </c>
      <c r="C201" s="794"/>
      <c r="D201" s="794"/>
      <c r="E201" s="794"/>
      <c r="F201" s="794"/>
      <c r="G201" s="794"/>
      <c r="H201" s="794"/>
      <c r="I201" s="794"/>
      <c r="J201" s="794"/>
      <c r="K201" s="794"/>
      <c r="L201" s="794"/>
      <c r="M201" s="794"/>
      <c r="N201" s="794"/>
      <c r="O201" s="795"/>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10</v>
      </c>
      <c r="E204" s="14">
        <v>9</v>
      </c>
      <c r="F204" s="14">
        <v>10</v>
      </c>
      <c r="G204" s="14">
        <v>11</v>
      </c>
      <c r="H204" s="14">
        <v>12</v>
      </c>
      <c r="I204" s="14">
        <v>15</v>
      </c>
      <c r="J204" s="14">
        <v>20</v>
      </c>
      <c r="K204" s="14">
        <v>18</v>
      </c>
      <c r="L204" s="14">
        <v>12</v>
      </c>
      <c r="M204" s="14">
        <v>11</v>
      </c>
      <c r="N204" s="14">
        <v>10</v>
      </c>
      <c r="O204" s="14">
        <v>12</v>
      </c>
    </row>
    <row r="205" spans="2:15" ht="14" customHeight="1" x14ac:dyDescent="0.15">
      <c r="B205" s="13">
        <v>3</v>
      </c>
      <c r="C205" s="102" t="str">
        <f t="shared" si="57"/>
        <v>11 h 30 à 14 h 30</v>
      </c>
      <c r="D205" s="22">
        <v>10</v>
      </c>
      <c r="E205" s="14">
        <v>9</v>
      </c>
      <c r="F205" s="14">
        <v>10</v>
      </c>
      <c r="G205" s="14">
        <v>11</v>
      </c>
      <c r="H205" s="14">
        <v>12</v>
      </c>
      <c r="I205" s="14">
        <v>15</v>
      </c>
      <c r="J205" s="14">
        <v>20</v>
      </c>
      <c r="K205" s="14">
        <v>18</v>
      </c>
      <c r="L205" s="14">
        <v>12</v>
      </c>
      <c r="M205" s="14">
        <v>11</v>
      </c>
      <c r="N205" s="14">
        <v>10</v>
      </c>
      <c r="O205" s="14">
        <v>12</v>
      </c>
    </row>
    <row r="206" spans="2:15" ht="14" customHeight="1" x14ac:dyDescent="0.15">
      <c r="B206" s="13">
        <v>4</v>
      </c>
      <c r="C206" s="102" t="str">
        <f t="shared" si="57"/>
        <v>14 h 30 à 17 h</v>
      </c>
      <c r="D206" s="22">
        <v>10</v>
      </c>
      <c r="E206" s="14">
        <v>9</v>
      </c>
      <c r="F206" s="14">
        <v>10</v>
      </c>
      <c r="G206" s="14">
        <v>11</v>
      </c>
      <c r="H206" s="14">
        <v>12</v>
      </c>
      <c r="I206" s="14">
        <v>15</v>
      </c>
      <c r="J206" s="14">
        <v>20</v>
      </c>
      <c r="K206" s="14">
        <v>18</v>
      </c>
      <c r="L206" s="14">
        <v>12</v>
      </c>
      <c r="M206" s="14">
        <v>11</v>
      </c>
      <c r="N206" s="14">
        <v>10</v>
      </c>
      <c r="O206" s="14">
        <v>12</v>
      </c>
    </row>
    <row r="207" spans="2:15" ht="14" customHeight="1" x14ac:dyDescent="0.15">
      <c r="B207" s="13">
        <v>5</v>
      </c>
      <c r="C207" s="102" t="str">
        <f t="shared" si="57"/>
        <v>17 h à 19 h</v>
      </c>
      <c r="D207" s="22">
        <v>10</v>
      </c>
      <c r="E207" s="14">
        <v>9</v>
      </c>
      <c r="F207" s="14">
        <v>10</v>
      </c>
      <c r="G207" s="14">
        <v>11</v>
      </c>
      <c r="H207" s="14">
        <v>12</v>
      </c>
      <c r="I207" s="14">
        <v>15</v>
      </c>
      <c r="J207" s="14">
        <v>20</v>
      </c>
      <c r="K207" s="14">
        <v>18</v>
      </c>
      <c r="L207" s="14">
        <v>12</v>
      </c>
      <c r="M207" s="14">
        <v>11</v>
      </c>
      <c r="N207" s="14">
        <v>10</v>
      </c>
      <c r="O207" s="14">
        <v>12</v>
      </c>
    </row>
    <row r="208" spans="2:15" ht="14" customHeight="1" x14ac:dyDescent="0.15">
      <c r="B208" s="13">
        <v>6</v>
      </c>
      <c r="C208" s="102" t="str">
        <f t="shared" si="57"/>
        <v>19 h à 23 h</v>
      </c>
      <c r="D208" s="22">
        <v>10</v>
      </c>
      <c r="E208" s="14">
        <v>9</v>
      </c>
      <c r="F208" s="14">
        <v>10</v>
      </c>
      <c r="G208" s="14">
        <v>11</v>
      </c>
      <c r="H208" s="14">
        <v>12</v>
      </c>
      <c r="I208" s="14">
        <v>15</v>
      </c>
      <c r="J208" s="14">
        <v>20</v>
      </c>
      <c r="K208" s="14">
        <v>18</v>
      </c>
      <c r="L208" s="14">
        <v>12</v>
      </c>
      <c r="M208" s="14">
        <v>11</v>
      </c>
      <c r="N208" s="14">
        <v>10</v>
      </c>
      <c r="O208" s="14">
        <v>12</v>
      </c>
    </row>
    <row r="209" spans="2:15" ht="14" customHeight="1" x14ac:dyDescent="0.15">
      <c r="B209" s="13">
        <v>7</v>
      </c>
      <c r="C209" s="102" t="str">
        <f t="shared" si="57"/>
        <v>23 h à 6 h</v>
      </c>
      <c r="D209" s="14">
        <v>0</v>
      </c>
      <c r="E209" s="14">
        <v>0</v>
      </c>
      <c r="F209" s="14">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50</v>
      </c>
      <c r="E210" s="24">
        <f t="shared" si="58"/>
        <v>45</v>
      </c>
      <c r="F210" s="24">
        <f t="shared" si="58"/>
        <v>50</v>
      </c>
      <c r="G210" s="24">
        <f t="shared" si="58"/>
        <v>55</v>
      </c>
      <c r="H210" s="24">
        <f t="shared" si="58"/>
        <v>60</v>
      </c>
      <c r="I210" s="24">
        <f t="shared" si="58"/>
        <v>75</v>
      </c>
      <c r="J210" s="24">
        <f t="shared" si="58"/>
        <v>100</v>
      </c>
      <c r="K210" s="24">
        <f t="shared" si="58"/>
        <v>90</v>
      </c>
      <c r="L210" s="24">
        <f t="shared" si="58"/>
        <v>60</v>
      </c>
      <c r="M210" s="24">
        <f>+M203+M204+M205+M206+M207+M208+M209</f>
        <v>55</v>
      </c>
      <c r="N210" s="24">
        <f>+N203+N204+N205+N206+N207+N208+N209</f>
        <v>50</v>
      </c>
      <c r="O210" s="24">
        <f>+O203+O204+O205+O206+O207+O208+O209</f>
        <v>60</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10</v>
      </c>
      <c r="E213" s="14">
        <v>9</v>
      </c>
      <c r="F213" s="14">
        <v>10</v>
      </c>
      <c r="G213" s="14">
        <v>11</v>
      </c>
      <c r="H213" s="14">
        <v>12</v>
      </c>
      <c r="I213" s="14">
        <v>15</v>
      </c>
      <c r="J213" s="14">
        <v>20</v>
      </c>
      <c r="K213" s="14">
        <v>18</v>
      </c>
      <c r="L213" s="14">
        <v>12</v>
      </c>
      <c r="M213" s="14">
        <v>11</v>
      </c>
      <c r="N213" s="14">
        <v>10</v>
      </c>
      <c r="O213" s="14">
        <v>12</v>
      </c>
    </row>
    <row r="214" spans="2:15" ht="14" customHeight="1" thickTop="1" thickBot="1" x14ac:dyDescent="0.2">
      <c r="B214" s="121">
        <v>3</v>
      </c>
      <c r="C214" s="102" t="str">
        <f t="shared" si="59"/>
        <v>11 h 30 à 14 h 30</v>
      </c>
      <c r="D214" s="22">
        <v>10</v>
      </c>
      <c r="E214" s="14">
        <v>9</v>
      </c>
      <c r="F214" s="14">
        <v>10</v>
      </c>
      <c r="G214" s="14">
        <v>11</v>
      </c>
      <c r="H214" s="14">
        <v>12</v>
      </c>
      <c r="I214" s="14">
        <v>15</v>
      </c>
      <c r="J214" s="14">
        <v>20</v>
      </c>
      <c r="K214" s="14">
        <v>18</v>
      </c>
      <c r="L214" s="14">
        <v>12</v>
      </c>
      <c r="M214" s="14">
        <v>11</v>
      </c>
      <c r="N214" s="14">
        <v>10</v>
      </c>
      <c r="O214" s="14">
        <v>12</v>
      </c>
    </row>
    <row r="215" spans="2:15" ht="14" customHeight="1" thickTop="1" thickBot="1" x14ac:dyDescent="0.2">
      <c r="B215" s="121">
        <v>4</v>
      </c>
      <c r="C215" s="102" t="str">
        <f t="shared" si="59"/>
        <v>14 h 30 à 17 h</v>
      </c>
      <c r="D215" s="22">
        <v>10</v>
      </c>
      <c r="E215" s="14">
        <v>9</v>
      </c>
      <c r="F215" s="14">
        <v>10</v>
      </c>
      <c r="G215" s="14">
        <v>11</v>
      </c>
      <c r="H215" s="14">
        <v>12</v>
      </c>
      <c r="I215" s="14">
        <v>15</v>
      </c>
      <c r="J215" s="14">
        <v>20</v>
      </c>
      <c r="K215" s="14">
        <v>18</v>
      </c>
      <c r="L215" s="14">
        <v>12</v>
      </c>
      <c r="M215" s="14">
        <v>11</v>
      </c>
      <c r="N215" s="14">
        <v>10</v>
      </c>
      <c r="O215" s="14">
        <v>12</v>
      </c>
    </row>
    <row r="216" spans="2:15" ht="14" customHeight="1" thickTop="1" thickBot="1" x14ac:dyDescent="0.2">
      <c r="B216" s="121">
        <v>5</v>
      </c>
      <c r="C216" s="102" t="str">
        <f t="shared" si="59"/>
        <v>17 h à 19 h</v>
      </c>
      <c r="D216" s="22">
        <v>10</v>
      </c>
      <c r="E216" s="14">
        <v>9</v>
      </c>
      <c r="F216" s="14">
        <v>10</v>
      </c>
      <c r="G216" s="14">
        <v>11</v>
      </c>
      <c r="H216" s="14">
        <v>12</v>
      </c>
      <c r="I216" s="14">
        <v>15</v>
      </c>
      <c r="J216" s="14">
        <v>20</v>
      </c>
      <c r="K216" s="14">
        <v>18</v>
      </c>
      <c r="L216" s="14">
        <v>12</v>
      </c>
      <c r="M216" s="14">
        <v>11</v>
      </c>
      <c r="N216" s="14">
        <v>10</v>
      </c>
      <c r="O216" s="14">
        <v>12</v>
      </c>
    </row>
    <row r="217" spans="2:15" ht="14" customHeight="1" thickTop="1" thickBot="1" x14ac:dyDescent="0.2">
      <c r="B217" s="121">
        <v>6</v>
      </c>
      <c r="C217" s="102" t="str">
        <f t="shared" si="59"/>
        <v>19 h à 23 h</v>
      </c>
      <c r="D217" s="22">
        <v>10</v>
      </c>
      <c r="E217" s="14">
        <v>9</v>
      </c>
      <c r="F217" s="14">
        <v>10</v>
      </c>
      <c r="G217" s="14">
        <v>11</v>
      </c>
      <c r="H217" s="14">
        <v>12</v>
      </c>
      <c r="I217" s="14">
        <v>15</v>
      </c>
      <c r="J217" s="14">
        <v>20</v>
      </c>
      <c r="K217" s="14">
        <v>18</v>
      </c>
      <c r="L217" s="14">
        <v>12</v>
      </c>
      <c r="M217" s="14">
        <v>11</v>
      </c>
      <c r="N217" s="14">
        <v>10</v>
      </c>
      <c r="O217" s="14">
        <v>12</v>
      </c>
    </row>
    <row r="218" spans="2:15" ht="14" customHeight="1" thickTop="1" thickBot="1" x14ac:dyDescent="0.2">
      <c r="B218" s="121">
        <v>7</v>
      </c>
      <c r="C218" s="102" t="str">
        <f t="shared" si="59"/>
        <v>23 h à 6 h</v>
      </c>
      <c r="D218" s="14">
        <v>0</v>
      </c>
      <c r="E218" s="14">
        <v>0</v>
      </c>
      <c r="F218" s="14">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50</v>
      </c>
      <c r="E219" s="24">
        <f t="shared" si="61"/>
        <v>45</v>
      </c>
      <c r="F219" s="24">
        <f t="shared" si="61"/>
        <v>50</v>
      </c>
      <c r="G219" s="24">
        <f t="shared" si="61"/>
        <v>55</v>
      </c>
      <c r="H219" s="24">
        <f t="shared" si="61"/>
        <v>60</v>
      </c>
      <c r="I219" s="24">
        <f t="shared" si="61"/>
        <v>75</v>
      </c>
      <c r="J219" s="24">
        <f t="shared" si="61"/>
        <v>100</v>
      </c>
      <c r="K219" s="24">
        <f t="shared" si="61"/>
        <v>90</v>
      </c>
      <c r="L219" s="24">
        <f t="shared" si="61"/>
        <v>60</v>
      </c>
      <c r="M219" s="24">
        <f>+M212+M213+M214+M215+M216+M217+M218</f>
        <v>55</v>
      </c>
      <c r="N219" s="24">
        <f>+N212+N213+N214+N215+N216+N217+N218</f>
        <v>50</v>
      </c>
      <c r="O219" s="24">
        <f>+O212+O213+O214+O215+O216+O217+O218</f>
        <v>60</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10</v>
      </c>
      <c r="E222" s="14">
        <v>9</v>
      </c>
      <c r="F222" s="14">
        <v>10</v>
      </c>
      <c r="G222" s="14">
        <v>11</v>
      </c>
      <c r="H222" s="14">
        <v>12</v>
      </c>
      <c r="I222" s="14">
        <v>15</v>
      </c>
      <c r="J222" s="14">
        <v>20</v>
      </c>
      <c r="K222" s="14">
        <v>18</v>
      </c>
      <c r="L222" s="14">
        <v>12</v>
      </c>
      <c r="M222" s="14">
        <v>11</v>
      </c>
      <c r="N222" s="14">
        <v>10</v>
      </c>
      <c r="O222" s="14">
        <v>12</v>
      </c>
    </row>
    <row r="223" spans="2:15" ht="14" customHeight="1" thickTop="1" thickBot="1" x14ac:dyDescent="0.2">
      <c r="B223" s="121">
        <v>3</v>
      </c>
      <c r="C223" s="102" t="str">
        <f t="shared" si="62"/>
        <v>11 h 30 à 14 h 30</v>
      </c>
      <c r="D223" s="22">
        <v>10</v>
      </c>
      <c r="E223" s="14">
        <v>9</v>
      </c>
      <c r="F223" s="14">
        <v>10</v>
      </c>
      <c r="G223" s="14">
        <v>11</v>
      </c>
      <c r="H223" s="14">
        <v>12</v>
      </c>
      <c r="I223" s="14">
        <v>15</v>
      </c>
      <c r="J223" s="14">
        <v>20</v>
      </c>
      <c r="K223" s="14">
        <v>18</v>
      </c>
      <c r="L223" s="14">
        <v>12</v>
      </c>
      <c r="M223" s="14">
        <v>11</v>
      </c>
      <c r="N223" s="14">
        <v>10</v>
      </c>
      <c r="O223" s="14">
        <v>12</v>
      </c>
    </row>
    <row r="224" spans="2:15" ht="14" customHeight="1" thickTop="1" thickBot="1" x14ac:dyDescent="0.2">
      <c r="B224" s="121">
        <v>4</v>
      </c>
      <c r="C224" s="102" t="str">
        <f t="shared" si="62"/>
        <v>14 h 30 à 17 h</v>
      </c>
      <c r="D224" s="22">
        <v>10</v>
      </c>
      <c r="E224" s="14">
        <v>9</v>
      </c>
      <c r="F224" s="14">
        <v>10</v>
      </c>
      <c r="G224" s="14">
        <v>11</v>
      </c>
      <c r="H224" s="14">
        <v>12</v>
      </c>
      <c r="I224" s="14">
        <v>15</v>
      </c>
      <c r="J224" s="14">
        <v>20</v>
      </c>
      <c r="K224" s="14">
        <v>18</v>
      </c>
      <c r="L224" s="14">
        <v>12</v>
      </c>
      <c r="M224" s="14">
        <v>11</v>
      </c>
      <c r="N224" s="14">
        <v>10</v>
      </c>
      <c r="O224" s="14">
        <v>12</v>
      </c>
    </row>
    <row r="225" spans="2:15" ht="14" customHeight="1" thickTop="1" thickBot="1" x14ac:dyDescent="0.2">
      <c r="B225" s="121">
        <v>5</v>
      </c>
      <c r="C225" s="102" t="str">
        <f t="shared" si="62"/>
        <v>17 h à 19 h</v>
      </c>
      <c r="D225" s="22">
        <v>10</v>
      </c>
      <c r="E225" s="14">
        <v>9</v>
      </c>
      <c r="F225" s="14">
        <v>10</v>
      </c>
      <c r="G225" s="14">
        <v>11</v>
      </c>
      <c r="H225" s="14">
        <v>12</v>
      </c>
      <c r="I225" s="14">
        <v>15</v>
      </c>
      <c r="J225" s="14">
        <v>20</v>
      </c>
      <c r="K225" s="14">
        <v>18</v>
      </c>
      <c r="L225" s="14">
        <v>12</v>
      </c>
      <c r="M225" s="14">
        <v>11</v>
      </c>
      <c r="N225" s="14">
        <v>10</v>
      </c>
      <c r="O225" s="14">
        <v>12</v>
      </c>
    </row>
    <row r="226" spans="2:15" ht="14" customHeight="1" thickTop="1" thickBot="1" x14ac:dyDescent="0.2">
      <c r="B226" s="121">
        <v>6</v>
      </c>
      <c r="C226" s="102" t="str">
        <f t="shared" si="62"/>
        <v>19 h à 23 h</v>
      </c>
      <c r="D226" s="22">
        <v>10</v>
      </c>
      <c r="E226" s="14">
        <v>9</v>
      </c>
      <c r="F226" s="14">
        <v>10</v>
      </c>
      <c r="G226" s="14">
        <v>11</v>
      </c>
      <c r="H226" s="14">
        <v>12</v>
      </c>
      <c r="I226" s="14">
        <v>15</v>
      </c>
      <c r="J226" s="14">
        <v>20</v>
      </c>
      <c r="K226" s="14">
        <v>18</v>
      </c>
      <c r="L226" s="14">
        <v>12</v>
      </c>
      <c r="M226" s="14">
        <v>11</v>
      </c>
      <c r="N226" s="14">
        <v>10</v>
      </c>
      <c r="O226" s="14">
        <v>12</v>
      </c>
    </row>
    <row r="227" spans="2:15" ht="14" customHeight="1" thickTop="1" thickBot="1" x14ac:dyDescent="0.2">
      <c r="B227" s="121">
        <v>7</v>
      </c>
      <c r="C227" s="102" t="str">
        <f t="shared" si="62"/>
        <v>23 h à 6 h</v>
      </c>
      <c r="D227" s="14">
        <v>0</v>
      </c>
      <c r="E227" s="14">
        <v>0</v>
      </c>
      <c r="F227" s="14">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50</v>
      </c>
      <c r="E228" s="24">
        <f t="shared" si="64"/>
        <v>45</v>
      </c>
      <c r="F228" s="24">
        <f t="shared" si="64"/>
        <v>50</v>
      </c>
      <c r="G228" s="24">
        <f t="shared" si="64"/>
        <v>55</v>
      </c>
      <c r="H228" s="24">
        <f t="shared" si="64"/>
        <v>60</v>
      </c>
      <c r="I228" s="24">
        <f t="shared" si="64"/>
        <v>75</v>
      </c>
      <c r="J228" s="24">
        <f t="shared" si="64"/>
        <v>100</v>
      </c>
      <c r="K228" s="24">
        <f t="shared" si="64"/>
        <v>90</v>
      </c>
      <c r="L228" s="24">
        <f t="shared" si="64"/>
        <v>60</v>
      </c>
      <c r="M228" s="24">
        <f>+M221+M222+M223+M224+M225+M226+M227</f>
        <v>55</v>
      </c>
      <c r="N228" s="24">
        <f>+N221+N222+N223+N224+N225+N226+N227</f>
        <v>50</v>
      </c>
      <c r="O228" s="24">
        <f>+O221+O222+O223+O224+O225+O226+O227</f>
        <v>60</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10</v>
      </c>
      <c r="E231" s="14">
        <v>9</v>
      </c>
      <c r="F231" s="14">
        <v>10</v>
      </c>
      <c r="G231" s="14">
        <v>11</v>
      </c>
      <c r="H231" s="14">
        <v>12</v>
      </c>
      <c r="I231" s="14">
        <v>15</v>
      </c>
      <c r="J231" s="14">
        <v>20</v>
      </c>
      <c r="K231" s="14">
        <v>18</v>
      </c>
      <c r="L231" s="14">
        <v>12</v>
      </c>
      <c r="M231" s="14">
        <v>11</v>
      </c>
      <c r="N231" s="14">
        <v>10</v>
      </c>
      <c r="O231" s="14">
        <v>12</v>
      </c>
    </row>
    <row r="232" spans="2:15" ht="14" customHeight="1" thickTop="1" thickBot="1" x14ac:dyDescent="0.2">
      <c r="B232" s="121">
        <v>3</v>
      </c>
      <c r="C232" s="102" t="str">
        <f t="shared" si="65"/>
        <v>11 h 30 à 14 h 30</v>
      </c>
      <c r="D232" s="22">
        <v>10</v>
      </c>
      <c r="E232" s="14">
        <v>9</v>
      </c>
      <c r="F232" s="14">
        <v>10</v>
      </c>
      <c r="G232" s="14">
        <v>11</v>
      </c>
      <c r="H232" s="14">
        <v>12</v>
      </c>
      <c r="I232" s="14">
        <v>15</v>
      </c>
      <c r="J232" s="14">
        <v>20</v>
      </c>
      <c r="K232" s="14">
        <v>18</v>
      </c>
      <c r="L232" s="14">
        <v>12</v>
      </c>
      <c r="M232" s="14">
        <v>11</v>
      </c>
      <c r="N232" s="14">
        <v>10</v>
      </c>
      <c r="O232" s="14">
        <v>12</v>
      </c>
    </row>
    <row r="233" spans="2:15" ht="14" customHeight="1" thickTop="1" thickBot="1" x14ac:dyDescent="0.2">
      <c r="B233" s="121">
        <v>4</v>
      </c>
      <c r="C233" s="102" t="str">
        <f t="shared" si="65"/>
        <v>14 h 30 à 17 h</v>
      </c>
      <c r="D233" s="22">
        <v>10</v>
      </c>
      <c r="E233" s="14">
        <v>9</v>
      </c>
      <c r="F233" s="14">
        <v>10</v>
      </c>
      <c r="G233" s="14">
        <v>11</v>
      </c>
      <c r="H233" s="14">
        <v>12</v>
      </c>
      <c r="I233" s="14">
        <v>15</v>
      </c>
      <c r="J233" s="14">
        <v>20</v>
      </c>
      <c r="K233" s="14">
        <v>18</v>
      </c>
      <c r="L233" s="14">
        <v>12</v>
      </c>
      <c r="M233" s="14">
        <v>11</v>
      </c>
      <c r="N233" s="14">
        <v>10</v>
      </c>
      <c r="O233" s="14">
        <v>12</v>
      </c>
    </row>
    <row r="234" spans="2:15" ht="14" customHeight="1" thickTop="1" thickBot="1" x14ac:dyDescent="0.2">
      <c r="B234" s="121">
        <v>5</v>
      </c>
      <c r="C234" s="102" t="str">
        <f t="shared" si="65"/>
        <v>17 h à 19 h</v>
      </c>
      <c r="D234" s="22">
        <v>10</v>
      </c>
      <c r="E234" s="14">
        <v>9</v>
      </c>
      <c r="F234" s="14">
        <v>10</v>
      </c>
      <c r="G234" s="14">
        <v>11</v>
      </c>
      <c r="H234" s="14">
        <v>12</v>
      </c>
      <c r="I234" s="14">
        <v>15</v>
      </c>
      <c r="J234" s="14">
        <v>20</v>
      </c>
      <c r="K234" s="14">
        <v>18</v>
      </c>
      <c r="L234" s="14">
        <v>12</v>
      </c>
      <c r="M234" s="14">
        <v>11</v>
      </c>
      <c r="N234" s="14">
        <v>10</v>
      </c>
      <c r="O234" s="14">
        <v>12</v>
      </c>
    </row>
    <row r="235" spans="2:15" ht="14" customHeight="1" thickTop="1" thickBot="1" x14ac:dyDescent="0.2">
      <c r="B235" s="121">
        <v>6</v>
      </c>
      <c r="C235" s="102" t="str">
        <f t="shared" si="65"/>
        <v>19 h à 23 h</v>
      </c>
      <c r="D235" s="22">
        <v>10</v>
      </c>
      <c r="E235" s="14">
        <v>9</v>
      </c>
      <c r="F235" s="14">
        <v>10</v>
      </c>
      <c r="G235" s="14">
        <v>11</v>
      </c>
      <c r="H235" s="14">
        <v>12</v>
      </c>
      <c r="I235" s="14">
        <v>15</v>
      </c>
      <c r="J235" s="14">
        <v>20</v>
      </c>
      <c r="K235" s="14">
        <v>18</v>
      </c>
      <c r="L235" s="14">
        <v>12</v>
      </c>
      <c r="M235" s="14">
        <v>11</v>
      </c>
      <c r="N235" s="14">
        <v>10</v>
      </c>
      <c r="O235" s="14">
        <v>12</v>
      </c>
    </row>
    <row r="236" spans="2:15" ht="14" customHeight="1" thickTop="1" thickBot="1" x14ac:dyDescent="0.2">
      <c r="B236" s="121">
        <v>7</v>
      </c>
      <c r="C236" s="102" t="str">
        <f t="shared" si="65"/>
        <v>23 h à 6 h</v>
      </c>
      <c r="D236" s="14">
        <v>0</v>
      </c>
      <c r="E236" s="14">
        <v>0</v>
      </c>
      <c r="F236" s="14">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50</v>
      </c>
      <c r="E237" s="24">
        <f t="shared" si="66"/>
        <v>45</v>
      </c>
      <c r="F237" s="24">
        <f t="shared" si="66"/>
        <v>50</v>
      </c>
      <c r="G237" s="24">
        <f t="shared" si="66"/>
        <v>55</v>
      </c>
      <c r="H237" s="24">
        <f t="shared" si="66"/>
        <v>60</v>
      </c>
      <c r="I237" s="24">
        <f t="shared" si="66"/>
        <v>75</v>
      </c>
      <c r="J237" s="24">
        <f t="shared" si="66"/>
        <v>100</v>
      </c>
      <c r="K237" s="24">
        <f t="shared" si="66"/>
        <v>90</v>
      </c>
      <c r="L237" s="24">
        <f t="shared" si="66"/>
        <v>60</v>
      </c>
      <c r="M237" s="24">
        <f>+M230+M231+M232+M233+M234+M235+M236</f>
        <v>55</v>
      </c>
      <c r="N237" s="24">
        <f>+N230+N231+N232+N233+N234+N235+N236</f>
        <v>50</v>
      </c>
      <c r="O237" s="24">
        <f>+O230+O231+O232+O233+O234+O235+O236</f>
        <v>60</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10</v>
      </c>
      <c r="E240" s="14">
        <v>9</v>
      </c>
      <c r="F240" s="14">
        <v>10</v>
      </c>
      <c r="G240" s="14">
        <v>11</v>
      </c>
      <c r="H240" s="14">
        <v>12</v>
      </c>
      <c r="I240" s="14">
        <v>15</v>
      </c>
      <c r="J240" s="14">
        <v>20</v>
      </c>
      <c r="K240" s="14">
        <v>18</v>
      </c>
      <c r="L240" s="14">
        <v>12</v>
      </c>
      <c r="M240" s="14">
        <v>11</v>
      </c>
      <c r="N240" s="14">
        <v>10</v>
      </c>
      <c r="O240" s="14">
        <v>12</v>
      </c>
    </row>
    <row r="241" spans="2:16" ht="14" customHeight="1" thickTop="1" thickBot="1" x14ac:dyDescent="0.2">
      <c r="B241" s="121">
        <v>3</v>
      </c>
      <c r="C241" s="102" t="str">
        <f t="shared" si="67"/>
        <v>11 h 30 à 14 h 30</v>
      </c>
      <c r="D241" s="22">
        <v>10</v>
      </c>
      <c r="E241" s="14">
        <v>9</v>
      </c>
      <c r="F241" s="14">
        <v>10</v>
      </c>
      <c r="G241" s="14">
        <v>11</v>
      </c>
      <c r="H241" s="14">
        <v>12</v>
      </c>
      <c r="I241" s="14">
        <v>15</v>
      </c>
      <c r="J241" s="14">
        <v>20</v>
      </c>
      <c r="K241" s="14">
        <v>18</v>
      </c>
      <c r="L241" s="14">
        <v>12</v>
      </c>
      <c r="M241" s="14">
        <v>11</v>
      </c>
      <c r="N241" s="14">
        <v>10</v>
      </c>
      <c r="O241" s="14">
        <v>12</v>
      </c>
      <c r="P241" s="25" t="s">
        <v>2</v>
      </c>
    </row>
    <row r="242" spans="2:16" ht="14" customHeight="1" thickTop="1" thickBot="1" x14ac:dyDescent="0.2">
      <c r="B242" s="121">
        <v>4</v>
      </c>
      <c r="C242" s="102" t="str">
        <f t="shared" si="67"/>
        <v>14 h 30 à 17 h</v>
      </c>
      <c r="D242" s="22">
        <v>10</v>
      </c>
      <c r="E242" s="14">
        <v>9</v>
      </c>
      <c r="F242" s="14">
        <v>10</v>
      </c>
      <c r="G242" s="14">
        <v>11</v>
      </c>
      <c r="H242" s="14">
        <v>12</v>
      </c>
      <c r="I242" s="14">
        <v>15</v>
      </c>
      <c r="J242" s="14">
        <v>20</v>
      </c>
      <c r="K242" s="14">
        <v>18</v>
      </c>
      <c r="L242" s="14">
        <v>12</v>
      </c>
      <c r="M242" s="14">
        <v>11</v>
      </c>
      <c r="N242" s="14">
        <v>10</v>
      </c>
      <c r="O242" s="14">
        <v>12</v>
      </c>
    </row>
    <row r="243" spans="2:16" ht="14" customHeight="1" thickTop="1" thickBot="1" x14ac:dyDescent="0.2">
      <c r="B243" s="121">
        <v>5</v>
      </c>
      <c r="C243" s="102" t="str">
        <f t="shared" si="67"/>
        <v>17 h à 19 h</v>
      </c>
      <c r="D243" s="22">
        <v>10</v>
      </c>
      <c r="E243" s="14">
        <v>9</v>
      </c>
      <c r="F243" s="14">
        <v>10</v>
      </c>
      <c r="G243" s="14">
        <v>11</v>
      </c>
      <c r="H243" s="14">
        <v>12</v>
      </c>
      <c r="I243" s="14">
        <v>15</v>
      </c>
      <c r="J243" s="14">
        <v>20</v>
      </c>
      <c r="K243" s="14">
        <v>18</v>
      </c>
      <c r="L243" s="14">
        <v>12</v>
      </c>
      <c r="M243" s="14">
        <v>11</v>
      </c>
      <c r="N243" s="14">
        <v>10</v>
      </c>
      <c r="O243" s="14">
        <v>12</v>
      </c>
    </row>
    <row r="244" spans="2:16" ht="14" customHeight="1" thickTop="1" thickBot="1" x14ac:dyDescent="0.2">
      <c r="B244" s="121">
        <v>6</v>
      </c>
      <c r="C244" s="102" t="str">
        <f t="shared" si="67"/>
        <v>19 h à 23 h</v>
      </c>
      <c r="D244" s="22">
        <v>10</v>
      </c>
      <c r="E244" s="14">
        <v>9</v>
      </c>
      <c r="F244" s="14">
        <v>10</v>
      </c>
      <c r="G244" s="14">
        <v>11</v>
      </c>
      <c r="H244" s="14">
        <v>12</v>
      </c>
      <c r="I244" s="14">
        <v>15</v>
      </c>
      <c r="J244" s="14">
        <v>20</v>
      </c>
      <c r="K244" s="14">
        <v>18</v>
      </c>
      <c r="L244" s="14">
        <v>12</v>
      </c>
      <c r="M244" s="14">
        <v>11</v>
      </c>
      <c r="N244" s="14">
        <v>10</v>
      </c>
      <c r="O244" s="14">
        <v>12</v>
      </c>
    </row>
    <row r="245" spans="2:16" ht="14" customHeight="1" thickTop="1" thickBot="1" x14ac:dyDescent="0.2">
      <c r="B245" s="121">
        <v>7</v>
      </c>
      <c r="C245" s="102" t="str">
        <f t="shared" si="67"/>
        <v>23 h à 6 h</v>
      </c>
      <c r="D245" s="14">
        <v>0</v>
      </c>
      <c r="E245" s="14">
        <v>0</v>
      </c>
      <c r="F245" s="14">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50</v>
      </c>
      <c r="E246" s="24">
        <f t="shared" si="69"/>
        <v>45</v>
      </c>
      <c r="F246" s="24">
        <f t="shared" si="69"/>
        <v>50</v>
      </c>
      <c r="G246" s="24">
        <f t="shared" si="69"/>
        <v>55</v>
      </c>
      <c r="H246" s="24">
        <f t="shared" si="69"/>
        <v>60</v>
      </c>
      <c r="I246" s="24">
        <f t="shared" si="69"/>
        <v>75</v>
      </c>
      <c r="J246" s="24">
        <f t="shared" si="69"/>
        <v>100</v>
      </c>
      <c r="K246" s="24">
        <f t="shared" si="69"/>
        <v>90</v>
      </c>
      <c r="L246" s="24">
        <f t="shared" si="69"/>
        <v>60</v>
      </c>
      <c r="M246" s="24">
        <f>+M239+M240+M241+M242+M243+M244+M245</f>
        <v>55</v>
      </c>
      <c r="N246" s="24">
        <f>+N239+N240+N241+N242+N243+N244+N245</f>
        <v>50</v>
      </c>
      <c r="O246" s="24">
        <f>+O239+O240+O241+O242+O243+O244+O245</f>
        <v>60</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10</v>
      </c>
      <c r="E249" s="14">
        <v>9</v>
      </c>
      <c r="F249" s="14">
        <v>10</v>
      </c>
      <c r="G249" s="14">
        <v>11</v>
      </c>
      <c r="H249" s="14">
        <v>12</v>
      </c>
      <c r="I249" s="14">
        <v>15</v>
      </c>
      <c r="J249" s="14">
        <v>20</v>
      </c>
      <c r="K249" s="14">
        <v>18</v>
      </c>
      <c r="L249" s="14">
        <v>12</v>
      </c>
      <c r="M249" s="14">
        <v>11</v>
      </c>
      <c r="N249" s="14">
        <v>10</v>
      </c>
      <c r="O249" s="14">
        <v>12</v>
      </c>
    </row>
    <row r="250" spans="2:16" ht="14" customHeight="1" thickTop="1" thickBot="1" x14ac:dyDescent="0.2">
      <c r="B250" s="18">
        <v>3</v>
      </c>
      <c r="C250" s="102" t="str">
        <f t="shared" si="70"/>
        <v>11 h 30 à 14 h 30</v>
      </c>
      <c r="D250" s="22">
        <v>10</v>
      </c>
      <c r="E250" s="14">
        <v>9</v>
      </c>
      <c r="F250" s="14">
        <v>10</v>
      </c>
      <c r="G250" s="14">
        <v>11</v>
      </c>
      <c r="H250" s="14">
        <v>12</v>
      </c>
      <c r="I250" s="14">
        <v>15</v>
      </c>
      <c r="J250" s="14">
        <v>20</v>
      </c>
      <c r="K250" s="14">
        <v>18</v>
      </c>
      <c r="L250" s="14">
        <v>12</v>
      </c>
      <c r="M250" s="14">
        <v>11</v>
      </c>
      <c r="N250" s="14">
        <v>10</v>
      </c>
      <c r="O250" s="14">
        <v>12</v>
      </c>
    </row>
    <row r="251" spans="2:16" ht="14" customHeight="1" thickTop="1" thickBot="1" x14ac:dyDescent="0.2">
      <c r="B251" s="18">
        <v>4</v>
      </c>
      <c r="C251" s="102" t="str">
        <f t="shared" si="70"/>
        <v>14 h 30 à 17 h</v>
      </c>
      <c r="D251" s="22">
        <v>10</v>
      </c>
      <c r="E251" s="14">
        <v>9</v>
      </c>
      <c r="F251" s="14">
        <v>10</v>
      </c>
      <c r="G251" s="14">
        <v>11</v>
      </c>
      <c r="H251" s="14">
        <v>12</v>
      </c>
      <c r="I251" s="14">
        <v>15</v>
      </c>
      <c r="J251" s="14">
        <v>20</v>
      </c>
      <c r="K251" s="14">
        <v>18</v>
      </c>
      <c r="L251" s="14">
        <v>12</v>
      </c>
      <c r="M251" s="14">
        <v>11</v>
      </c>
      <c r="N251" s="14">
        <v>10</v>
      </c>
      <c r="O251" s="14">
        <v>12</v>
      </c>
    </row>
    <row r="252" spans="2:16" ht="14" customHeight="1" thickTop="1" thickBot="1" x14ac:dyDescent="0.2">
      <c r="B252" s="18">
        <v>5</v>
      </c>
      <c r="C252" s="102" t="str">
        <f t="shared" si="70"/>
        <v>17 h à 19 h</v>
      </c>
      <c r="D252" s="22">
        <v>10</v>
      </c>
      <c r="E252" s="14">
        <v>9</v>
      </c>
      <c r="F252" s="14">
        <v>10</v>
      </c>
      <c r="G252" s="14">
        <v>11</v>
      </c>
      <c r="H252" s="14">
        <v>12</v>
      </c>
      <c r="I252" s="14">
        <v>15</v>
      </c>
      <c r="J252" s="14">
        <v>20</v>
      </c>
      <c r="K252" s="14">
        <v>18</v>
      </c>
      <c r="L252" s="14">
        <v>12</v>
      </c>
      <c r="M252" s="14">
        <v>11</v>
      </c>
      <c r="N252" s="14">
        <v>10</v>
      </c>
      <c r="O252" s="14">
        <v>12</v>
      </c>
    </row>
    <row r="253" spans="2:16" ht="14" customHeight="1" thickTop="1" thickBot="1" x14ac:dyDescent="0.2">
      <c r="B253" s="18">
        <v>6</v>
      </c>
      <c r="C253" s="102" t="str">
        <f t="shared" si="70"/>
        <v>19 h à 23 h</v>
      </c>
      <c r="D253" s="22">
        <v>10</v>
      </c>
      <c r="E253" s="14">
        <v>9</v>
      </c>
      <c r="F253" s="14">
        <v>10</v>
      </c>
      <c r="G253" s="14">
        <v>11</v>
      </c>
      <c r="H253" s="14">
        <v>12</v>
      </c>
      <c r="I253" s="14">
        <v>15</v>
      </c>
      <c r="J253" s="14">
        <v>20</v>
      </c>
      <c r="K253" s="14">
        <v>18</v>
      </c>
      <c r="L253" s="14">
        <v>12</v>
      </c>
      <c r="M253" s="14">
        <v>11</v>
      </c>
      <c r="N253" s="14">
        <v>10</v>
      </c>
      <c r="O253" s="14">
        <v>12</v>
      </c>
    </row>
    <row r="254" spans="2:16" ht="14" customHeight="1" thickTop="1" thickBot="1" x14ac:dyDescent="0.2">
      <c r="B254" s="18">
        <v>7</v>
      </c>
      <c r="C254" s="102" t="str">
        <f t="shared" si="70"/>
        <v>23 h à 6 h</v>
      </c>
      <c r="D254" s="14">
        <v>0</v>
      </c>
      <c r="E254" s="14">
        <v>0</v>
      </c>
      <c r="F254" s="14">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50</v>
      </c>
      <c r="E255" s="24">
        <f t="shared" si="72"/>
        <v>45</v>
      </c>
      <c r="F255" s="24">
        <f t="shared" si="72"/>
        <v>50</v>
      </c>
      <c r="G255" s="24">
        <f t="shared" si="72"/>
        <v>55</v>
      </c>
      <c r="H255" s="24">
        <f t="shared" si="72"/>
        <v>60</v>
      </c>
      <c r="I255" s="24">
        <f t="shared" si="72"/>
        <v>75</v>
      </c>
      <c r="J255" s="24">
        <f t="shared" si="72"/>
        <v>100</v>
      </c>
      <c r="K255" s="24">
        <f t="shared" si="72"/>
        <v>90</v>
      </c>
      <c r="L255" s="24">
        <f t="shared" si="72"/>
        <v>60</v>
      </c>
      <c r="M255" s="24">
        <f>+M248+M249+M250+M251+M252+M253+M254</f>
        <v>55</v>
      </c>
      <c r="N255" s="24">
        <f>+N248+N249+N250+N251+N252+N253+N254</f>
        <v>50</v>
      </c>
      <c r="O255" s="24">
        <f>+O248+O249+O250+O251+O252+O253+O254</f>
        <v>60</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10</v>
      </c>
      <c r="E258" s="14">
        <v>9</v>
      </c>
      <c r="F258" s="14">
        <v>10</v>
      </c>
      <c r="G258" s="14">
        <v>11</v>
      </c>
      <c r="H258" s="14">
        <v>12</v>
      </c>
      <c r="I258" s="14">
        <v>15</v>
      </c>
      <c r="J258" s="14">
        <v>20</v>
      </c>
      <c r="K258" s="14">
        <v>18</v>
      </c>
      <c r="L258" s="14">
        <v>12</v>
      </c>
      <c r="M258" s="14">
        <v>11</v>
      </c>
      <c r="N258" s="14">
        <v>10</v>
      </c>
      <c r="O258" s="14">
        <v>12</v>
      </c>
    </row>
    <row r="259" spans="2:15" ht="14" customHeight="1" thickTop="1" thickBot="1" x14ac:dyDescent="0.2">
      <c r="B259" s="18">
        <v>3</v>
      </c>
      <c r="C259" s="102" t="str">
        <f t="shared" si="73"/>
        <v>11 h 30 à 14 h 30</v>
      </c>
      <c r="D259" s="22">
        <v>10</v>
      </c>
      <c r="E259" s="14">
        <v>9</v>
      </c>
      <c r="F259" s="14">
        <v>10</v>
      </c>
      <c r="G259" s="14">
        <v>11</v>
      </c>
      <c r="H259" s="14">
        <v>12</v>
      </c>
      <c r="I259" s="14">
        <v>15</v>
      </c>
      <c r="J259" s="14">
        <v>20</v>
      </c>
      <c r="K259" s="14">
        <v>18</v>
      </c>
      <c r="L259" s="14">
        <v>12</v>
      </c>
      <c r="M259" s="14">
        <v>11</v>
      </c>
      <c r="N259" s="14">
        <v>10</v>
      </c>
      <c r="O259" s="14">
        <v>12</v>
      </c>
    </row>
    <row r="260" spans="2:15" ht="14" customHeight="1" thickTop="1" thickBot="1" x14ac:dyDescent="0.2">
      <c r="B260" s="18">
        <v>4</v>
      </c>
      <c r="C260" s="102" t="str">
        <f t="shared" si="73"/>
        <v>14 h 30 à 17 h</v>
      </c>
      <c r="D260" s="22">
        <v>10</v>
      </c>
      <c r="E260" s="14">
        <v>9</v>
      </c>
      <c r="F260" s="14">
        <v>10</v>
      </c>
      <c r="G260" s="14">
        <v>11</v>
      </c>
      <c r="H260" s="14">
        <v>12</v>
      </c>
      <c r="I260" s="14">
        <v>15</v>
      </c>
      <c r="J260" s="14">
        <v>20</v>
      </c>
      <c r="K260" s="14">
        <v>18</v>
      </c>
      <c r="L260" s="14">
        <v>12</v>
      </c>
      <c r="M260" s="14">
        <v>11</v>
      </c>
      <c r="N260" s="14">
        <v>10</v>
      </c>
      <c r="O260" s="14">
        <v>12</v>
      </c>
    </row>
    <row r="261" spans="2:15" ht="14" customHeight="1" thickTop="1" thickBot="1" x14ac:dyDescent="0.2">
      <c r="B261" s="18">
        <v>5</v>
      </c>
      <c r="C261" s="102" t="str">
        <f t="shared" si="73"/>
        <v>17 h à 19 h</v>
      </c>
      <c r="D261" s="22">
        <v>10</v>
      </c>
      <c r="E261" s="14">
        <v>9</v>
      </c>
      <c r="F261" s="14">
        <v>10</v>
      </c>
      <c r="G261" s="14">
        <v>11</v>
      </c>
      <c r="H261" s="14">
        <v>12</v>
      </c>
      <c r="I261" s="14">
        <v>15</v>
      </c>
      <c r="J261" s="14">
        <v>20</v>
      </c>
      <c r="K261" s="14">
        <v>18</v>
      </c>
      <c r="L261" s="14">
        <v>12</v>
      </c>
      <c r="M261" s="14">
        <v>11</v>
      </c>
      <c r="N261" s="14">
        <v>10</v>
      </c>
      <c r="O261" s="14">
        <v>12</v>
      </c>
    </row>
    <row r="262" spans="2:15" ht="14" customHeight="1" thickTop="1" thickBot="1" x14ac:dyDescent="0.2">
      <c r="B262" s="18">
        <v>6</v>
      </c>
      <c r="C262" s="102" t="str">
        <f t="shared" si="73"/>
        <v>19 h à 23 h</v>
      </c>
      <c r="D262" s="22">
        <v>10</v>
      </c>
      <c r="E262" s="14">
        <v>9</v>
      </c>
      <c r="F262" s="14">
        <v>10</v>
      </c>
      <c r="G262" s="14">
        <v>11</v>
      </c>
      <c r="H262" s="14">
        <v>12</v>
      </c>
      <c r="I262" s="14">
        <v>15</v>
      </c>
      <c r="J262" s="14">
        <v>20</v>
      </c>
      <c r="K262" s="14">
        <v>18</v>
      </c>
      <c r="L262" s="14">
        <v>12</v>
      </c>
      <c r="M262" s="14">
        <v>11</v>
      </c>
      <c r="N262" s="14">
        <v>10</v>
      </c>
      <c r="O262" s="14">
        <v>12</v>
      </c>
    </row>
    <row r="263" spans="2:15" ht="14" customHeight="1" thickTop="1" thickBot="1" x14ac:dyDescent="0.2">
      <c r="B263" s="18">
        <v>7</v>
      </c>
      <c r="C263" s="102" t="str">
        <f t="shared" si="73"/>
        <v>23 h à 6 h</v>
      </c>
      <c r="D263" s="14">
        <v>0</v>
      </c>
      <c r="E263" s="14">
        <v>0</v>
      </c>
      <c r="F263" s="14">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50</v>
      </c>
      <c r="E264" s="24">
        <f t="shared" si="75"/>
        <v>45</v>
      </c>
      <c r="F264" s="24">
        <f t="shared" si="75"/>
        <v>50</v>
      </c>
      <c r="G264" s="24">
        <f t="shared" si="75"/>
        <v>55</v>
      </c>
      <c r="H264" s="24">
        <f t="shared" si="75"/>
        <v>60</v>
      </c>
      <c r="I264" s="24">
        <f t="shared" si="75"/>
        <v>75</v>
      </c>
      <c r="J264" s="24">
        <f t="shared" si="75"/>
        <v>100</v>
      </c>
      <c r="K264" s="24">
        <f t="shared" si="75"/>
        <v>90</v>
      </c>
      <c r="L264" s="24">
        <f t="shared" si="75"/>
        <v>60</v>
      </c>
      <c r="M264" s="24">
        <f>+M257+M258+M259+M260+M261+M262+M263</f>
        <v>55</v>
      </c>
      <c r="N264" s="24">
        <f>+N257+N258+N259+N260+N261+N262+N263</f>
        <v>50</v>
      </c>
      <c r="O264" s="24">
        <f>+O257+O258+O259+O260+O261+O262+O263</f>
        <v>60</v>
      </c>
    </row>
    <row r="265" spans="2:15" ht="14" customHeight="1" thickTop="1" thickBot="1" x14ac:dyDescent="0.2">
      <c r="B265" s="793" t="s">
        <v>20</v>
      </c>
      <c r="C265" s="794"/>
      <c r="D265" s="794"/>
      <c r="E265" s="794"/>
      <c r="F265" s="794"/>
      <c r="G265" s="794"/>
      <c r="H265" s="794"/>
      <c r="I265" s="794"/>
      <c r="J265" s="794"/>
      <c r="K265" s="794"/>
      <c r="L265" s="794"/>
      <c r="M265" s="794"/>
      <c r="N265" s="794"/>
      <c r="O265" s="795"/>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10</v>
      </c>
      <c r="E268" s="14">
        <v>0</v>
      </c>
      <c r="F268" s="14">
        <v>10</v>
      </c>
      <c r="G268" s="14">
        <v>11</v>
      </c>
      <c r="H268" s="14">
        <v>12</v>
      </c>
      <c r="I268" s="14">
        <v>15</v>
      </c>
      <c r="J268" s="14">
        <v>20</v>
      </c>
      <c r="K268" s="14">
        <v>18</v>
      </c>
      <c r="L268" s="14">
        <v>12</v>
      </c>
      <c r="M268" s="14">
        <v>11</v>
      </c>
      <c r="N268" s="14">
        <v>10</v>
      </c>
      <c r="O268" s="14">
        <v>12</v>
      </c>
    </row>
    <row r="269" spans="2:15" ht="14" customHeight="1" x14ac:dyDescent="0.15">
      <c r="B269" s="13">
        <v>3</v>
      </c>
      <c r="C269" s="102" t="str">
        <f t="shared" si="76"/>
        <v>11 h 30 à 14 h 30</v>
      </c>
      <c r="D269" s="22">
        <v>10</v>
      </c>
      <c r="E269" s="14">
        <v>0</v>
      </c>
      <c r="F269" s="14">
        <v>10</v>
      </c>
      <c r="G269" s="14">
        <v>11</v>
      </c>
      <c r="H269" s="14">
        <v>12</v>
      </c>
      <c r="I269" s="14">
        <v>15</v>
      </c>
      <c r="J269" s="14">
        <v>20</v>
      </c>
      <c r="K269" s="14">
        <v>18</v>
      </c>
      <c r="L269" s="14">
        <v>12</v>
      </c>
      <c r="M269" s="14">
        <v>11</v>
      </c>
      <c r="N269" s="14">
        <v>10</v>
      </c>
      <c r="O269" s="14">
        <v>12</v>
      </c>
    </row>
    <row r="270" spans="2:15" ht="14" customHeight="1" x14ac:dyDescent="0.15">
      <c r="B270" s="13">
        <v>4</v>
      </c>
      <c r="C270" s="102" t="str">
        <f t="shared" si="76"/>
        <v>14 h 30 à 17 h</v>
      </c>
      <c r="D270" s="22">
        <v>10</v>
      </c>
      <c r="E270" s="14">
        <v>0</v>
      </c>
      <c r="F270" s="14">
        <v>10</v>
      </c>
      <c r="G270" s="14">
        <v>11</v>
      </c>
      <c r="H270" s="14">
        <v>12</v>
      </c>
      <c r="I270" s="14">
        <v>15</v>
      </c>
      <c r="J270" s="14">
        <v>20</v>
      </c>
      <c r="K270" s="14">
        <v>18</v>
      </c>
      <c r="L270" s="14">
        <v>12</v>
      </c>
      <c r="M270" s="14">
        <v>11</v>
      </c>
      <c r="N270" s="14">
        <v>10</v>
      </c>
      <c r="O270" s="14">
        <v>12</v>
      </c>
    </row>
    <row r="271" spans="2:15" ht="14" customHeight="1" x14ac:dyDescent="0.15">
      <c r="B271" s="13">
        <v>5</v>
      </c>
      <c r="C271" s="102" t="str">
        <f t="shared" si="76"/>
        <v>17 h à 19 h</v>
      </c>
      <c r="D271" s="22">
        <v>10</v>
      </c>
      <c r="E271" s="14">
        <v>0</v>
      </c>
      <c r="F271" s="14">
        <v>10</v>
      </c>
      <c r="G271" s="14">
        <v>11</v>
      </c>
      <c r="H271" s="14">
        <v>12</v>
      </c>
      <c r="I271" s="14">
        <v>15</v>
      </c>
      <c r="J271" s="14">
        <v>20</v>
      </c>
      <c r="K271" s="14">
        <v>18</v>
      </c>
      <c r="L271" s="14">
        <v>12</v>
      </c>
      <c r="M271" s="14">
        <v>11</v>
      </c>
      <c r="N271" s="14">
        <v>10</v>
      </c>
      <c r="O271" s="14">
        <v>12</v>
      </c>
    </row>
    <row r="272" spans="2:15" ht="14" customHeight="1" x14ac:dyDescent="0.15">
      <c r="B272" s="13">
        <v>6</v>
      </c>
      <c r="C272" s="102" t="str">
        <f t="shared" si="76"/>
        <v>19 h à 23 h</v>
      </c>
      <c r="D272" s="22">
        <v>10</v>
      </c>
      <c r="E272" s="14">
        <v>0</v>
      </c>
      <c r="F272" s="14">
        <v>10</v>
      </c>
      <c r="G272" s="14">
        <v>11</v>
      </c>
      <c r="H272" s="14">
        <v>12</v>
      </c>
      <c r="I272" s="14">
        <v>15</v>
      </c>
      <c r="J272" s="14">
        <v>20</v>
      </c>
      <c r="K272" s="14">
        <v>18</v>
      </c>
      <c r="L272" s="14">
        <v>12</v>
      </c>
      <c r="M272" s="14">
        <v>11</v>
      </c>
      <c r="N272" s="14">
        <v>10</v>
      </c>
      <c r="O272" s="14">
        <v>12</v>
      </c>
    </row>
    <row r="273" spans="2:17" ht="14" customHeight="1" x14ac:dyDescent="0.15">
      <c r="B273" s="13">
        <v>7</v>
      </c>
      <c r="C273" s="102" t="str">
        <f t="shared" si="76"/>
        <v>23 h à 6 h</v>
      </c>
      <c r="D273" s="14">
        <v>0</v>
      </c>
      <c r="E273" s="14">
        <v>0</v>
      </c>
      <c r="F273" s="14">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50</v>
      </c>
      <c r="E274" s="24">
        <f t="shared" si="77"/>
        <v>0</v>
      </c>
      <c r="F274" s="24">
        <f t="shared" si="77"/>
        <v>50</v>
      </c>
      <c r="G274" s="24">
        <f t="shared" si="77"/>
        <v>55</v>
      </c>
      <c r="H274" s="24">
        <f t="shared" si="77"/>
        <v>60</v>
      </c>
      <c r="I274" s="24">
        <f t="shared" si="77"/>
        <v>75</v>
      </c>
      <c r="J274" s="24">
        <f t="shared" si="77"/>
        <v>100</v>
      </c>
      <c r="K274" s="24">
        <f t="shared" si="77"/>
        <v>90</v>
      </c>
      <c r="L274" s="24">
        <f t="shared" si="77"/>
        <v>60</v>
      </c>
      <c r="M274" s="24">
        <f>+M267+M268+M269+M270+M271+M272+M273</f>
        <v>55</v>
      </c>
      <c r="N274" s="24">
        <f>+N267+N268+N269+N270+N271+N272+N273</f>
        <v>50</v>
      </c>
      <c r="O274" s="24">
        <f>+O267+O268+O269+O270+O271+O272+O273</f>
        <v>60</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10</v>
      </c>
      <c r="E277" s="61">
        <v>0</v>
      </c>
      <c r="F277" s="14">
        <v>10</v>
      </c>
      <c r="G277" s="14">
        <v>11</v>
      </c>
      <c r="H277" s="14">
        <v>12</v>
      </c>
      <c r="I277" s="14">
        <v>15</v>
      </c>
      <c r="J277" s="14">
        <v>20</v>
      </c>
      <c r="K277" s="14">
        <v>18</v>
      </c>
      <c r="L277" s="14">
        <v>12</v>
      </c>
      <c r="M277" s="14">
        <v>11</v>
      </c>
      <c r="N277" s="14">
        <v>10</v>
      </c>
      <c r="O277" s="14">
        <v>12</v>
      </c>
    </row>
    <row r="278" spans="2:17" ht="14" customHeight="1" thickTop="1" thickBot="1" x14ac:dyDescent="0.2">
      <c r="B278" s="121">
        <v>3</v>
      </c>
      <c r="C278" s="102" t="str">
        <f t="shared" si="78"/>
        <v>11 h 30 à 14 h 30</v>
      </c>
      <c r="D278" s="22">
        <v>10</v>
      </c>
      <c r="E278" s="61">
        <v>0</v>
      </c>
      <c r="F278" s="14">
        <v>10</v>
      </c>
      <c r="G278" s="14">
        <v>11</v>
      </c>
      <c r="H278" s="14">
        <v>12</v>
      </c>
      <c r="I278" s="14">
        <v>15</v>
      </c>
      <c r="J278" s="14">
        <v>20</v>
      </c>
      <c r="K278" s="14">
        <v>18</v>
      </c>
      <c r="L278" s="14">
        <v>12</v>
      </c>
      <c r="M278" s="14">
        <v>11</v>
      </c>
      <c r="N278" s="14">
        <v>10</v>
      </c>
      <c r="O278" s="14">
        <v>12</v>
      </c>
    </row>
    <row r="279" spans="2:17" ht="14" customHeight="1" thickTop="1" thickBot="1" x14ac:dyDescent="0.2">
      <c r="B279" s="121">
        <v>4</v>
      </c>
      <c r="C279" s="102" t="str">
        <f t="shared" si="78"/>
        <v>14 h 30 à 17 h</v>
      </c>
      <c r="D279" s="22">
        <v>10</v>
      </c>
      <c r="E279" s="61">
        <v>0</v>
      </c>
      <c r="F279" s="14">
        <v>10</v>
      </c>
      <c r="G279" s="14">
        <v>11</v>
      </c>
      <c r="H279" s="14">
        <v>12</v>
      </c>
      <c r="I279" s="14">
        <v>15</v>
      </c>
      <c r="J279" s="14">
        <v>20</v>
      </c>
      <c r="K279" s="14">
        <v>18</v>
      </c>
      <c r="L279" s="14">
        <v>12</v>
      </c>
      <c r="M279" s="14">
        <v>11</v>
      </c>
      <c r="N279" s="14">
        <v>10</v>
      </c>
      <c r="O279" s="14">
        <v>12</v>
      </c>
    </row>
    <row r="280" spans="2:17" ht="14" customHeight="1" thickTop="1" thickBot="1" x14ac:dyDescent="0.2">
      <c r="B280" s="121">
        <v>5</v>
      </c>
      <c r="C280" s="102" t="str">
        <f t="shared" si="78"/>
        <v>17 h à 19 h</v>
      </c>
      <c r="D280" s="22">
        <v>10</v>
      </c>
      <c r="E280" s="61">
        <v>0</v>
      </c>
      <c r="F280" s="14">
        <v>10</v>
      </c>
      <c r="G280" s="14">
        <v>11</v>
      </c>
      <c r="H280" s="14">
        <v>12</v>
      </c>
      <c r="I280" s="14">
        <v>15</v>
      </c>
      <c r="J280" s="14">
        <v>20</v>
      </c>
      <c r="K280" s="14">
        <v>18</v>
      </c>
      <c r="L280" s="14">
        <v>12</v>
      </c>
      <c r="M280" s="14">
        <v>11</v>
      </c>
      <c r="N280" s="14">
        <v>10</v>
      </c>
      <c r="O280" s="14">
        <v>12</v>
      </c>
    </row>
    <row r="281" spans="2:17" ht="14" customHeight="1" thickTop="1" thickBot="1" x14ac:dyDescent="0.2">
      <c r="B281" s="121">
        <v>6</v>
      </c>
      <c r="C281" s="102" t="str">
        <f t="shared" si="78"/>
        <v>19 h à 23 h</v>
      </c>
      <c r="D281" s="22">
        <v>10</v>
      </c>
      <c r="E281" s="61">
        <v>0</v>
      </c>
      <c r="F281" s="14">
        <v>10</v>
      </c>
      <c r="G281" s="14">
        <v>11</v>
      </c>
      <c r="H281" s="14">
        <v>12</v>
      </c>
      <c r="I281" s="14">
        <v>15</v>
      </c>
      <c r="J281" s="14">
        <v>20</v>
      </c>
      <c r="K281" s="14">
        <v>18</v>
      </c>
      <c r="L281" s="14">
        <v>12</v>
      </c>
      <c r="M281" s="14">
        <v>11</v>
      </c>
      <c r="N281" s="14">
        <v>10</v>
      </c>
      <c r="O281" s="14">
        <v>12</v>
      </c>
    </row>
    <row r="282" spans="2:17" ht="14" customHeight="1" thickTop="1" thickBot="1" x14ac:dyDescent="0.2">
      <c r="B282" s="121">
        <v>7</v>
      </c>
      <c r="C282" s="102" t="str">
        <f t="shared" si="78"/>
        <v>23 h à 6 h</v>
      </c>
      <c r="D282" s="14">
        <v>0</v>
      </c>
      <c r="E282" s="61">
        <v>0</v>
      </c>
      <c r="F282" s="14">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50</v>
      </c>
      <c r="E283" s="59">
        <f t="shared" si="80"/>
        <v>0</v>
      </c>
      <c r="F283" s="24">
        <f t="shared" si="80"/>
        <v>50</v>
      </c>
      <c r="G283" s="24">
        <f t="shared" si="80"/>
        <v>55</v>
      </c>
      <c r="H283" s="24">
        <f t="shared" si="80"/>
        <v>60</v>
      </c>
      <c r="I283" s="24">
        <f t="shared" si="80"/>
        <v>75</v>
      </c>
      <c r="J283" s="24">
        <f t="shared" si="80"/>
        <v>100</v>
      </c>
      <c r="K283" s="24">
        <f t="shared" si="80"/>
        <v>90</v>
      </c>
      <c r="L283" s="24">
        <f t="shared" si="80"/>
        <v>60</v>
      </c>
      <c r="M283" s="24">
        <f>+M276+M277+M278+M279+M280+M281+M282</f>
        <v>55</v>
      </c>
      <c r="N283" s="24">
        <f>+N276+N277+N278+N279+N280+N281+N282</f>
        <v>50</v>
      </c>
      <c r="O283" s="24">
        <f>+O276+O277+O278+O279+O280+O281+O282</f>
        <v>60</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60">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10</v>
      </c>
      <c r="E286" s="14">
        <v>0</v>
      </c>
      <c r="F286" s="14">
        <v>10</v>
      </c>
      <c r="G286" s="14">
        <v>11</v>
      </c>
      <c r="H286" s="61">
        <v>12</v>
      </c>
      <c r="I286" s="14">
        <v>15</v>
      </c>
      <c r="J286" s="14">
        <v>20</v>
      </c>
      <c r="K286" s="14">
        <v>18</v>
      </c>
      <c r="L286" s="14">
        <v>12</v>
      </c>
      <c r="M286" s="14">
        <v>11</v>
      </c>
      <c r="N286" s="14">
        <v>0</v>
      </c>
      <c r="O286" s="14">
        <v>12</v>
      </c>
    </row>
    <row r="287" spans="2:17" ht="14" customHeight="1" thickTop="1" thickBot="1" x14ac:dyDescent="0.2">
      <c r="B287" s="121">
        <v>3</v>
      </c>
      <c r="C287" s="102" t="str">
        <f t="shared" si="81"/>
        <v>11 h 30 à 14 h 30</v>
      </c>
      <c r="D287" s="22">
        <v>10</v>
      </c>
      <c r="E287" s="14">
        <v>0</v>
      </c>
      <c r="F287" s="14">
        <v>10</v>
      </c>
      <c r="G287" s="14">
        <v>11</v>
      </c>
      <c r="H287" s="61">
        <v>12</v>
      </c>
      <c r="I287" s="14">
        <v>15</v>
      </c>
      <c r="J287" s="14">
        <v>20</v>
      </c>
      <c r="K287" s="14">
        <v>18</v>
      </c>
      <c r="L287" s="14">
        <v>12</v>
      </c>
      <c r="M287" s="14">
        <v>11</v>
      </c>
      <c r="N287" s="14">
        <v>0</v>
      </c>
      <c r="O287" s="14">
        <v>12</v>
      </c>
    </row>
    <row r="288" spans="2:17" ht="14" customHeight="1" thickTop="1" thickBot="1" x14ac:dyDescent="0.2">
      <c r="B288" s="121">
        <v>4</v>
      </c>
      <c r="C288" s="102" t="str">
        <f t="shared" si="81"/>
        <v>14 h 30 à 17 h</v>
      </c>
      <c r="D288" s="22">
        <v>10</v>
      </c>
      <c r="E288" s="14">
        <v>0</v>
      </c>
      <c r="F288" s="14">
        <v>10</v>
      </c>
      <c r="G288" s="14">
        <v>11</v>
      </c>
      <c r="H288" s="61">
        <v>12</v>
      </c>
      <c r="I288" s="14">
        <v>15</v>
      </c>
      <c r="J288" s="14">
        <v>20</v>
      </c>
      <c r="K288" s="14">
        <v>18</v>
      </c>
      <c r="L288" s="14">
        <v>12</v>
      </c>
      <c r="M288" s="14">
        <v>11</v>
      </c>
      <c r="N288" s="14">
        <v>0</v>
      </c>
      <c r="O288" s="14">
        <v>12</v>
      </c>
    </row>
    <row r="289" spans="2:17" ht="14" customHeight="1" thickTop="1" thickBot="1" x14ac:dyDescent="0.2">
      <c r="B289" s="121">
        <v>5</v>
      </c>
      <c r="C289" s="102" t="str">
        <f t="shared" si="81"/>
        <v>17 h à 19 h</v>
      </c>
      <c r="D289" s="22">
        <v>10</v>
      </c>
      <c r="E289" s="14">
        <v>0</v>
      </c>
      <c r="F289" s="14">
        <v>10</v>
      </c>
      <c r="G289" s="14">
        <v>11</v>
      </c>
      <c r="H289" s="61">
        <v>12</v>
      </c>
      <c r="I289" s="14">
        <v>15</v>
      </c>
      <c r="J289" s="14">
        <v>20</v>
      </c>
      <c r="K289" s="14">
        <v>18</v>
      </c>
      <c r="L289" s="14">
        <v>12</v>
      </c>
      <c r="M289" s="14">
        <v>11</v>
      </c>
      <c r="N289" s="14">
        <v>0</v>
      </c>
      <c r="O289" s="14">
        <v>12</v>
      </c>
    </row>
    <row r="290" spans="2:17" ht="14" customHeight="1" thickTop="1" thickBot="1" x14ac:dyDescent="0.2">
      <c r="B290" s="121">
        <v>6</v>
      </c>
      <c r="C290" s="102" t="str">
        <f t="shared" si="81"/>
        <v>19 h à 23 h</v>
      </c>
      <c r="D290" s="22">
        <v>10</v>
      </c>
      <c r="E290" s="14">
        <v>0</v>
      </c>
      <c r="F290" s="14">
        <v>10</v>
      </c>
      <c r="G290" s="14">
        <v>11</v>
      </c>
      <c r="H290" s="61">
        <v>12</v>
      </c>
      <c r="I290" s="14">
        <v>15</v>
      </c>
      <c r="J290" s="14">
        <v>20</v>
      </c>
      <c r="K290" s="14">
        <v>18</v>
      </c>
      <c r="L290" s="14">
        <v>12</v>
      </c>
      <c r="M290" s="14">
        <v>11</v>
      </c>
      <c r="N290" s="14">
        <v>0</v>
      </c>
      <c r="O290" s="14">
        <v>12</v>
      </c>
    </row>
    <row r="291" spans="2:17" ht="14" customHeight="1" thickTop="1" thickBot="1" x14ac:dyDescent="0.2">
      <c r="B291" s="121">
        <v>7</v>
      </c>
      <c r="C291" s="102" t="str">
        <f t="shared" si="81"/>
        <v>23 h à 6 h</v>
      </c>
      <c r="D291" s="14">
        <v>0</v>
      </c>
      <c r="E291" s="14">
        <v>0</v>
      </c>
      <c r="F291" s="14">
        <v>0</v>
      </c>
      <c r="G291" s="14">
        <v>0</v>
      </c>
      <c r="H291" s="61">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50</v>
      </c>
      <c r="E292" s="24">
        <f t="shared" si="83"/>
        <v>0</v>
      </c>
      <c r="F292" s="24">
        <f t="shared" si="83"/>
        <v>50</v>
      </c>
      <c r="G292" s="24">
        <f t="shared" si="83"/>
        <v>55</v>
      </c>
      <c r="H292" s="24">
        <f t="shared" si="83"/>
        <v>60</v>
      </c>
      <c r="I292" s="24">
        <f t="shared" si="83"/>
        <v>75</v>
      </c>
      <c r="J292" s="24">
        <f t="shared" si="83"/>
        <v>100</v>
      </c>
      <c r="K292" s="24">
        <f t="shared" si="83"/>
        <v>90</v>
      </c>
      <c r="L292" s="24">
        <f t="shared" si="83"/>
        <v>60</v>
      </c>
      <c r="M292" s="24">
        <f>+M285+M286+M287+M288+M289+M290+M291</f>
        <v>55</v>
      </c>
      <c r="N292" s="24">
        <f>+N285+N286+N287+N288+N289+N290+N291</f>
        <v>0</v>
      </c>
      <c r="O292" s="24">
        <f>+O285+O286+O287+O288+O289+O290+O291</f>
        <v>60</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10</v>
      </c>
      <c r="E295" s="14">
        <v>0</v>
      </c>
      <c r="F295" s="14">
        <v>0</v>
      </c>
      <c r="G295" s="14">
        <v>11</v>
      </c>
      <c r="H295" s="14">
        <v>12</v>
      </c>
      <c r="I295" s="14">
        <v>0</v>
      </c>
      <c r="J295" s="14">
        <v>20</v>
      </c>
      <c r="K295" s="14">
        <v>18</v>
      </c>
      <c r="L295" s="14">
        <v>12</v>
      </c>
      <c r="M295" s="14">
        <v>11</v>
      </c>
      <c r="N295" s="14">
        <v>0</v>
      </c>
      <c r="O295" s="14">
        <v>12</v>
      </c>
    </row>
    <row r="296" spans="2:17" ht="14" customHeight="1" thickTop="1" thickBot="1" x14ac:dyDescent="0.2">
      <c r="B296" s="121">
        <v>3</v>
      </c>
      <c r="C296" s="102" t="str">
        <f t="shared" si="84"/>
        <v>11 h 30 à 14 h 30</v>
      </c>
      <c r="D296" s="22">
        <v>10</v>
      </c>
      <c r="E296" s="14">
        <v>0</v>
      </c>
      <c r="F296" s="14">
        <v>0</v>
      </c>
      <c r="G296" s="14">
        <v>11</v>
      </c>
      <c r="H296" s="14">
        <v>12</v>
      </c>
      <c r="I296" s="14">
        <v>0</v>
      </c>
      <c r="J296" s="14">
        <v>20</v>
      </c>
      <c r="K296" s="14">
        <v>18</v>
      </c>
      <c r="L296" s="14">
        <v>12</v>
      </c>
      <c r="M296" s="14">
        <v>11</v>
      </c>
      <c r="N296" s="14">
        <v>0</v>
      </c>
      <c r="O296" s="14">
        <v>12</v>
      </c>
    </row>
    <row r="297" spans="2:17" ht="14" customHeight="1" thickTop="1" thickBot="1" x14ac:dyDescent="0.2">
      <c r="B297" s="121">
        <v>4</v>
      </c>
      <c r="C297" s="102" t="str">
        <f t="shared" si="84"/>
        <v>14 h 30 à 17 h</v>
      </c>
      <c r="D297" s="22">
        <v>10</v>
      </c>
      <c r="E297" s="14">
        <v>0</v>
      </c>
      <c r="F297" s="14">
        <v>0</v>
      </c>
      <c r="G297" s="14">
        <v>11</v>
      </c>
      <c r="H297" s="14">
        <v>12</v>
      </c>
      <c r="I297" s="14">
        <v>0</v>
      </c>
      <c r="J297" s="14">
        <v>20</v>
      </c>
      <c r="K297" s="14">
        <v>18</v>
      </c>
      <c r="L297" s="14">
        <v>12</v>
      </c>
      <c r="M297" s="14">
        <v>11</v>
      </c>
      <c r="N297" s="14">
        <v>0</v>
      </c>
      <c r="O297" s="14">
        <v>12</v>
      </c>
    </row>
    <row r="298" spans="2:17" ht="14" customHeight="1" thickTop="1" thickBot="1" x14ac:dyDescent="0.2">
      <c r="B298" s="121">
        <v>5</v>
      </c>
      <c r="C298" s="102" t="str">
        <f t="shared" si="84"/>
        <v>17 h à 19 h</v>
      </c>
      <c r="D298" s="22">
        <v>10</v>
      </c>
      <c r="E298" s="14">
        <v>0</v>
      </c>
      <c r="F298" s="14">
        <v>0</v>
      </c>
      <c r="G298" s="14">
        <v>11</v>
      </c>
      <c r="H298" s="14">
        <v>12</v>
      </c>
      <c r="I298" s="14">
        <v>0</v>
      </c>
      <c r="J298" s="14">
        <v>20</v>
      </c>
      <c r="K298" s="14">
        <v>18</v>
      </c>
      <c r="L298" s="14">
        <v>12</v>
      </c>
      <c r="M298" s="14">
        <v>11</v>
      </c>
      <c r="N298" s="14">
        <v>0</v>
      </c>
      <c r="O298" s="14">
        <v>12</v>
      </c>
    </row>
    <row r="299" spans="2:17" ht="14" customHeight="1" thickTop="1" thickBot="1" x14ac:dyDescent="0.2">
      <c r="B299" s="121">
        <v>6</v>
      </c>
      <c r="C299" s="102" t="str">
        <f t="shared" si="84"/>
        <v>19 h à 23 h</v>
      </c>
      <c r="D299" s="22">
        <v>10</v>
      </c>
      <c r="E299" s="14">
        <v>0</v>
      </c>
      <c r="F299" s="14">
        <v>0</v>
      </c>
      <c r="G299" s="14">
        <v>11</v>
      </c>
      <c r="H299" s="14">
        <v>12</v>
      </c>
      <c r="I299" s="14">
        <v>0</v>
      </c>
      <c r="J299" s="14">
        <v>20</v>
      </c>
      <c r="K299" s="14">
        <v>18</v>
      </c>
      <c r="L299" s="14">
        <v>12</v>
      </c>
      <c r="M299" s="14">
        <v>11</v>
      </c>
      <c r="N299" s="14">
        <v>0</v>
      </c>
      <c r="O299" s="14">
        <v>12</v>
      </c>
    </row>
    <row r="300" spans="2:17" ht="14" customHeight="1" thickTop="1" thickBot="1" x14ac:dyDescent="0.2">
      <c r="B300" s="121">
        <v>7</v>
      </c>
      <c r="C300" s="102" t="str">
        <f t="shared" si="84"/>
        <v>23 h à 6 h</v>
      </c>
      <c r="D300" s="14">
        <v>0</v>
      </c>
      <c r="E300" s="14">
        <v>0</v>
      </c>
      <c r="F300" s="14">
        <v>0</v>
      </c>
      <c r="G300" s="14">
        <v>0</v>
      </c>
      <c r="H300" s="14">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50</v>
      </c>
      <c r="E301" s="24">
        <f t="shared" si="85"/>
        <v>0</v>
      </c>
      <c r="F301" s="24">
        <f t="shared" si="85"/>
        <v>0</v>
      </c>
      <c r="G301" s="24">
        <f t="shared" si="85"/>
        <v>55</v>
      </c>
      <c r="H301" s="24">
        <f t="shared" si="85"/>
        <v>60</v>
      </c>
      <c r="I301" s="24">
        <f t="shared" si="85"/>
        <v>0</v>
      </c>
      <c r="J301" s="24">
        <f t="shared" si="85"/>
        <v>100</v>
      </c>
      <c r="K301" s="24">
        <f t="shared" si="85"/>
        <v>90</v>
      </c>
      <c r="L301" s="24">
        <f t="shared" si="85"/>
        <v>60</v>
      </c>
      <c r="M301" s="24">
        <f t="shared" si="85"/>
        <v>55</v>
      </c>
      <c r="N301" s="24">
        <f t="shared" si="85"/>
        <v>0</v>
      </c>
      <c r="O301" s="24">
        <f t="shared" si="85"/>
        <v>60</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10</v>
      </c>
      <c r="E304" s="14">
        <v>0</v>
      </c>
      <c r="F304" s="14">
        <v>0</v>
      </c>
      <c r="G304" s="14">
        <v>11</v>
      </c>
      <c r="H304" s="14">
        <v>12</v>
      </c>
      <c r="I304" s="14">
        <v>0</v>
      </c>
      <c r="J304" s="14">
        <v>20</v>
      </c>
      <c r="K304" s="14">
        <v>18</v>
      </c>
      <c r="L304" s="14">
        <v>0</v>
      </c>
      <c r="M304" s="14">
        <v>11</v>
      </c>
      <c r="N304" s="14">
        <v>0</v>
      </c>
      <c r="O304" s="14">
        <v>12</v>
      </c>
    </row>
    <row r="305" spans="2:15" ht="14" customHeight="1" thickTop="1" thickBot="1" x14ac:dyDescent="0.2">
      <c r="B305" s="121">
        <v>3</v>
      </c>
      <c r="C305" s="102" t="str">
        <f t="shared" si="86"/>
        <v>11 h 30 à 14 h 30</v>
      </c>
      <c r="D305" s="22">
        <v>10</v>
      </c>
      <c r="E305" s="14">
        <v>0</v>
      </c>
      <c r="F305" s="14">
        <v>0</v>
      </c>
      <c r="G305" s="14">
        <v>11</v>
      </c>
      <c r="H305" s="14">
        <v>12</v>
      </c>
      <c r="I305" s="14">
        <v>0</v>
      </c>
      <c r="J305" s="14">
        <v>20</v>
      </c>
      <c r="K305" s="14">
        <v>18</v>
      </c>
      <c r="L305" s="14">
        <v>0</v>
      </c>
      <c r="M305" s="14">
        <v>11</v>
      </c>
      <c r="N305" s="14">
        <v>0</v>
      </c>
      <c r="O305" s="14">
        <v>12</v>
      </c>
    </row>
    <row r="306" spans="2:15" ht="14" customHeight="1" thickTop="1" thickBot="1" x14ac:dyDescent="0.2">
      <c r="B306" s="121">
        <v>4</v>
      </c>
      <c r="C306" s="102" t="str">
        <f t="shared" si="86"/>
        <v>14 h 30 à 17 h</v>
      </c>
      <c r="D306" s="22">
        <v>10</v>
      </c>
      <c r="E306" s="14">
        <v>0</v>
      </c>
      <c r="F306" s="14">
        <v>0</v>
      </c>
      <c r="G306" s="14">
        <v>11</v>
      </c>
      <c r="H306" s="14">
        <v>12</v>
      </c>
      <c r="I306" s="14">
        <v>0</v>
      </c>
      <c r="J306" s="14">
        <v>20</v>
      </c>
      <c r="K306" s="14">
        <v>18</v>
      </c>
      <c r="L306" s="14">
        <v>0</v>
      </c>
      <c r="M306" s="14">
        <v>11</v>
      </c>
      <c r="N306" s="14">
        <v>0</v>
      </c>
      <c r="O306" s="14">
        <v>12</v>
      </c>
    </row>
    <row r="307" spans="2:15" ht="14" customHeight="1" thickTop="1" thickBot="1" x14ac:dyDescent="0.2">
      <c r="B307" s="121">
        <v>5</v>
      </c>
      <c r="C307" s="102" t="str">
        <f t="shared" si="86"/>
        <v>17 h à 19 h</v>
      </c>
      <c r="D307" s="22">
        <v>10</v>
      </c>
      <c r="E307" s="14">
        <v>0</v>
      </c>
      <c r="F307" s="14">
        <v>0</v>
      </c>
      <c r="G307" s="14">
        <v>11</v>
      </c>
      <c r="H307" s="14">
        <v>12</v>
      </c>
      <c r="I307" s="14">
        <v>0</v>
      </c>
      <c r="J307" s="14">
        <v>20</v>
      </c>
      <c r="K307" s="14">
        <v>18</v>
      </c>
      <c r="L307" s="14">
        <v>0</v>
      </c>
      <c r="M307" s="14">
        <v>11</v>
      </c>
      <c r="N307" s="14">
        <v>0</v>
      </c>
      <c r="O307" s="14">
        <v>12</v>
      </c>
    </row>
    <row r="308" spans="2:15" ht="14" customHeight="1" thickTop="1" thickBot="1" x14ac:dyDescent="0.2">
      <c r="B308" s="121">
        <v>6</v>
      </c>
      <c r="C308" s="102" t="str">
        <f t="shared" si="86"/>
        <v>19 h à 23 h</v>
      </c>
      <c r="D308" s="22">
        <v>10</v>
      </c>
      <c r="E308" s="14">
        <v>0</v>
      </c>
      <c r="F308" s="14">
        <v>0</v>
      </c>
      <c r="G308" s="14">
        <v>11</v>
      </c>
      <c r="H308" s="14">
        <v>12</v>
      </c>
      <c r="I308" s="14">
        <v>0</v>
      </c>
      <c r="J308" s="14">
        <v>20</v>
      </c>
      <c r="K308" s="14">
        <v>18</v>
      </c>
      <c r="L308" s="14">
        <v>0</v>
      </c>
      <c r="M308" s="14">
        <v>11</v>
      </c>
      <c r="N308" s="14">
        <v>0</v>
      </c>
      <c r="O308" s="14">
        <v>12</v>
      </c>
    </row>
    <row r="309" spans="2:15" ht="14" customHeight="1" thickTop="1" thickBot="1" x14ac:dyDescent="0.2">
      <c r="B309" s="121">
        <v>7</v>
      </c>
      <c r="C309" s="102" t="str">
        <f t="shared" si="86"/>
        <v>23 h à 6 h</v>
      </c>
      <c r="D309" s="14">
        <v>0</v>
      </c>
      <c r="E309" s="14">
        <v>0</v>
      </c>
      <c r="F309" s="14">
        <v>0</v>
      </c>
      <c r="G309" s="14">
        <v>0</v>
      </c>
      <c r="H309" s="14">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50</v>
      </c>
      <c r="E310" s="24">
        <f t="shared" si="88"/>
        <v>0</v>
      </c>
      <c r="F310" s="24">
        <f t="shared" si="88"/>
        <v>0</v>
      </c>
      <c r="G310" s="24">
        <f t="shared" si="88"/>
        <v>55</v>
      </c>
      <c r="H310" s="24">
        <f t="shared" si="88"/>
        <v>60</v>
      </c>
      <c r="I310" s="24">
        <f t="shared" si="88"/>
        <v>0</v>
      </c>
      <c r="J310" s="24">
        <f t="shared" si="88"/>
        <v>100</v>
      </c>
      <c r="K310" s="24">
        <f t="shared" si="88"/>
        <v>90</v>
      </c>
      <c r="L310" s="24">
        <f t="shared" si="88"/>
        <v>0</v>
      </c>
      <c r="M310" s="24">
        <f>+M303+M304+M305+M306+M307+M308+M309</f>
        <v>55</v>
      </c>
      <c r="N310" s="24">
        <f>+N303+N304+N305+N306+N307+N308+N309</f>
        <v>0</v>
      </c>
      <c r="O310" s="24">
        <f>+O303+O304+O305+O306+O307+O308+O309</f>
        <v>60</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10</v>
      </c>
      <c r="E313" s="14">
        <v>0</v>
      </c>
      <c r="F313" s="14">
        <v>0</v>
      </c>
      <c r="G313" s="14">
        <v>0</v>
      </c>
      <c r="H313" s="14">
        <v>12</v>
      </c>
      <c r="I313" s="14">
        <v>0</v>
      </c>
      <c r="J313" s="14">
        <v>20</v>
      </c>
      <c r="K313" s="14">
        <v>18</v>
      </c>
      <c r="L313" s="14">
        <v>0</v>
      </c>
      <c r="M313" s="14">
        <v>11</v>
      </c>
      <c r="N313" s="14">
        <v>0</v>
      </c>
      <c r="O313" s="14">
        <v>0</v>
      </c>
    </row>
    <row r="314" spans="2:15" ht="14" customHeight="1" thickTop="1" thickBot="1" x14ac:dyDescent="0.2">
      <c r="B314" s="18">
        <v>3</v>
      </c>
      <c r="C314" s="102" t="str">
        <f t="shared" si="89"/>
        <v>11 h 30 à 14 h 30</v>
      </c>
      <c r="D314" s="22">
        <v>10</v>
      </c>
      <c r="E314" s="14">
        <v>0</v>
      </c>
      <c r="F314" s="14">
        <v>0</v>
      </c>
      <c r="G314" s="14">
        <v>0</v>
      </c>
      <c r="H314" s="14">
        <v>12</v>
      </c>
      <c r="I314" s="14">
        <v>0</v>
      </c>
      <c r="J314" s="14">
        <v>20</v>
      </c>
      <c r="K314" s="14">
        <v>18</v>
      </c>
      <c r="L314" s="14">
        <v>0</v>
      </c>
      <c r="M314" s="14">
        <v>11</v>
      </c>
      <c r="N314" s="14">
        <v>0</v>
      </c>
      <c r="O314" s="14">
        <v>0</v>
      </c>
    </row>
    <row r="315" spans="2:15" ht="14" customHeight="1" thickTop="1" thickBot="1" x14ac:dyDescent="0.2">
      <c r="B315" s="18">
        <v>4</v>
      </c>
      <c r="C315" s="102" t="str">
        <f t="shared" si="89"/>
        <v>14 h 30 à 17 h</v>
      </c>
      <c r="D315" s="22">
        <v>10</v>
      </c>
      <c r="E315" s="14">
        <v>0</v>
      </c>
      <c r="F315" s="14">
        <v>0</v>
      </c>
      <c r="G315" s="14">
        <v>0</v>
      </c>
      <c r="H315" s="14">
        <v>12</v>
      </c>
      <c r="I315" s="14">
        <v>0</v>
      </c>
      <c r="J315" s="14">
        <v>20</v>
      </c>
      <c r="K315" s="14">
        <v>18</v>
      </c>
      <c r="L315" s="14">
        <v>0</v>
      </c>
      <c r="M315" s="14">
        <v>11</v>
      </c>
      <c r="N315" s="14">
        <v>0</v>
      </c>
      <c r="O315" s="14">
        <v>0</v>
      </c>
    </row>
    <row r="316" spans="2:15" ht="14" customHeight="1" thickTop="1" thickBot="1" x14ac:dyDescent="0.2">
      <c r="B316" s="18">
        <v>5</v>
      </c>
      <c r="C316" s="102" t="str">
        <f t="shared" si="89"/>
        <v>17 h à 19 h</v>
      </c>
      <c r="D316" s="22">
        <v>10</v>
      </c>
      <c r="E316" s="14">
        <v>0</v>
      </c>
      <c r="F316" s="14">
        <v>0</v>
      </c>
      <c r="G316" s="14">
        <v>0</v>
      </c>
      <c r="H316" s="14">
        <v>12</v>
      </c>
      <c r="I316" s="14">
        <v>0</v>
      </c>
      <c r="J316" s="14">
        <v>20</v>
      </c>
      <c r="K316" s="14">
        <v>18</v>
      </c>
      <c r="L316" s="14">
        <v>0</v>
      </c>
      <c r="M316" s="14">
        <v>11</v>
      </c>
      <c r="N316" s="14">
        <v>0</v>
      </c>
      <c r="O316" s="14">
        <v>0</v>
      </c>
    </row>
    <row r="317" spans="2:15" ht="14" customHeight="1" thickTop="1" thickBot="1" x14ac:dyDescent="0.2">
      <c r="B317" s="18">
        <v>6</v>
      </c>
      <c r="C317" s="102" t="str">
        <f t="shared" si="89"/>
        <v>19 h à 23 h</v>
      </c>
      <c r="D317" s="22">
        <v>10</v>
      </c>
      <c r="E317" s="14">
        <v>0</v>
      </c>
      <c r="F317" s="14">
        <v>0</v>
      </c>
      <c r="G317" s="14">
        <v>0</v>
      </c>
      <c r="H317" s="14">
        <v>12</v>
      </c>
      <c r="I317" s="14">
        <v>0</v>
      </c>
      <c r="J317" s="14">
        <v>20</v>
      </c>
      <c r="K317" s="14">
        <v>18</v>
      </c>
      <c r="L317" s="14">
        <v>0</v>
      </c>
      <c r="M317" s="14">
        <v>11</v>
      </c>
      <c r="N317" s="14">
        <v>0</v>
      </c>
      <c r="O317" s="14">
        <v>0</v>
      </c>
    </row>
    <row r="318" spans="2:15" ht="14" customHeight="1" thickTop="1" thickBot="1" x14ac:dyDescent="0.2">
      <c r="B318" s="18">
        <v>7</v>
      </c>
      <c r="C318" s="102" t="str">
        <f t="shared" si="89"/>
        <v>23 h à 6 h</v>
      </c>
      <c r="D318" s="14">
        <v>0</v>
      </c>
      <c r="E318" s="14">
        <v>0</v>
      </c>
      <c r="F318" s="14">
        <v>0</v>
      </c>
      <c r="G318" s="14">
        <v>0</v>
      </c>
      <c r="H318" s="14">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50</v>
      </c>
      <c r="E319" s="24">
        <f t="shared" si="91"/>
        <v>0</v>
      </c>
      <c r="F319" s="24">
        <f t="shared" si="91"/>
        <v>0</v>
      </c>
      <c r="G319" s="24">
        <f t="shared" si="91"/>
        <v>0</v>
      </c>
      <c r="H319" s="24">
        <f t="shared" si="91"/>
        <v>60</v>
      </c>
      <c r="I319" s="24">
        <f t="shared" si="91"/>
        <v>0</v>
      </c>
      <c r="J319" s="24">
        <f t="shared" si="91"/>
        <v>100</v>
      </c>
      <c r="K319" s="24">
        <f t="shared" si="91"/>
        <v>90</v>
      </c>
      <c r="L319" s="24">
        <f t="shared" si="91"/>
        <v>0</v>
      </c>
      <c r="M319" s="24">
        <f t="shared" si="91"/>
        <v>55</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10</v>
      </c>
      <c r="E322" s="14">
        <v>0</v>
      </c>
      <c r="F322" s="14">
        <v>0</v>
      </c>
      <c r="G322" s="14">
        <v>0</v>
      </c>
      <c r="H322" s="14">
        <v>12</v>
      </c>
      <c r="I322" s="14">
        <v>0</v>
      </c>
      <c r="J322" s="14">
        <v>0</v>
      </c>
      <c r="K322" s="14">
        <v>18</v>
      </c>
      <c r="L322" s="14">
        <v>0</v>
      </c>
      <c r="M322" s="14">
        <v>11</v>
      </c>
      <c r="N322" s="14">
        <v>0</v>
      </c>
      <c r="O322" s="14">
        <v>0</v>
      </c>
    </row>
    <row r="323" spans="2:15" ht="14" customHeight="1" thickTop="1" thickBot="1" x14ac:dyDescent="0.2">
      <c r="B323" s="18">
        <v>3</v>
      </c>
      <c r="C323" s="102" t="str">
        <f t="shared" si="92"/>
        <v>11 h 30 à 14 h 30</v>
      </c>
      <c r="D323" s="22">
        <v>10</v>
      </c>
      <c r="E323" s="14">
        <v>0</v>
      </c>
      <c r="F323" s="14">
        <v>0</v>
      </c>
      <c r="G323" s="14">
        <v>0</v>
      </c>
      <c r="H323" s="14">
        <v>12</v>
      </c>
      <c r="I323" s="14">
        <v>0</v>
      </c>
      <c r="J323" s="14">
        <v>0</v>
      </c>
      <c r="K323" s="14">
        <v>18</v>
      </c>
      <c r="L323" s="14">
        <v>0</v>
      </c>
      <c r="M323" s="14">
        <v>11</v>
      </c>
      <c r="N323" s="14">
        <v>0</v>
      </c>
      <c r="O323" s="14">
        <v>0</v>
      </c>
    </row>
    <row r="324" spans="2:15" ht="14" customHeight="1" thickTop="1" thickBot="1" x14ac:dyDescent="0.2">
      <c r="B324" s="18">
        <v>4</v>
      </c>
      <c r="C324" s="102" t="str">
        <f t="shared" si="92"/>
        <v>14 h 30 à 17 h</v>
      </c>
      <c r="D324" s="22">
        <v>10</v>
      </c>
      <c r="E324" s="14">
        <v>0</v>
      </c>
      <c r="F324" s="14">
        <v>0</v>
      </c>
      <c r="G324" s="14">
        <v>0</v>
      </c>
      <c r="H324" s="14">
        <v>12</v>
      </c>
      <c r="I324" s="14">
        <v>0</v>
      </c>
      <c r="J324" s="14">
        <v>0</v>
      </c>
      <c r="K324" s="14">
        <v>18</v>
      </c>
      <c r="L324" s="14">
        <v>0</v>
      </c>
      <c r="M324" s="14">
        <v>11</v>
      </c>
      <c r="N324" s="14">
        <v>0</v>
      </c>
      <c r="O324" s="14">
        <v>0</v>
      </c>
    </row>
    <row r="325" spans="2:15" ht="14" customHeight="1" thickTop="1" thickBot="1" x14ac:dyDescent="0.2">
      <c r="B325" s="18">
        <v>5</v>
      </c>
      <c r="C325" s="102" t="str">
        <f t="shared" si="92"/>
        <v>17 h à 19 h</v>
      </c>
      <c r="D325" s="22">
        <v>10</v>
      </c>
      <c r="E325" s="14">
        <v>0</v>
      </c>
      <c r="F325" s="14">
        <v>0</v>
      </c>
      <c r="G325" s="14">
        <v>0</v>
      </c>
      <c r="H325" s="14">
        <v>12</v>
      </c>
      <c r="I325" s="14">
        <v>0</v>
      </c>
      <c r="J325" s="14">
        <v>0</v>
      </c>
      <c r="K325" s="14">
        <v>18</v>
      </c>
      <c r="L325" s="14">
        <v>0</v>
      </c>
      <c r="M325" s="14">
        <v>11</v>
      </c>
      <c r="N325" s="14">
        <v>0</v>
      </c>
      <c r="O325" s="14">
        <v>0</v>
      </c>
    </row>
    <row r="326" spans="2:15" ht="14" customHeight="1" thickTop="1" thickBot="1" x14ac:dyDescent="0.2">
      <c r="B326" s="18">
        <v>6</v>
      </c>
      <c r="C326" s="102" t="str">
        <f t="shared" si="92"/>
        <v>19 h à 23 h</v>
      </c>
      <c r="D326" s="22">
        <v>10</v>
      </c>
      <c r="E326" s="14">
        <v>0</v>
      </c>
      <c r="F326" s="14">
        <v>0</v>
      </c>
      <c r="G326" s="14">
        <v>0</v>
      </c>
      <c r="H326" s="14">
        <v>12</v>
      </c>
      <c r="I326" s="14">
        <v>0</v>
      </c>
      <c r="J326" s="14">
        <v>0</v>
      </c>
      <c r="K326" s="14">
        <v>18</v>
      </c>
      <c r="L326" s="14">
        <v>0</v>
      </c>
      <c r="M326" s="14">
        <v>11</v>
      </c>
      <c r="N326" s="14">
        <v>0</v>
      </c>
      <c r="O326" s="14">
        <v>0</v>
      </c>
    </row>
    <row r="327" spans="2:15" ht="14" customHeight="1" thickTop="1" thickBot="1" x14ac:dyDescent="0.2">
      <c r="B327" s="18">
        <v>7</v>
      </c>
      <c r="C327" s="102" t="str">
        <f t="shared" si="92"/>
        <v>23 h à 6 h</v>
      </c>
      <c r="D327" s="14">
        <v>0</v>
      </c>
      <c r="E327" s="14">
        <v>0</v>
      </c>
      <c r="F327" s="14">
        <v>0</v>
      </c>
      <c r="G327" s="14">
        <v>0</v>
      </c>
      <c r="H327" s="14">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50</v>
      </c>
      <c r="E328" s="24">
        <f t="shared" si="94"/>
        <v>0</v>
      </c>
      <c r="F328" s="24">
        <f t="shared" si="94"/>
        <v>0</v>
      </c>
      <c r="G328" s="24">
        <f t="shared" si="94"/>
        <v>0</v>
      </c>
      <c r="H328" s="24">
        <f t="shared" si="94"/>
        <v>60</v>
      </c>
      <c r="I328" s="24">
        <f t="shared" si="94"/>
        <v>0</v>
      </c>
      <c r="J328" s="24">
        <f t="shared" si="94"/>
        <v>0</v>
      </c>
      <c r="K328" s="24">
        <f t="shared" si="94"/>
        <v>90</v>
      </c>
      <c r="L328" s="24">
        <f t="shared" si="94"/>
        <v>0</v>
      </c>
      <c r="M328" s="24">
        <f>+M321+M322+M323+M324+M325+M326+M327</f>
        <v>55</v>
      </c>
      <c r="N328" s="24">
        <f>+N321+N322+N323+N324+N325+N326+N327</f>
        <v>0</v>
      </c>
      <c r="O328" s="24">
        <f>+O321+O322+O323+O324+O325+O326+O327</f>
        <v>0</v>
      </c>
    </row>
    <row r="329" spans="2:15" ht="14" customHeight="1" thickTop="1" thickBot="1" x14ac:dyDescent="0.2">
      <c r="B329" s="793" t="s">
        <v>21</v>
      </c>
      <c r="C329" s="796"/>
      <c r="D329" s="796"/>
      <c r="E329" s="796"/>
      <c r="F329" s="796"/>
      <c r="G329" s="796"/>
      <c r="H329" s="796"/>
      <c r="I329" s="796"/>
      <c r="J329" s="796"/>
      <c r="K329" s="796"/>
      <c r="L329" s="796"/>
      <c r="M329" s="796"/>
      <c r="N329" s="796"/>
      <c r="O329" s="797"/>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14">
        <v>12</v>
      </c>
      <c r="I332" s="14">
        <v>0</v>
      </c>
      <c r="J332" s="14">
        <v>0</v>
      </c>
      <c r="K332" s="14">
        <v>18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14">
        <v>12</v>
      </c>
      <c r="I333" s="14">
        <v>0</v>
      </c>
      <c r="J333" s="14">
        <v>0</v>
      </c>
      <c r="K333" s="14">
        <v>18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14">
        <v>12</v>
      </c>
      <c r="I334" s="14">
        <v>0</v>
      </c>
      <c r="J334" s="14">
        <v>0</v>
      </c>
      <c r="K334" s="14">
        <v>18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14">
        <v>12</v>
      </c>
      <c r="I335" s="14">
        <v>0</v>
      </c>
      <c r="J335" s="14">
        <v>0</v>
      </c>
      <c r="K335" s="14">
        <v>18</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14">
        <v>12</v>
      </c>
      <c r="I336" s="14">
        <v>0</v>
      </c>
      <c r="J336" s="14">
        <v>0</v>
      </c>
      <c r="K336" s="14">
        <v>18</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14">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60</v>
      </c>
      <c r="I338" s="24">
        <f t="shared" si="96"/>
        <v>0</v>
      </c>
      <c r="J338" s="17">
        <f t="shared" si="96"/>
        <v>0</v>
      </c>
      <c r="K338" s="24">
        <f t="shared" si="96"/>
        <v>90</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18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18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18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18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18</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90</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1550</v>
      </c>
      <c r="E395" s="82">
        <f t="shared" si="114"/>
        <v>1260</v>
      </c>
      <c r="F395" s="82">
        <f t="shared" si="114"/>
        <v>1550</v>
      </c>
      <c r="G395" s="82">
        <f t="shared" si="114"/>
        <v>1650</v>
      </c>
      <c r="H395" s="82">
        <f t="shared" si="114"/>
        <v>1860</v>
      </c>
      <c r="I395" s="82">
        <f t="shared" si="114"/>
        <v>2250</v>
      </c>
      <c r="J395" s="82">
        <f t="shared" si="114"/>
        <v>3100</v>
      </c>
      <c r="K395" s="82">
        <f t="shared" si="114"/>
        <v>2790</v>
      </c>
      <c r="L395" s="82">
        <f t="shared" si="114"/>
        <v>1800</v>
      </c>
      <c r="M395" s="82">
        <f t="shared" si="114"/>
        <v>1705</v>
      </c>
      <c r="N395" s="82">
        <f t="shared" si="114"/>
        <v>1500</v>
      </c>
      <c r="O395" s="82">
        <f t="shared" si="114"/>
        <v>1860</v>
      </c>
      <c r="P395" s="82">
        <f>+SUM(D395:O395)</f>
        <v>22875</v>
      </c>
      <c r="Q395" s="798" t="s">
        <v>23</v>
      </c>
      <c r="R395" s="799"/>
    </row>
    <row r="396" spans="2:19" ht="14" customHeight="1" thickBot="1" x14ac:dyDescent="0.2">
      <c r="B396" s="88"/>
      <c r="C396" s="86"/>
      <c r="D396" s="83">
        <f t="shared" ref="D396:O396" si="115">+D395/D8</f>
        <v>50</v>
      </c>
      <c r="E396" s="83">
        <f t="shared" si="115"/>
        <v>45</v>
      </c>
      <c r="F396" s="83">
        <f t="shared" si="115"/>
        <v>50</v>
      </c>
      <c r="G396" s="83">
        <f t="shared" si="115"/>
        <v>55</v>
      </c>
      <c r="H396" s="83">
        <f t="shared" si="115"/>
        <v>60</v>
      </c>
      <c r="I396" s="83">
        <f t="shared" si="115"/>
        <v>75</v>
      </c>
      <c r="J396" s="83">
        <f t="shared" si="115"/>
        <v>100</v>
      </c>
      <c r="K396" s="83">
        <f t="shared" si="115"/>
        <v>90</v>
      </c>
      <c r="L396" s="83">
        <f t="shared" si="115"/>
        <v>60</v>
      </c>
      <c r="M396" s="83">
        <f t="shared" si="115"/>
        <v>55</v>
      </c>
      <c r="N396" s="83">
        <f t="shared" si="115"/>
        <v>50</v>
      </c>
      <c r="O396" s="83">
        <f t="shared" si="115"/>
        <v>60</v>
      </c>
      <c r="P396" s="791" t="s">
        <v>24</v>
      </c>
      <c r="Q396" s="792"/>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B1" sqref="B1"/>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816" t="str">
        <f>+'Calendrier 2021'!B2:O2</f>
        <v xml:space="preserve">Entreprise de restauration alimentaire 12 inc. </v>
      </c>
      <c r="C2" s="817"/>
      <c r="D2" s="817"/>
      <c r="E2" s="817"/>
      <c r="F2" s="817"/>
      <c r="G2" s="817"/>
      <c r="H2" s="817"/>
      <c r="I2" s="817"/>
      <c r="J2" s="817"/>
      <c r="K2" s="817"/>
      <c r="L2" s="817"/>
      <c r="M2" s="817"/>
      <c r="N2" s="817"/>
      <c r="O2" s="817"/>
      <c r="P2" s="818"/>
    </row>
    <row r="3" spans="2:16" ht="16" x14ac:dyDescent="0.2">
      <c r="B3" s="819" t="str">
        <f>+'Calendrier 2021'!B3:O3</f>
        <v xml:space="preserve">États des résultats prévisionnels </v>
      </c>
      <c r="C3" s="820"/>
      <c r="D3" s="820"/>
      <c r="E3" s="820"/>
      <c r="F3" s="820"/>
      <c r="G3" s="820"/>
      <c r="H3" s="820"/>
      <c r="I3" s="820"/>
      <c r="J3" s="820"/>
      <c r="K3" s="820"/>
      <c r="L3" s="820"/>
      <c r="M3" s="820"/>
      <c r="N3" s="820"/>
      <c r="O3" s="820"/>
      <c r="P3" s="821"/>
    </row>
    <row r="4" spans="2:16" ht="14" thickBot="1" x14ac:dyDescent="0.2">
      <c r="B4" s="822" t="str">
        <f>+'Calendrier 2021'!B4:O4</f>
        <v>Pour la période du 1er janvier 2021 au 31 décembre 2021</v>
      </c>
      <c r="C4" s="823"/>
      <c r="D4" s="823"/>
      <c r="E4" s="823"/>
      <c r="F4" s="823"/>
      <c r="G4" s="823"/>
      <c r="H4" s="823"/>
      <c r="I4" s="823"/>
      <c r="J4" s="823"/>
      <c r="K4" s="823"/>
      <c r="L4" s="823"/>
      <c r="M4" s="823"/>
      <c r="N4" s="823"/>
      <c r="O4" s="823"/>
      <c r="P4" s="824"/>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829" t="str">
        <f>+'Achalandage 2021'!B7:C7</f>
        <v>NB de place</v>
      </c>
      <c r="C7" s="830"/>
      <c r="D7" s="117">
        <f>+'Calendrier 2021'!D7</f>
        <v>50</v>
      </c>
      <c r="E7" s="118">
        <f t="shared" ref="E7:O7" si="0">+D7</f>
        <v>50</v>
      </c>
      <c r="F7" s="119">
        <f t="shared" si="0"/>
        <v>50</v>
      </c>
      <c r="G7" s="119">
        <f t="shared" si="0"/>
        <v>50</v>
      </c>
      <c r="H7" s="119">
        <f t="shared" si="0"/>
        <v>50</v>
      </c>
      <c r="I7" s="119">
        <f t="shared" si="0"/>
        <v>50</v>
      </c>
      <c r="J7" s="119">
        <f t="shared" si="0"/>
        <v>50</v>
      </c>
      <c r="K7" s="119">
        <f t="shared" si="0"/>
        <v>50</v>
      </c>
      <c r="L7" s="119">
        <f t="shared" si="0"/>
        <v>50</v>
      </c>
      <c r="M7" s="119">
        <f t="shared" si="0"/>
        <v>50</v>
      </c>
      <c r="N7" s="119">
        <f t="shared" si="0"/>
        <v>50</v>
      </c>
      <c r="O7" s="120">
        <f t="shared" si="0"/>
        <v>50</v>
      </c>
      <c r="P7" s="120">
        <f t="shared" ref="P7" si="1">+O7</f>
        <v>50</v>
      </c>
    </row>
    <row r="8" spans="2:16" ht="15" thickTop="1" thickBot="1" x14ac:dyDescent="0.2">
      <c r="B8" s="831" t="s">
        <v>28</v>
      </c>
      <c r="C8" s="832"/>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833" t="s">
        <v>29</v>
      </c>
      <c r="C9" s="834"/>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6.7759562841530049E-2</v>
      </c>
      <c r="E10" s="108">
        <f t="shared" si="3"/>
        <v>5.5081967213114758E-2</v>
      </c>
      <c r="F10" s="108">
        <f t="shared" si="3"/>
        <v>6.7759562841530049E-2</v>
      </c>
      <c r="G10" s="108">
        <f t="shared" si="3"/>
        <v>7.2131147540983612E-2</v>
      </c>
      <c r="H10" s="108">
        <f t="shared" si="3"/>
        <v>8.1311475409836062E-2</v>
      </c>
      <c r="I10" s="108">
        <f t="shared" si="3"/>
        <v>9.8360655737704916E-2</v>
      </c>
      <c r="J10" s="108">
        <f t="shared" si="3"/>
        <v>0.1355191256830601</v>
      </c>
      <c r="K10" s="108">
        <f t="shared" si="3"/>
        <v>0.1219672131147541</v>
      </c>
      <c r="L10" s="108">
        <f t="shared" si="3"/>
        <v>7.8688524590163941E-2</v>
      </c>
      <c r="M10" s="108">
        <f t="shared" si="3"/>
        <v>7.4535519125683056E-2</v>
      </c>
      <c r="N10" s="108">
        <f t="shared" si="3"/>
        <v>6.5573770491803282E-2</v>
      </c>
      <c r="O10" s="108">
        <f t="shared" si="3"/>
        <v>8.1311475409836062E-2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310</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330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372</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620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558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360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341</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300</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372</v>
      </c>
      <c r="P12" s="67">
        <f>+D12+E12+F12+G12+H12+I12+J12+K12+L12+M12+N12+O12</f>
        <v>4575</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310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252</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310</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330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372</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450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620</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558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360</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341</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300</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372</v>
      </c>
      <c r="P13" s="67">
        <f t="shared" ref="P13:P17" si="4">+D13+E13+F13+G13+H13+I13+J13+K13+L13+M13+N13+O13</f>
        <v>4575</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310</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310</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330</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372</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450</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558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360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341</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300</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372</v>
      </c>
      <c r="P14" s="67">
        <f t="shared" si="4"/>
        <v>4575</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310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252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310</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330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372</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450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620</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558</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360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341</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300</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372</v>
      </c>
      <c r="P15" s="67">
        <f t="shared" si="4"/>
        <v>4575</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252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310</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372</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450</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620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558</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360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341</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300</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372</v>
      </c>
      <c r="P16" s="67">
        <f t="shared" si="4"/>
        <v>4575</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1550</v>
      </c>
      <c r="E18" s="65">
        <f t="shared" si="5"/>
        <v>1260</v>
      </c>
      <c r="F18" s="65">
        <f t="shared" si="5"/>
        <v>1550</v>
      </c>
      <c r="G18" s="65">
        <f t="shared" si="5"/>
        <v>1650</v>
      </c>
      <c r="H18" s="65">
        <f t="shared" si="5"/>
        <v>1860</v>
      </c>
      <c r="I18" s="65">
        <f t="shared" si="5"/>
        <v>2250</v>
      </c>
      <c r="J18" s="65">
        <f t="shared" si="5"/>
        <v>3100</v>
      </c>
      <c r="K18" s="65">
        <f t="shared" si="5"/>
        <v>2790</v>
      </c>
      <c r="L18" s="65">
        <f t="shared" si="5"/>
        <v>1800</v>
      </c>
      <c r="M18" s="65">
        <f t="shared" si="5"/>
        <v>1705</v>
      </c>
      <c r="N18" s="65">
        <f t="shared" si="5"/>
        <v>1500</v>
      </c>
      <c r="O18" s="65">
        <f t="shared" si="5"/>
        <v>1860</v>
      </c>
      <c r="P18" s="68">
        <f t="shared" si="5"/>
        <v>22875</v>
      </c>
    </row>
    <row r="19" spans="2:16" ht="15" thickTop="1" thickBot="1" x14ac:dyDescent="0.2">
      <c r="B19" s="827" t="s">
        <v>51</v>
      </c>
      <c r="C19" s="828"/>
      <c r="D19" s="110">
        <f>+'Achalandage 2021'!D395</f>
        <v>1550</v>
      </c>
      <c r="E19" s="110">
        <f>+'Achalandage 2021'!E395</f>
        <v>1260</v>
      </c>
      <c r="F19" s="110">
        <f>+'Achalandage 2021'!F395</f>
        <v>1550</v>
      </c>
      <c r="G19" s="110">
        <f>+'Achalandage 2021'!G395</f>
        <v>1650</v>
      </c>
      <c r="H19" s="110">
        <f>+'Achalandage 2021'!H395</f>
        <v>1860</v>
      </c>
      <c r="I19" s="110">
        <f>+'Achalandage 2021'!I395</f>
        <v>2250</v>
      </c>
      <c r="J19" s="110">
        <f>+'Achalandage 2021'!J395</f>
        <v>3100</v>
      </c>
      <c r="K19" s="110">
        <f>+'Achalandage 2021'!K395</f>
        <v>2790</v>
      </c>
      <c r="L19" s="110">
        <f>+'Achalandage 2021'!L395</f>
        <v>1800</v>
      </c>
      <c r="M19" s="110">
        <f>+'Achalandage 2021'!M395</f>
        <v>1705</v>
      </c>
      <c r="N19" s="110">
        <f>+'Achalandage 2021'!N395</f>
        <v>1500</v>
      </c>
      <c r="O19" s="110">
        <f>+'Achalandage 2021'!O395</f>
        <v>1860</v>
      </c>
      <c r="P19" s="111">
        <f>+D19+E19+F19+G19+H19+I19+J19+K19+L19+M19+N19+O19</f>
        <v>22875</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825" t="s">
        <v>53</v>
      </c>
      <c r="C21" s="826"/>
      <c r="D21" s="112">
        <f t="shared" ref="D21:P21" si="6">+D19/(D7*D9)</f>
        <v>1</v>
      </c>
      <c r="E21" s="112">
        <f t="shared" si="6"/>
        <v>0.9</v>
      </c>
      <c r="F21" s="112">
        <f t="shared" si="6"/>
        <v>1</v>
      </c>
      <c r="G21" s="112">
        <f t="shared" si="6"/>
        <v>1.1000000000000001</v>
      </c>
      <c r="H21" s="112">
        <f t="shared" si="6"/>
        <v>1.2</v>
      </c>
      <c r="I21" s="112">
        <f t="shared" si="6"/>
        <v>1.5</v>
      </c>
      <c r="J21" s="112">
        <f t="shared" si="6"/>
        <v>2</v>
      </c>
      <c r="K21" s="112">
        <f t="shared" si="6"/>
        <v>1.8</v>
      </c>
      <c r="L21" s="112">
        <f t="shared" si="6"/>
        <v>1.2</v>
      </c>
      <c r="M21" s="112">
        <f t="shared" si="6"/>
        <v>1.1000000000000001</v>
      </c>
      <c r="N21" s="112">
        <f t="shared" si="6"/>
        <v>1</v>
      </c>
      <c r="O21" s="112">
        <f t="shared" si="6"/>
        <v>1.2</v>
      </c>
      <c r="P21" s="113">
        <f t="shared" si="6"/>
        <v>1.2534246575342465</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825" t="s">
        <v>54</v>
      </c>
      <c r="C23" s="826"/>
      <c r="D23" s="114">
        <f t="shared" ref="D23:P23" si="7">+D19/(D7*D9)</f>
        <v>1</v>
      </c>
      <c r="E23" s="114">
        <f t="shared" si="7"/>
        <v>0.9</v>
      </c>
      <c r="F23" s="114">
        <f t="shared" si="7"/>
        <v>1</v>
      </c>
      <c r="G23" s="114">
        <f t="shared" si="7"/>
        <v>1.1000000000000001</v>
      </c>
      <c r="H23" s="114">
        <f t="shared" si="7"/>
        <v>1.2</v>
      </c>
      <c r="I23" s="114">
        <f t="shared" si="7"/>
        <v>1.5</v>
      </c>
      <c r="J23" s="114">
        <f t="shared" si="7"/>
        <v>2</v>
      </c>
      <c r="K23" s="114">
        <f t="shared" si="7"/>
        <v>1.8</v>
      </c>
      <c r="L23" s="114">
        <f t="shared" si="7"/>
        <v>1.2</v>
      </c>
      <c r="M23" s="114">
        <f t="shared" si="7"/>
        <v>1.1000000000000001</v>
      </c>
      <c r="N23" s="114">
        <f t="shared" si="7"/>
        <v>1</v>
      </c>
      <c r="O23" s="114">
        <f t="shared" si="7"/>
        <v>1.2</v>
      </c>
      <c r="P23" s="115">
        <f t="shared" si="7"/>
        <v>1.2534246575342465</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E4" activePane="bottomRight" state="frozen"/>
      <selection pane="topRight" activeCell="D1" sqref="D1"/>
      <selection pane="bottomLeft" activeCell="A4" sqref="A4"/>
      <selection pane="bottomRight" activeCell="B122" sqref="B122"/>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870" t="s">
        <v>10</v>
      </c>
      <c r="E2" s="871"/>
      <c r="F2" s="871"/>
      <c r="G2" s="871"/>
      <c r="H2" s="871"/>
      <c r="I2" s="871"/>
      <c r="J2" s="871"/>
      <c r="K2" s="871"/>
      <c r="L2" s="871"/>
      <c r="M2" s="871"/>
      <c r="N2" s="872"/>
      <c r="P2" s="870" t="s">
        <v>171</v>
      </c>
      <c r="Q2" s="871"/>
      <c r="R2" s="871"/>
      <c r="S2" s="871"/>
      <c r="T2" s="871"/>
      <c r="U2" s="871"/>
      <c r="V2" s="871"/>
      <c r="W2" s="871"/>
      <c r="X2" s="871"/>
      <c r="Y2" s="871"/>
      <c r="Z2" s="872"/>
      <c r="AB2" s="870" t="s">
        <v>170</v>
      </c>
      <c r="AC2" s="871"/>
      <c r="AD2" s="871"/>
      <c r="AE2" s="871"/>
      <c r="AF2" s="871"/>
      <c r="AG2" s="871"/>
      <c r="AH2" s="871"/>
      <c r="AI2" s="871"/>
      <c r="AJ2" s="871"/>
      <c r="AK2" s="871"/>
      <c r="AL2" s="872"/>
      <c r="AN2" s="870" t="s">
        <v>172</v>
      </c>
      <c r="AO2" s="871"/>
      <c r="AP2" s="871"/>
      <c r="AQ2" s="871"/>
      <c r="AR2" s="871"/>
      <c r="AS2" s="871"/>
      <c r="AT2" s="871"/>
      <c r="AU2" s="871"/>
      <c r="AV2" s="871"/>
      <c r="AW2" s="871"/>
      <c r="AX2" s="872"/>
      <c r="AZ2" s="870" t="s">
        <v>240</v>
      </c>
      <c r="BA2" s="871"/>
      <c r="BB2" s="871"/>
      <c r="BC2" s="871"/>
      <c r="BD2" s="871"/>
      <c r="BE2" s="871"/>
      <c r="BF2" s="871"/>
      <c r="BG2" s="871"/>
      <c r="BH2" s="871"/>
      <c r="BI2" s="871"/>
      <c r="BJ2" s="872"/>
      <c r="BL2" s="870" t="s">
        <v>241</v>
      </c>
      <c r="BM2" s="871"/>
      <c r="BN2" s="871"/>
      <c r="BO2" s="871"/>
      <c r="BP2" s="871"/>
      <c r="BQ2" s="871"/>
      <c r="BR2" s="871"/>
      <c r="BS2" s="871"/>
      <c r="BT2" s="871"/>
      <c r="BU2" s="871"/>
      <c r="BV2" s="872"/>
    </row>
    <row r="3" spans="2:74" ht="14" customHeight="1" thickBot="1" x14ac:dyDescent="0.2">
      <c r="C3" s="210"/>
      <c r="D3" s="873"/>
      <c r="E3" s="874"/>
      <c r="F3" s="874"/>
      <c r="G3" s="874"/>
      <c r="H3" s="874"/>
      <c r="I3" s="874"/>
      <c r="J3" s="874"/>
      <c r="K3" s="874"/>
      <c r="L3" s="874"/>
      <c r="M3" s="874"/>
      <c r="N3" s="875"/>
      <c r="P3" s="873"/>
      <c r="Q3" s="874"/>
      <c r="R3" s="874"/>
      <c r="S3" s="874"/>
      <c r="T3" s="874"/>
      <c r="U3" s="874"/>
      <c r="V3" s="874"/>
      <c r="W3" s="874"/>
      <c r="X3" s="874"/>
      <c r="Y3" s="874"/>
      <c r="Z3" s="875"/>
      <c r="AB3" s="873"/>
      <c r="AC3" s="874"/>
      <c r="AD3" s="874"/>
      <c r="AE3" s="874"/>
      <c r="AF3" s="874"/>
      <c r="AG3" s="874"/>
      <c r="AH3" s="874"/>
      <c r="AI3" s="874"/>
      <c r="AJ3" s="874"/>
      <c r="AK3" s="874"/>
      <c r="AL3" s="875"/>
      <c r="AN3" s="873"/>
      <c r="AO3" s="874"/>
      <c r="AP3" s="874"/>
      <c r="AQ3" s="874"/>
      <c r="AR3" s="874"/>
      <c r="AS3" s="874"/>
      <c r="AT3" s="874"/>
      <c r="AU3" s="874"/>
      <c r="AV3" s="874"/>
      <c r="AW3" s="874"/>
      <c r="AX3" s="875"/>
      <c r="AZ3" s="873"/>
      <c r="BA3" s="874"/>
      <c r="BB3" s="874"/>
      <c r="BC3" s="874"/>
      <c r="BD3" s="874"/>
      <c r="BE3" s="874"/>
      <c r="BF3" s="874"/>
      <c r="BG3" s="874"/>
      <c r="BH3" s="874"/>
      <c r="BI3" s="874"/>
      <c r="BJ3" s="875"/>
      <c r="BL3" s="873"/>
      <c r="BM3" s="874"/>
      <c r="BN3" s="874"/>
      <c r="BO3" s="874"/>
      <c r="BP3" s="874"/>
      <c r="BQ3" s="874"/>
      <c r="BR3" s="874"/>
      <c r="BS3" s="874"/>
      <c r="BT3" s="874"/>
      <c r="BU3" s="874"/>
      <c r="BV3" s="875"/>
    </row>
    <row r="4" spans="2:74" ht="10" customHeight="1" thickTop="1" thickBot="1" x14ac:dyDescent="0.2">
      <c r="C4" s="210"/>
    </row>
    <row r="5" spans="2:74" ht="17" thickTop="1" x14ac:dyDescent="0.2">
      <c r="B5" s="883">
        <v>1</v>
      </c>
      <c r="C5" s="895"/>
      <c r="D5" s="847" t="s">
        <v>42</v>
      </c>
      <c r="E5" s="333"/>
      <c r="F5" s="333"/>
      <c r="G5" s="333"/>
      <c r="H5" s="333"/>
      <c r="I5" s="333"/>
      <c r="J5" s="333"/>
      <c r="K5" s="333"/>
      <c r="L5" s="333"/>
      <c r="M5" s="333"/>
      <c r="N5" s="850" t="s">
        <v>43</v>
      </c>
      <c r="O5" s="879"/>
      <c r="P5" s="847" t="s">
        <v>42</v>
      </c>
      <c r="Q5" s="333"/>
      <c r="R5" s="333"/>
      <c r="S5" s="333"/>
      <c r="T5" s="333"/>
      <c r="U5" s="333"/>
      <c r="V5" s="333"/>
      <c r="W5" s="333"/>
      <c r="X5" s="333"/>
      <c r="Y5" s="333"/>
      <c r="Z5" s="850" t="s">
        <v>43</v>
      </c>
      <c r="AA5" s="879"/>
      <c r="AB5" s="847" t="s">
        <v>42</v>
      </c>
      <c r="AC5" s="333"/>
      <c r="AD5" s="333"/>
      <c r="AE5" s="333"/>
      <c r="AF5" s="333"/>
      <c r="AG5" s="333"/>
      <c r="AH5" s="333"/>
      <c r="AI5" s="333"/>
      <c r="AJ5" s="333"/>
      <c r="AK5" s="333"/>
      <c r="AL5" s="850" t="s">
        <v>43</v>
      </c>
      <c r="AM5" s="879"/>
      <c r="AN5" s="847" t="s">
        <v>42</v>
      </c>
      <c r="AO5" s="333"/>
      <c r="AP5" s="333"/>
      <c r="AQ5" s="333"/>
      <c r="AR5" s="333"/>
      <c r="AS5" s="333"/>
      <c r="AT5" s="333"/>
      <c r="AU5" s="333"/>
      <c r="AV5" s="333"/>
      <c r="AW5" s="333"/>
      <c r="AX5" s="850" t="s">
        <v>43</v>
      </c>
      <c r="AZ5" s="847" t="s">
        <v>42</v>
      </c>
      <c r="BA5" s="333"/>
      <c r="BB5" s="333"/>
      <c r="BC5" s="333"/>
      <c r="BD5" s="333"/>
      <c r="BE5" s="333"/>
      <c r="BF5" s="333"/>
      <c r="BG5" s="333"/>
      <c r="BH5" s="333"/>
      <c r="BI5" s="333"/>
      <c r="BJ5" s="850" t="s">
        <v>43</v>
      </c>
      <c r="BL5" s="847" t="s">
        <v>42</v>
      </c>
      <c r="BM5" s="333"/>
      <c r="BN5" s="333"/>
      <c r="BO5" s="333"/>
      <c r="BP5" s="333"/>
      <c r="BQ5" s="333"/>
      <c r="BR5" s="333"/>
      <c r="BS5" s="333"/>
      <c r="BT5" s="333"/>
      <c r="BU5" s="333"/>
      <c r="BV5" s="850" t="s">
        <v>43</v>
      </c>
    </row>
    <row r="6" spans="2:74" ht="16" x14ac:dyDescent="0.2">
      <c r="B6" s="884"/>
      <c r="C6" s="895"/>
      <c r="D6" s="848"/>
      <c r="E6" s="334"/>
      <c r="F6" s="334"/>
      <c r="G6" s="334"/>
      <c r="H6" s="334"/>
      <c r="I6" s="334"/>
      <c r="J6" s="334"/>
      <c r="K6" s="334"/>
      <c r="L6" s="334"/>
      <c r="M6" s="334"/>
      <c r="N6" s="851"/>
      <c r="O6" s="879"/>
      <c r="P6" s="848"/>
      <c r="Q6" s="334"/>
      <c r="R6" s="334"/>
      <c r="S6" s="334"/>
      <c r="T6" s="334"/>
      <c r="U6" s="334"/>
      <c r="V6" s="334"/>
      <c r="W6" s="334"/>
      <c r="X6" s="334"/>
      <c r="Y6" s="334"/>
      <c r="Z6" s="851"/>
      <c r="AA6" s="879"/>
      <c r="AB6" s="848"/>
      <c r="AC6" s="334"/>
      <c r="AD6" s="334"/>
      <c r="AE6" s="334"/>
      <c r="AF6" s="334"/>
      <c r="AG6" s="334"/>
      <c r="AH6" s="334"/>
      <c r="AI6" s="334"/>
      <c r="AJ6" s="334"/>
      <c r="AK6" s="334"/>
      <c r="AL6" s="851"/>
      <c r="AM6" s="879"/>
      <c r="AN6" s="848"/>
      <c r="AO6" s="334"/>
      <c r="AP6" s="334"/>
      <c r="AQ6" s="334"/>
      <c r="AR6" s="334"/>
      <c r="AS6" s="334"/>
      <c r="AT6" s="334"/>
      <c r="AU6" s="334"/>
      <c r="AV6" s="334"/>
      <c r="AW6" s="334"/>
      <c r="AX6" s="851"/>
      <c r="AZ6" s="848"/>
      <c r="BA6" s="334"/>
      <c r="BB6" s="334"/>
      <c r="BC6" s="334"/>
      <c r="BD6" s="334"/>
      <c r="BE6" s="334"/>
      <c r="BF6" s="334"/>
      <c r="BG6" s="334"/>
      <c r="BH6" s="334"/>
      <c r="BI6" s="334"/>
      <c r="BJ6" s="851"/>
      <c r="BL6" s="848"/>
      <c r="BM6" s="334"/>
      <c r="BN6" s="334"/>
      <c r="BO6" s="334"/>
      <c r="BP6" s="334"/>
      <c r="BQ6" s="334"/>
      <c r="BR6" s="334"/>
      <c r="BS6" s="334"/>
      <c r="BT6" s="334"/>
      <c r="BU6" s="334"/>
      <c r="BV6" s="851"/>
    </row>
    <row r="7" spans="2:74" ht="21" x14ac:dyDescent="0.25">
      <c r="B7" s="884"/>
      <c r="C7" s="895"/>
      <c r="D7" s="848"/>
      <c r="E7" s="335" t="s">
        <v>166</v>
      </c>
      <c r="F7" s="335" t="s">
        <v>44</v>
      </c>
      <c r="G7" s="335" t="s">
        <v>168</v>
      </c>
      <c r="H7" s="335" t="s">
        <v>45</v>
      </c>
      <c r="I7" s="335" t="s">
        <v>46</v>
      </c>
      <c r="J7" s="335" t="s">
        <v>47</v>
      </c>
      <c r="K7" s="335" t="s">
        <v>45</v>
      </c>
      <c r="L7" s="335" t="s">
        <v>48</v>
      </c>
      <c r="M7" s="335" t="s">
        <v>49</v>
      </c>
      <c r="N7" s="851"/>
      <c r="O7" s="879"/>
      <c r="P7" s="848"/>
      <c r="Q7" s="335" t="str">
        <f>E7</f>
        <v>Demande mensuelle</v>
      </c>
      <c r="R7" s="335" t="s">
        <v>44</v>
      </c>
      <c r="S7" s="335" t="str">
        <f>G7</f>
        <v>Achalandage mensuel</v>
      </c>
      <c r="T7" s="335" t="s">
        <v>45</v>
      </c>
      <c r="U7" s="335" t="s">
        <v>46</v>
      </c>
      <c r="V7" s="335" t="str">
        <f>J7</f>
        <v>Um/A</v>
      </c>
      <c r="W7" s="335" t="s">
        <v>45</v>
      </c>
      <c r="X7" s="335" t="str">
        <f>L7</f>
        <v>PmO</v>
      </c>
      <c r="Y7" s="335" t="s">
        <v>49</v>
      </c>
      <c r="Z7" s="851"/>
      <c r="AA7" s="879"/>
      <c r="AB7" s="848"/>
      <c r="AC7" s="335" t="str">
        <f>E7</f>
        <v>Demande mensuelle</v>
      </c>
      <c r="AD7" s="335" t="s">
        <v>44</v>
      </c>
      <c r="AE7" s="335" t="str">
        <f>G7</f>
        <v>Achalandage mensuel</v>
      </c>
      <c r="AF7" s="335" t="s">
        <v>45</v>
      </c>
      <c r="AG7" s="335" t="s">
        <v>46</v>
      </c>
      <c r="AH7" s="335" t="str">
        <f>J7</f>
        <v>Um/A</v>
      </c>
      <c r="AI7" s="335" t="s">
        <v>45</v>
      </c>
      <c r="AJ7" s="335" t="str">
        <f>L7</f>
        <v>PmO</v>
      </c>
      <c r="AK7" s="335" t="s">
        <v>49</v>
      </c>
      <c r="AL7" s="851"/>
      <c r="AM7" s="879"/>
      <c r="AN7" s="848"/>
      <c r="AO7" s="335" t="str">
        <f>E7</f>
        <v>Demande mensuelle</v>
      </c>
      <c r="AP7" s="335" t="s">
        <v>44</v>
      </c>
      <c r="AQ7" s="335" t="str">
        <f>G7</f>
        <v>Achalandage mensuel</v>
      </c>
      <c r="AR7" s="335" t="s">
        <v>45</v>
      </c>
      <c r="AS7" s="335" t="s">
        <v>46</v>
      </c>
      <c r="AT7" s="335" t="str">
        <f>J7</f>
        <v>Um/A</v>
      </c>
      <c r="AU7" s="335" t="s">
        <v>45</v>
      </c>
      <c r="AV7" s="335" t="str">
        <f>L7</f>
        <v>PmO</v>
      </c>
      <c r="AW7" s="335" t="s">
        <v>49</v>
      </c>
      <c r="AX7" s="851"/>
      <c r="AZ7" s="848"/>
      <c r="BA7" s="335" t="s">
        <v>244</v>
      </c>
      <c r="BB7" s="335" t="s">
        <v>44</v>
      </c>
      <c r="BC7" s="335" t="str">
        <f>G7</f>
        <v>Achalandage mensuel</v>
      </c>
      <c r="BD7" s="335" t="s">
        <v>45</v>
      </c>
      <c r="BE7" s="335" t="s">
        <v>46</v>
      </c>
      <c r="BF7" s="335" t="str">
        <f>J7</f>
        <v>Um/A</v>
      </c>
      <c r="BG7" s="335" t="s">
        <v>45</v>
      </c>
      <c r="BH7" s="335" t="s">
        <v>235</v>
      </c>
      <c r="BI7" s="335" t="s">
        <v>49</v>
      </c>
      <c r="BJ7" s="851"/>
      <c r="BL7" s="848"/>
      <c r="BM7" s="335" t="s">
        <v>245</v>
      </c>
      <c r="BN7" s="335" t="s">
        <v>44</v>
      </c>
      <c r="BO7" s="335" t="str">
        <f>S7</f>
        <v>Achalandage mensuel</v>
      </c>
      <c r="BP7" s="335" t="s">
        <v>45</v>
      </c>
      <c r="BQ7" s="335" t="s">
        <v>46</v>
      </c>
      <c r="BR7" s="335" t="str">
        <f>V7</f>
        <v>Um/A</v>
      </c>
      <c r="BS7" s="335" t="s">
        <v>45</v>
      </c>
      <c r="BT7" s="335" t="s">
        <v>239</v>
      </c>
      <c r="BU7" s="335" t="s">
        <v>49</v>
      </c>
      <c r="BV7" s="851"/>
    </row>
    <row r="8" spans="2:74" ht="19" x14ac:dyDescent="0.25">
      <c r="B8" s="884"/>
      <c r="C8" s="895"/>
      <c r="D8" s="848"/>
      <c r="E8" s="336" t="s">
        <v>2</v>
      </c>
      <c r="F8" s="337"/>
      <c r="G8" s="336"/>
      <c r="H8" s="337"/>
      <c r="I8" s="337"/>
      <c r="J8" s="337"/>
      <c r="K8" s="337"/>
      <c r="L8" s="337"/>
      <c r="M8" s="337"/>
      <c r="N8" s="851"/>
      <c r="O8" s="879"/>
      <c r="P8" s="848"/>
      <c r="Q8" s="336" t="s">
        <v>2</v>
      </c>
      <c r="R8" s="337"/>
      <c r="S8" s="336"/>
      <c r="T8" s="337"/>
      <c r="U8" s="337"/>
      <c r="V8" s="337"/>
      <c r="W8" s="337"/>
      <c r="X8" s="337"/>
      <c r="Y8" s="337"/>
      <c r="Z8" s="851"/>
      <c r="AA8" s="879"/>
      <c r="AB8" s="848"/>
      <c r="AC8" s="336" t="s">
        <v>2</v>
      </c>
      <c r="AD8" s="337"/>
      <c r="AE8" s="336"/>
      <c r="AF8" s="337"/>
      <c r="AG8" s="337"/>
      <c r="AH8" s="337"/>
      <c r="AI8" s="337"/>
      <c r="AJ8" s="337"/>
      <c r="AK8" s="337"/>
      <c r="AL8" s="851"/>
      <c r="AM8" s="879"/>
      <c r="AN8" s="848"/>
      <c r="AO8" s="336" t="s">
        <v>2</v>
      </c>
      <c r="AP8" s="337"/>
      <c r="AQ8" s="336"/>
      <c r="AR8" s="337"/>
      <c r="AS8" s="337"/>
      <c r="AT8" s="337"/>
      <c r="AU8" s="337"/>
      <c r="AV8" s="337"/>
      <c r="AW8" s="337"/>
      <c r="AX8" s="851"/>
      <c r="AZ8" s="848"/>
      <c r="BA8" s="336" t="s">
        <v>2</v>
      </c>
      <c r="BB8" s="337"/>
      <c r="BC8" s="336"/>
      <c r="BD8" s="337"/>
      <c r="BE8" s="337"/>
      <c r="BF8" s="337"/>
      <c r="BG8" s="337"/>
      <c r="BH8" s="337"/>
      <c r="BI8" s="337"/>
      <c r="BJ8" s="851"/>
      <c r="BL8" s="848"/>
      <c r="BM8" s="336" t="s">
        <v>2</v>
      </c>
      <c r="BN8" s="337"/>
      <c r="BO8" s="336"/>
      <c r="BP8" s="337"/>
      <c r="BQ8" s="337"/>
      <c r="BR8" s="337"/>
      <c r="BS8" s="337"/>
      <c r="BT8" s="337"/>
      <c r="BU8" s="337"/>
      <c r="BV8" s="851"/>
    </row>
    <row r="9" spans="2:74" ht="26" x14ac:dyDescent="0.3">
      <c r="B9" s="884"/>
      <c r="C9" s="895"/>
      <c r="D9" s="848"/>
      <c r="E9" s="338" t="s">
        <v>133</v>
      </c>
      <c r="F9" s="339"/>
      <c r="G9" s="338" t="s">
        <v>50</v>
      </c>
      <c r="H9" s="339"/>
      <c r="I9" s="339"/>
      <c r="J9" s="338" t="str">
        <f>+J7</f>
        <v>Um/A</v>
      </c>
      <c r="K9" s="339"/>
      <c r="L9" s="338" t="str">
        <f>+L7</f>
        <v>PmO</v>
      </c>
      <c r="M9" s="339"/>
      <c r="N9" s="851"/>
      <c r="O9" s="879"/>
      <c r="P9" s="848"/>
      <c r="Q9" s="338" t="str">
        <f>E9</f>
        <v>D</v>
      </c>
      <c r="R9" s="339"/>
      <c r="S9" s="338" t="str">
        <f>G9</f>
        <v>A</v>
      </c>
      <c r="T9" s="339"/>
      <c r="U9" s="339"/>
      <c r="V9" s="338" t="str">
        <f>+V7</f>
        <v>Um/A</v>
      </c>
      <c r="W9" s="339"/>
      <c r="X9" s="338" t="str">
        <f>+X7</f>
        <v>PmO</v>
      </c>
      <c r="Y9" s="339"/>
      <c r="Z9" s="851"/>
      <c r="AA9" s="879"/>
      <c r="AB9" s="848"/>
      <c r="AC9" s="338" t="str">
        <f>E9</f>
        <v>D</v>
      </c>
      <c r="AD9" s="339"/>
      <c r="AE9" s="338" t="str">
        <f>G9</f>
        <v>A</v>
      </c>
      <c r="AF9" s="339"/>
      <c r="AG9" s="339"/>
      <c r="AH9" s="338" t="str">
        <f>+AH7</f>
        <v>Um/A</v>
      </c>
      <c r="AI9" s="339"/>
      <c r="AJ9" s="338" t="str">
        <f>+AJ7</f>
        <v>PmO</v>
      </c>
      <c r="AK9" s="339"/>
      <c r="AL9" s="851"/>
      <c r="AM9" s="879"/>
      <c r="AN9" s="848"/>
      <c r="AO9" s="338" t="str">
        <f>E9</f>
        <v>D</v>
      </c>
      <c r="AP9" s="339"/>
      <c r="AQ9" s="338" t="str">
        <f>G9</f>
        <v>A</v>
      </c>
      <c r="AR9" s="339"/>
      <c r="AS9" s="339"/>
      <c r="AT9" s="338" t="str">
        <f>+AT7</f>
        <v>Um/A</v>
      </c>
      <c r="AU9" s="339"/>
      <c r="AV9" s="338" t="str">
        <f>+AV7</f>
        <v>PmO</v>
      </c>
      <c r="AW9" s="339"/>
      <c r="AX9" s="851"/>
      <c r="AZ9" s="848"/>
      <c r="BA9" s="338" t="s">
        <v>236</v>
      </c>
      <c r="BB9" s="339"/>
      <c r="BC9" s="338" t="str">
        <f>G9</f>
        <v>A</v>
      </c>
      <c r="BD9" s="339"/>
      <c r="BE9" s="339"/>
      <c r="BF9" s="338" t="str">
        <f>BF7</f>
        <v>Um/A</v>
      </c>
      <c r="BG9" s="339"/>
      <c r="BH9" s="338" t="str">
        <f>BH7</f>
        <v>CmO</v>
      </c>
      <c r="BI9" s="339"/>
      <c r="BJ9" s="851"/>
      <c r="BL9" s="848"/>
      <c r="BM9" s="338" t="s">
        <v>237</v>
      </c>
      <c r="BN9" s="339"/>
      <c r="BO9" s="338" t="str">
        <f>S9</f>
        <v>A</v>
      </c>
      <c r="BP9" s="339"/>
      <c r="BQ9" s="339"/>
      <c r="BR9" s="338" t="str">
        <f>BR7</f>
        <v>Um/A</v>
      </c>
      <c r="BS9" s="339"/>
      <c r="BT9" s="338" t="str">
        <f>BT7</f>
        <v>BmO</v>
      </c>
      <c r="BU9" s="339"/>
      <c r="BV9" s="851"/>
    </row>
    <row r="10" spans="2:74" ht="21" x14ac:dyDescent="0.25">
      <c r="B10" s="884"/>
      <c r="C10" s="895"/>
      <c r="D10" s="848"/>
      <c r="E10" s="340">
        <f>+Q10+AC10+AO10</f>
        <v>38305.15</v>
      </c>
      <c r="F10" s="335" t="s">
        <v>44</v>
      </c>
      <c r="G10" s="341">
        <f>'% Occupation'!D19</f>
        <v>1550</v>
      </c>
      <c r="H10" s="335" t="s">
        <v>45</v>
      </c>
      <c r="I10" s="335" t="s">
        <v>46</v>
      </c>
      <c r="J10" s="342">
        <f>+V10+AH10+AT10</f>
        <v>2.2200000000000002</v>
      </c>
      <c r="K10" s="335" t="s">
        <v>45</v>
      </c>
      <c r="L10" s="343">
        <f>E10/G10/J10</f>
        <v>11.131981981981982</v>
      </c>
      <c r="M10" s="335" t="s">
        <v>49</v>
      </c>
      <c r="N10" s="851"/>
      <c r="O10" s="879"/>
      <c r="P10" s="848"/>
      <c r="Q10" s="340">
        <f>+S10*(V10*X10)</f>
        <v>27435.000000000004</v>
      </c>
      <c r="R10" s="335" t="s">
        <v>44</v>
      </c>
      <c r="S10" s="341">
        <f>G10</f>
        <v>1550</v>
      </c>
      <c r="T10" s="335" t="s">
        <v>45</v>
      </c>
      <c r="U10" s="335" t="s">
        <v>46</v>
      </c>
      <c r="V10" s="378">
        <v>1.5</v>
      </c>
      <c r="W10" s="335" t="s">
        <v>45</v>
      </c>
      <c r="X10" s="379">
        <v>11.8</v>
      </c>
      <c r="Y10" s="335" t="s">
        <v>49</v>
      </c>
      <c r="Z10" s="851"/>
      <c r="AA10" s="879"/>
      <c r="AB10" s="848"/>
      <c r="AC10" s="340">
        <f>+AE10*(AH10*AJ10)</f>
        <v>9949.4499999999989</v>
      </c>
      <c r="AD10" s="335" t="s">
        <v>44</v>
      </c>
      <c r="AE10" s="341">
        <f>S10</f>
        <v>1550</v>
      </c>
      <c r="AF10" s="335" t="s">
        <v>45</v>
      </c>
      <c r="AG10" s="335" t="s">
        <v>46</v>
      </c>
      <c r="AH10" s="378">
        <v>0.7</v>
      </c>
      <c r="AI10" s="335" t="s">
        <v>45</v>
      </c>
      <c r="AJ10" s="379">
        <v>9.17</v>
      </c>
      <c r="AK10" s="335" t="s">
        <v>49</v>
      </c>
      <c r="AL10" s="851"/>
      <c r="AM10" s="879"/>
      <c r="AN10" s="848"/>
      <c r="AO10" s="340">
        <f>+AQ10*(AT10*AV10)</f>
        <v>920.69999999999993</v>
      </c>
      <c r="AP10" s="335" t="s">
        <v>44</v>
      </c>
      <c r="AQ10" s="341">
        <f>AE10</f>
        <v>1550</v>
      </c>
      <c r="AR10" s="335" t="s">
        <v>45</v>
      </c>
      <c r="AS10" s="335" t="s">
        <v>46</v>
      </c>
      <c r="AT10" s="378">
        <v>0.02</v>
      </c>
      <c r="AU10" s="335" t="s">
        <v>45</v>
      </c>
      <c r="AV10" s="379">
        <v>29.7</v>
      </c>
      <c r="AW10" s="335" t="s">
        <v>49</v>
      </c>
      <c r="AX10" s="851"/>
      <c r="AZ10" s="848"/>
      <c r="BA10" s="340">
        <f>'État des Résultats'!E14-'État des Résultats'!E45</f>
        <v>34458.086351358252</v>
      </c>
      <c r="BB10" s="335" t="s">
        <v>44</v>
      </c>
      <c r="BC10" s="341">
        <f>G10</f>
        <v>1550</v>
      </c>
      <c r="BD10" s="335" t="s">
        <v>45</v>
      </c>
      <c r="BE10" s="335" t="s">
        <v>46</v>
      </c>
      <c r="BF10" s="342">
        <f>J10</f>
        <v>2.2200000000000002</v>
      </c>
      <c r="BG10" s="335" t="s">
        <v>45</v>
      </c>
      <c r="BH10" s="343">
        <f>BA10/BC10/BF10</f>
        <v>10.013974528148283</v>
      </c>
      <c r="BI10" s="335" t="s">
        <v>49</v>
      </c>
      <c r="BJ10" s="851"/>
      <c r="BL10" s="848"/>
      <c r="BM10" s="340">
        <f>'État des Résultats'!E45</f>
        <v>3847.0636486417516</v>
      </c>
      <c r="BN10" s="335" t="s">
        <v>44</v>
      </c>
      <c r="BO10" s="341">
        <f>S10</f>
        <v>1550</v>
      </c>
      <c r="BP10" s="335" t="s">
        <v>45</v>
      </c>
      <c r="BQ10" s="335" t="s">
        <v>46</v>
      </c>
      <c r="BR10" s="342">
        <f>J10</f>
        <v>2.2200000000000002</v>
      </c>
      <c r="BS10" s="335" t="s">
        <v>45</v>
      </c>
      <c r="BT10" s="343">
        <f>BM10/BO10/BR10</f>
        <v>1.1180074538336968</v>
      </c>
      <c r="BU10" s="335" t="s">
        <v>49</v>
      </c>
      <c r="BV10" s="851"/>
    </row>
    <row r="11" spans="2:74" ht="17" thickBot="1" x14ac:dyDescent="0.25">
      <c r="B11" s="884"/>
      <c r="C11" s="895"/>
      <c r="D11" s="849"/>
      <c r="E11" s="344"/>
      <c r="F11" s="344"/>
      <c r="G11" s="344"/>
      <c r="H11" s="344"/>
      <c r="I11" s="344"/>
      <c r="J11" s="344"/>
      <c r="K11" s="344"/>
      <c r="L11" s="344"/>
      <c r="M11" s="344"/>
      <c r="N11" s="852"/>
      <c r="O11" s="879"/>
      <c r="P11" s="849"/>
      <c r="Q11" s="344"/>
      <c r="R11" s="344"/>
      <c r="S11" s="344"/>
      <c r="T11" s="344"/>
      <c r="U11" s="344"/>
      <c r="V11" s="344"/>
      <c r="W11" s="344"/>
      <c r="X11" s="344"/>
      <c r="Y11" s="344"/>
      <c r="Z11" s="852"/>
      <c r="AA11" s="879"/>
      <c r="AB11" s="849"/>
      <c r="AC11" s="344"/>
      <c r="AD11" s="344"/>
      <c r="AE11" s="344"/>
      <c r="AF11" s="344"/>
      <c r="AG11" s="344"/>
      <c r="AH11" s="344"/>
      <c r="AI11" s="344"/>
      <c r="AJ11" s="344"/>
      <c r="AK11" s="344"/>
      <c r="AL11" s="852"/>
      <c r="AM11" s="879"/>
      <c r="AN11" s="849"/>
      <c r="AO11" s="344"/>
      <c r="AP11" s="344"/>
      <c r="AQ11" s="344"/>
      <c r="AR11" s="344"/>
      <c r="AS11" s="344"/>
      <c r="AT11" s="344"/>
      <c r="AU11" s="344"/>
      <c r="AV11" s="344"/>
      <c r="AW11" s="344"/>
      <c r="AX11" s="852"/>
      <c r="AZ11" s="849"/>
      <c r="BA11" s="344"/>
      <c r="BB11" s="344"/>
      <c r="BC11" s="344"/>
      <c r="BD11" s="344"/>
      <c r="BE11" s="344"/>
      <c r="BF11" s="344"/>
      <c r="BG11" s="344"/>
      <c r="BH11" s="344"/>
      <c r="BI11" s="344"/>
      <c r="BJ11" s="852"/>
      <c r="BL11" s="849"/>
      <c r="BM11" s="344"/>
      <c r="BN11" s="344"/>
      <c r="BO11" s="344"/>
      <c r="BP11" s="344"/>
      <c r="BQ11" s="344"/>
      <c r="BR11" s="344"/>
      <c r="BS11" s="344"/>
      <c r="BT11" s="344"/>
      <c r="BU11" s="344"/>
      <c r="BV11" s="852"/>
    </row>
    <row r="12" spans="2:74" ht="5" customHeight="1" thickTop="1" thickBot="1" x14ac:dyDescent="0.2">
      <c r="B12" s="884"/>
      <c r="C12" s="210"/>
    </row>
    <row r="13" spans="2:74" ht="16" customHeight="1" thickTop="1" x14ac:dyDescent="0.2">
      <c r="B13" s="884"/>
      <c r="C13" s="895"/>
      <c r="D13" s="847" t="s">
        <v>42</v>
      </c>
      <c r="E13" s="333"/>
      <c r="F13" s="333"/>
      <c r="G13" s="333"/>
      <c r="H13" s="333"/>
      <c r="I13" s="333"/>
      <c r="J13" s="333"/>
      <c r="K13" s="333"/>
      <c r="L13" s="333"/>
      <c r="M13" s="333"/>
      <c r="N13" s="850" t="s">
        <v>43</v>
      </c>
      <c r="P13" s="847" t="s">
        <v>42</v>
      </c>
      <c r="Q13" s="333"/>
      <c r="R13" s="333"/>
      <c r="S13" s="333"/>
      <c r="T13" s="333"/>
      <c r="U13" s="333"/>
      <c r="V13" s="333"/>
      <c r="W13" s="333"/>
      <c r="X13" s="333"/>
      <c r="Y13" s="333"/>
      <c r="Z13" s="850" t="s">
        <v>43</v>
      </c>
      <c r="AB13" s="847" t="s">
        <v>42</v>
      </c>
      <c r="AC13" s="333"/>
      <c r="AD13" s="333"/>
      <c r="AE13" s="333"/>
      <c r="AF13" s="333"/>
      <c r="AG13" s="333"/>
      <c r="AH13" s="333"/>
      <c r="AI13" s="333"/>
      <c r="AJ13" s="333"/>
      <c r="AK13" s="333"/>
      <c r="AL13" s="850" t="s">
        <v>43</v>
      </c>
      <c r="AN13" s="847" t="s">
        <v>42</v>
      </c>
      <c r="AO13" s="333"/>
      <c r="AP13" s="333"/>
      <c r="AQ13" s="333"/>
      <c r="AR13" s="333"/>
      <c r="AS13" s="333"/>
      <c r="AT13" s="333"/>
      <c r="AU13" s="333"/>
      <c r="AV13" s="333"/>
      <c r="AW13" s="333"/>
      <c r="AX13" s="850" t="s">
        <v>43</v>
      </c>
      <c r="AZ13" s="847" t="s">
        <v>42</v>
      </c>
      <c r="BA13" s="333"/>
      <c r="BB13" s="333"/>
      <c r="BC13" s="333"/>
      <c r="BD13" s="333"/>
      <c r="BE13" s="333"/>
      <c r="BF13" s="333"/>
      <c r="BG13" s="333"/>
      <c r="BH13" s="333"/>
      <c r="BI13" s="333"/>
      <c r="BJ13" s="850" t="s">
        <v>43</v>
      </c>
      <c r="BL13" s="847" t="s">
        <v>42</v>
      </c>
      <c r="BM13" s="333"/>
      <c r="BN13" s="333"/>
      <c r="BO13" s="333"/>
      <c r="BP13" s="333"/>
      <c r="BQ13" s="333"/>
      <c r="BR13" s="333"/>
      <c r="BS13" s="333"/>
      <c r="BT13" s="333"/>
      <c r="BU13" s="333"/>
      <c r="BV13" s="850" t="s">
        <v>43</v>
      </c>
    </row>
    <row r="14" spans="2:74" ht="16" x14ac:dyDescent="0.2">
      <c r="B14" s="884"/>
      <c r="C14" s="895"/>
      <c r="D14" s="848"/>
      <c r="E14" s="334"/>
      <c r="F14" s="334"/>
      <c r="G14" s="334"/>
      <c r="H14" s="334"/>
      <c r="I14" s="334"/>
      <c r="J14" s="334"/>
      <c r="K14" s="334"/>
      <c r="L14" s="334"/>
      <c r="M14" s="334"/>
      <c r="N14" s="851"/>
      <c r="P14" s="848"/>
      <c r="Q14" s="334"/>
      <c r="R14" s="334"/>
      <c r="S14" s="334"/>
      <c r="T14" s="334"/>
      <c r="U14" s="334"/>
      <c r="V14" s="334"/>
      <c r="W14" s="334"/>
      <c r="X14" s="334"/>
      <c r="Y14" s="334"/>
      <c r="Z14" s="851"/>
      <c r="AB14" s="848"/>
      <c r="AC14" s="334"/>
      <c r="AD14" s="334"/>
      <c r="AE14" s="334"/>
      <c r="AF14" s="334"/>
      <c r="AG14" s="334"/>
      <c r="AH14" s="334"/>
      <c r="AI14" s="334"/>
      <c r="AJ14" s="334"/>
      <c r="AK14" s="334"/>
      <c r="AL14" s="851"/>
      <c r="AN14" s="848"/>
      <c r="AO14" s="334"/>
      <c r="AP14" s="334"/>
      <c r="AQ14" s="334"/>
      <c r="AR14" s="334"/>
      <c r="AS14" s="334"/>
      <c r="AT14" s="334"/>
      <c r="AU14" s="334"/>
      <c r="AV14" s="334"/>
      <c r="AW14" s="334"/>
      <c r="AX14" s="851"/>
      <c r="AZ14" s="848"/>
      <c r="BA14" s="334"/>
      <c r="BB14" s="334"/>
      <c r="BC14" s="334"/>
      <c r="BD14" s="334"/>
      <c r="BE14" s="334"/>
      <c r="BF14" s="334"/>
      <c r="BG14" s="334"/>
      <c r="BH14" s="334"/>
      <c r="BI14" s="334"/>
      <c r="BJ14" s="851"/>
      <c r="BL14" s="848"/>
      <c r="BM14" s="334"/>
      <c r="BN14" s="334"/>
      <c r="BO14" s="334"/>
      <c r="BP14" s="334"/>
      <c r="BQ14" s="334"/>
      <c r="BR14" s="334"/>
      <c r="BS14" s="334"/>
      <c r="BT14" s="334"/>
      <c r="BU14" s="334"/>
      <c r="BV14" s="851"/>
    </row>
    <row r="15" spans="2:74" ht="21" customHeight="1" x14ac:dyDescent="0.25">
      <c r="B15" s="884"/>
      <c r="C15" s="895"/>
      <c r="D15" s="848"/>
      <c r="E15" s="335" t="str">
        <f>+E7</f>
        <v>Demande mensuelle</v>
      </c>
      <c r="F15" s="335" t="s">
        <v>44</v>
      </c>
      <c r="G15" s="335" t="str">
        <f>+G7</f>
        <v>Achalandage mensuel</v>
      </c>
      <c r="H15" s="335" t="s">
        <v>45</v>
      </c>
      <c r="I15" s="335" t="s">
        <v>46</v>
      </c>
      <c r="J15" s="335" t="str">
        <f>J7</f>
        <v>Um/A</v>
      </c>
      <c r="K15" s="335" t="s">
        <v>45</v>
      </c>
      <c r="L15" s="335" t="str">
        <f>L7</f>
        <v>PmO</v>
      </c>
      <c r="M15" s="335" t="s">
        <v>49</v>
      </c>
      <c r="N15" s="851"/>
      <c r="P15" s="848"/>
      <c r="Q15" s="335" t="str">
        <f>+Q7</f>
        <v>Demande mensuelle</v>
      </c>
      <c r="R15" s="335" t="s">
        <v>44</v>
      </c>
      <c r="S15" s="335" t="str">
        <f>+S7</f>
        <v>Achalandage mensuel</v>
      </c>
      <c r="T15" s="335" t="s">
        <v>45</v>
      </c>
      <c r="U15" s="335" t="s">
        <v>46</v>
      </c>
      <c r="V15" s="335" t="str">
        <f>V7</f>
        <v>Um/A</v>
      </c>
      <c r="W15" s="335" t="s">
        <v>45</v>
      </c>
      <c r="X15" s="335" t="str">
        <f>X7</f>
        <v>PmO</v>
      </c>
      <c r="Y15" s="335" t="s">
        <v>49</v>
      </c>
      <c r="Z15" s="851"/>
      <c r="AB15" s="848"/>
      <c r="AC15" s="335" t="str">
        <f>AC7</f>
        <v>Demande mensuelle</v>
      </c>
      <c r="AD15" s="335" t="s">
        <v>44</v>
      </c>
      <c r="AE15" s="335" t="str">
        <f>AE7</f>
        <v>Achalandage mensuel</v>
      </c>
      <c r="AF15" s="335" t="s">
        <v>45</v>
      </c>
      <c r="AG15" s="335" t="s">
        <v>46</v>
      </c>
      <c r="AH15" s="335" t="str">
        <f>AH7</f>
        <v>Um/A</v>
      </c>
      <c r="AI15" s="335" t="s">
        <v>45</v>
      </c>
      <c r="AJ15" s="335" t="str">
        <f>AJ7</f>
        <v>PmO</v>
      </c>
      <c r="AK15" s="335" t="s">
        <v>49</v>
      </c>
      <c r="AL15" s="851"/>
      <c r="AN15" s="848"/>
      <c r="AO15" s="335" t="str">
        <f>AO7</f>
        <v>Demande mensuelle</v>
      </c>
      <c r="AP15" s="335" t="s">
        <v>44</v>
      </c>
      <c r="AQ15" s="335" t="str">
        <f>AQ7</f>
        <v>Achalandage mensuel</v>
      </c>
      <c r="AR15" s="335" t="s">
        <v>45</v>
      </c>
      <c r="AS15" s="335" t="s">
        <v>46</v>
      </c>
      <c r="AT15" s="335" t="str">
        <f>AT7</f>
        <v>Um/A</v>
      </c>
      <c r="AU15" s="335" t="s">
        <v>45</v>
      </c>
      <c r="AV15" s="335" t="str">
        <f>AV7</f>
        <v>PmO</v>
      </c>
      <c r="AW15" s="335" t="s">
        <v>49</v>
      </c>
      <c r="AX15" s="851"/>
      <c r="AZ15" s="848"/>
      <c r="BA15" s="335" t="str">
        <f>BA7</f>
        <v>Coût mensuel</v>
      </c>
      <c r="BB15" s="335" t="s">
        <v>44</v>
      </c>
      <c r="BC15" s="335" t="str">
        <f>G15</f>
        <v>Achalandage mensuel</v>
      </c>
      <c r="BD15" s="335" t="s">
        <v>45</v>
      </c>
      <c r="BE15" s="335" t="s">
        <v>46</v>
      </c>
      <c r="BF15" s="335" t="str">
        <f>J15</f>
        <v>Um/A</v>
      </c>
      <c r="BG15" s="335" t="s">
        <v>45</v>
      </c>
      <c r="BH15" s="335" t="str">
        <f>BH7</f>
        <v>CmO</v>
      </c>
      <c r="BI15" s="335" t="s">
        <v>49</v>
      </c>
      <c r="BJ15" s="851"/>
      <c r="BL15" s="848"/>
      <c r="BM15" s="335" t="str">
        <f>BM7</f>
        <v>Bénéfice mensuel</v>
      </c>
      <c r="BN15" s="335" t="s">
        <v>44</v>
      </c>
      <c r="BO15" s="335" t="str">
        <f>S15</f>
        <v>Achalandage mensuel</v>
      </c>
      <c r="BP15" s="335" t="s">
        <v>45</v>
      </c>
      <c r="BQ15" s="335" t="s">
        <v>46</v>
      </c>
      <c r="BR15" s="335" t="str">
        <f>V15</f>
        <v>Um/A</v>
      </c>
      <c r="BS15" s="335" t="s">
        <v>45</v>
      </c>
      <c r="BT15" s="335" t="str">
        <f>BT7</f>
        <v>BmO</v>
      </c>
      <c r="BU15" s="335" t="s">
        <v>49</v>
      </c>
      <c r="BV15" s="851"/>
    </row>
    <row r="16" spans="2:74" ht="19" x14ac:dyDescent="0.25">
      <c r="B16" s="884"/>
      <c r="C16" s="895"/>
      <c r="D16" s="848"/>
      <c r="E16" s="336" t="s">
        <v>2</v>
      </c>
      <c r="F16" s="337"/>
      <c r="G16" s="336"/>
      <c r="H16" s="337"/>
      <c r="I16" s="337"/>
      <c r="J16" s="337"/>
      <c r="K16" s="337"/>
      <c r="L16" s="337"/>
      <c r="M16" s="337"/>
      <c r="N16" s="851"/>
      <c r="P16" s="848"/>
      <c r="Q16" s="336" t="s">
        <v>2</v>
      </c>
      <c r="R16" s="337"/>
      <c r="S16" s="336"/>
      <c r="T16" s="337"/>
      <c r="U16" s="337"/>
      <c r="V16" s="337"/>
      <c r="W16" s="337"/>
      <c r="X16" s="337"/>
      <c r="Y16" s="337"/>
      <c r="Z16" s="851"/>
      <c r="AB16" s="848"/>
      <c r="AC16" s="336" t="s">
        <v>2</v>
      </c>
      <c r="AD16" s="337"/>
      <c r="AE16" s="336"/>
      <c r="AF16" s="337"/>
      <c r="AG16" s="337"/>
      <c r="AH16" s="337"/>
      <c r="AI16" s="337"/>
      <c r="AJ16" s="337"/>
      <c r="AK16" s="337"/>
      <c r="AL16" s="851"/>
      <c r="AN16" s="848"/>
      <c r="AO16" s="336" t="s">
        <v>2</v>
      </c>
      <c r="AP16" s="337"/>
      <c r="AQ16" s="336"/>
      <c r="AR16" s="337"/>
      <c r="AS16" s="337"/>
      <c r="AT16" s="337"/>
      <c r="AU16" s="337"/>
      <c r="AV16" s="337"/>
      <c r="AW16" s="337"/>
      <c r="AX16" s="851"/>
      <c r="AZ16" s="848"/>
      <c r="BA16" s="336" t="s">
        <v>2</v>
      </c>
      <c r="BB16" s="337"/>
      <c r="BC16" s="336"/>
      <c r="BD16" s="337"/>
      <c r="BE16" s="337"/>
      <c r="BF16" s="337"/>
      <c r="BG16" s="337"/>
      <c r="BH16" s="337"/>
      <c r="BI16" s="337"/>
      <c r="BJ16" s="851"/>
      <c r="BL16" s="848"/>
      <c r="BM16" s="336" t="s">
        <v>2</v>
      </c>
      <c r="BN16" s="337"/>
      <c r="BO16" s="336"/>
      <c r="BP16" s="337"/>
      <c r="BQ16" s="337"/>
      <c r="BR16" s="337"/>
      <c r="BS16" s="337"/>
      <c r="BT16" s="337"/>
      <c r="BU16" s="337"/>
      <c r="BV16" s="851"/>
    </row>
    <row r="17" spans="2:74" ht="26" customHeight="1" x14ac:dyDescent="0.3">
      <c r="B17" s="884"/>
      <c r="C17" s="895"/>
      <c r="D17" s="848"/>
      <c r="E17" s="338" t="str">
        <f>E9</f>
        <v>D</v>
      </c>
      <c r="F17" s="339"/>
      <c r="G17" s="338" t="str">
        <f>G9</f>
        <v>A</v>
      </c>
      <c r="H17" s="339"/>
      <c r="I17" s="339"/>
      <c r="J17" s="338" t="str">
        <f>+J15</f>
        <v>Um/A</v>
      </c>
      <c r="K17" s="339"/>
      <c r="L17" s="338" t="str">
        <f>+L15</f>
        <v>PmO</v>
      </c>
      <c r="M17" s="339"/>
      <c r="N17" s="851"/>
      <c r="P17" s="848"/>
      <c r="Q17" s="338" t="str">
        <f>Q9</f>
        <v>D</v>
      </c>
      <c r="R17" s="339"/>
      <c r="S17" s="338" t="str">
        <f>S9</f>
        <v>A</v>
      </c>
      <c r="T17" s="339"/>
      <c r="U17" s="339"/>
      <c r="V17" s="338" t="str">
        <f>+V15</f>
        <v>Um/A</v>
      </c>
      <c r="W17" s="339"/>
      <c r="X17" s="338" t="str">
        <f>+X15</f>
        <v>PmO</v>
      </c>
      <c r="Y17" s="339"/>
      <c r="Z17" s="851"/>
      <c r="AB17" s="848"/>
      <c r="AC17" s="338" t="str">
        <f>AC9</f>
        <v>D</v>
      </c>
      <c r="AD17" s="339"/>
      <c r="AE17" s="338" t="str">
        <f>AE9</f>
        <v>A</v>
      </c>
      <c r="AF17" s="339"/>
      <c r="AG17" s="339"/>
      <c r="AH17" s="338" t="str">
        <f>+AH15</f>
        <v>Um/A</v>
      </c>
      <c r="AI17" s="339"/>
      <c r="AJ17" s="338" t="str">
        <f>+AJ15</f>
        <v>PmO</v>
      </c>
      <c r="AK17" s="339"/>
      <c r="AL17" s="851"/>
      <c r="AN17" s="848"/>
      <c r="AO17" s="338" t="str">
        <f>AO9</f>
        <v>D</v>
      </c>
      <c r="AP17" s="339"/>
      <c r="AQ17" s="338" t="str">
        <f>AQ9</f>
        <v>A</v>
      </c>
      <c r="AR17" s="339"/>
      <c r="AS17" s="339"/>
      <c r="AT17" s="338" t="str">
        <f>+AT15</f>
        <v>Um/A</v>
      </c>
      <c r="AU17" s="339"/>
      <c r="AV17" s="338" t="str">
        <f>+AV15</f>
        <v>PmO</v>
      </c>
      <c r="AW17" s="339"/>
      <c r="AX17" s="851"/>
      <c r="AZ17" s="848"/>
      <c r="BA17" s="338" t="str">
        <f>BA9</f>
        <v xml:space="preserve">C </v>
      </c>
      <c r="BB17" s="339"/>
      <c r="BC17" s="338" t="str">
        <f>G17</f>
        <v>A</v>
      </c>
      <c r="BD17" s="339"/>
      <c r="BE17" s="339"/>
      <c r="BF17" s="338" t="str">
        <f>BF15</f>
        <v>Um/A</v>
      </c>
      <c r="BG17" s="339"/>
      <c r="BH17" s="338" t="str">
        <f>BH15</f>
        <v>CmO</v>
      </c>
      <c r="BI17" s="339"/>
      <c r="BJ17" s="851"/>
      <c r="BL17" s="848"/>
      <c r="BM17" s="338" t="str">
        <f>BM9</f>
        <v xml:space="preserve">B </v>
      </c>
      <c r="BN17" s="339"/>
      <c r="BO17" s="338" t="str">
        <f>S17</f>
        <v>A</v>
      </c>
      <c r="BP17" s="339"/>
      <c r="BQ17" s="339"/>
      <c r="BR17" s="338" t="str">
        <f>BR15</f>
        <v>Um/A</v>
      </c>
      <c r="BS17" s="339"/>
      <c r="BT17" s="338" t="str">
        <f>BT15</f>
        <v>BmO</v>
      </c>
      <c r="BU17" s="339"/>
      <c r="BV17" s="851"/>
    </row>
    <row r="18" spans="2:74" ht="21" x14ac:dyDescent="0.25">
      <c r="B18" s="884"/>
      <c r="C18" s="895"/>
      <c r="D18" s="848"/>
      <c r="E18" s="340">
        <f>+Q18+AC18+AO18</f>
        <v>31138.38</v>
      </c>
      <c r="F18" s="335" t="s">
        <v>44</v>
      </c>
      <c r="G18" s="341">
        <f>'% Occupation'!E19</f>
        <v>1260</v>
      </c>
      <c r="H18" s="335" t="s">
        <v>45</v>
      </c>
      <c r="I18" s="335" t="s">
        <v>46</v>
      </c>
      <c r="J18" s="342">
        <f>+V18+AH18+AT18</f>
        <v>2.2200000000000002</v>
      </c>
      <c r="K18" s="335" t="s">
        <v>45</v>
      </c>
      <c r="L18" s="343">
        <f>E18/G18/J18</f>
        <v>11.131981981981982</v>
      </c>
      <c r="M18" s="335" t="s">
        <v>49</v>
      </c>
      <c r="N18" s="851"/>
      <c r="P18" s="848"/>
      <c r="Q18" s="340">
        <f>+S18*(V18*X18)</f>
        <v>22302.000000000004</v>
      </c>
      <c r="R18" s="335" t="s">
        <v>44</v>
      </c>
      <c r="S18" s="341">
        <f>G18</f>
        <v>1260</v>
      </c>
      <c r="T18" s="335" t="s">
        <v>45</v>
      </c>
      <c r="U18" s="335" t="s">
        <v>46</v>
      </c>
      <c r="V18" s="378">
        <v>1.5</v>
      </c>
      <c r="W18" s="335" t="s">
        <v>45</v>
      </c>
      <c r="X18" s="379">
        <v>11.8</v>
      </c>
      <c r="Y18" s="335" t="s">
        <v>49</v>
      </c>
      <c r="Z18" s="851"/>
      <c r="AB18" s="848"/>
      <c r="AC18" s="340">
        <f>+AE18*(AH18*AJ18)</f>
        <v>8087.94</v>
      </c>
      <c r="AD18" s="335" t="s">
        <v>44</v>
      </c>
      <c r="AE18" s="341">
        <f>S18</f>
        <v>1260</v>
      </c>
      <c r="AF18" s="335" t="s">
        <v>45</v>
      </c>
      <c r="AG18" s="335" t="s">
        <v>46</v>
      </c>
      <c r="AH18" s="378">
        <v>0.7</v>
      </c>
      <c r="AI18" s="335" t="s">
        <v>45</v>
      </c>
      <c r="AJ18" s="379">
        <v>9.17</v>
      </c>
      <c r="AK18" s="335" t="s">
        <v>49</v>
      </c>
      <c r="AL18" s="851"/>
      <c r="AN18" s="848"/>
      <c r="AO18" s="340">
        <f>+AQ18*(AT18*AV18)</f>
        <v>748.43999999999994</v>
      </c>
      <c r="AP18" s="335" t="s">
        <v>44</v>
      </c>
      <c r="AQ18" s="341">
        <f>AE18</f>
        <v>1260</v>
      </c>
      <c r="AR18" s="335" t="s">
        <v>45</v>
      </c>
      <c r="AS18" s="335" t="s">
        <v>46</v>
      </c>
      <c r="AT18" s="378">
        <v>0.02</v>
      </c>
      <c r="AU18" s="335" t="s">
        <v>45</v>
      </c>
      <c r="AV18" s="379">
        <v>29.7</v>
      </c>
      <c r="AW18" s="335" t="s">
        <v>49</v>
      </c>
      <c r="AX18" s="851"/>
      <c r="AZ18" s="848"/>
      <c r="BA18" s="340">
        <f>'État des Résultats'!H14-'État des Résultats'!H45</f>
        <v>35077.14788407187</v>
      </c>
      <c r="BB18" s="335" t="s">
        <v>44</v>
      </c>
      <c r="BC18" s="341">
        <f>G18</f>
        <v>1260</v>
      </c>
      <c r="BD18" s="335" t="s">
        <v>45</v>
      </c>
      <c r="BE18" s="335" t="s">
        <v>46</v>
      </c>
      <c r="BF18" s="342">
        <f>J18</f>
        <v>2.2200000000000002</v>
      </c>
      <c r="BG18" s="335" t="s">
        <v>45</v>
      </c>
      <c r="BH18" s="343">
        <f>BA18/BC18/BF18</f>
        <v>12.540092908648601</v>
      </c>
      <c r="BI18" s="335" t="s">
        <v>49</v>
      </c>
      <c r="BJ18" s="851"/>
      <c r="BL18" s="848"/>
      <c r="BM18" s="340">
        <f>'État des Résultats'!H45</f>
        <v>-3938.7678840718668</v>
      </c>
      <c r="BN18" s="335" t="s">
        <v>44</v>
      </c>
      <c r="BO18" s="341">
        <f>S18</f>
        <v>1260</v>
      </c>
      <c r="BP18" s="335" t="s">
        <v>45</v>
      </c>
      <c r="BQ18" s="335" t="s">
        <v>46</v>
      </c>
      <c r="BR18" s="342">
        <f>J18</f>
        <v>2.2200000000000002</v>
      </c>
      <c r="BS18" s="335" t="s">
        <v>45</v>
      </c>
      <c r="BT18" s="343">
        <f>BM18/BO18/BR18</f>
        <v>-1.4081109266666187</v>
      </c>
      <c r="BU18" s="335" t="s">
        <v>49</v>
      </c>
      <c r="BV18" s="851"/>
    </row>
    <row r="19" spans="2:74" ht="17" thickBot="1" x14ac:dyDescent="0.25">
      <c r="B19" s="884"/>
      <c r="C19" s="895"/>
      <c r="D19" s="849"/>
      <c r="E19" s="344"/>
      <c r="F19" s="344"/>
      <c r="G19" s="344"/>
      <c r="H19" s="344"/>
      <c r="I19" s="344"/>
      <c r="J19" s="344"/>
      <c r="K19" s="344"/>
      <c r="L19" s="344"/>
      <c r="M19" s="344"/>
      <c r="N19" s="852"/>
      <c r="P19" s="849"/>
      <c r="Q19" s="344"/>
      <c r="R19" s="344"/>
      <c r="S19" s="344"/>
      <c r="T19" s="344"/>
      <c r="U19" s="344"/>
      <c r="V19" s="344"/>
      <c r="W19" s="344"/>
      <c r="X19" s="344"/>
      <c r="Y19" s="344"/>
      <c r="Z19" s="852"/>
      <c r="AB19" s="849"/>
      <c r="AC19" s="344"/>
      <c r="AD19" s="344"/>
      <c r="AE19" s="344"/>
      <c r="AF19" s="344"/>
      <c r="AG19" s="344"/>
      <c r="AH19" s="344"/>
      <c r="AI19" s="344"/>
      <c r="AJ19" s="344"/>
      <c r="AK19" s="344"/>
      <c r="AL19" s="852"/>
      <c r="AN19" s="849"/>
      <c r="AO19" s="344"/>
      <c r="AP19" s="344"/>
      <c r="AQ19" s="344"/>
      <c r="AR19" s="344"/>
      <c r="AS19" s="344"/>
      <c r="AT19" s="344"/>
      <c r="AU19" s="344"/>
      <c r="AV19" s="344"/>
      <c r="AW19" s="344"/>
      <c r="AX19" s="852"/>
      <c r="AZ19" s="849"/>
      <c r="BA19" s="344"/>
      <c r="BB19" s="344"/>
      <c r="BC19" s="344"/>
      <c r="BD19" s="344"/>
      <c r="BE19" s="344"/>
      <c r="BF19" s="344"/>
      <c r="BG19" s="344"/>
      <c r="BH19" s="344"/>
      <c r="BI19" s="344"/>
      <c r="BJ19" s="852"/>
      <c r="BL19" s="849"/>
      <c r="BM19" s="344"/>
      <c r="BN19" s="344"/>
      <c r="BO19" s="344"/>
      <c r="BP19" s="344"/>
      <c r="BQ19" s="344"/>
      <c r="BR19" s="344"/>
      <c r="BS19" s="344"/>
      <c r="BT19" s="344"/>
      <c r="BU19" s="344"/>
      <c r="BV19" s="852"/>
    </row>
    <row r="20" spans="2:74" ht="5" customHeight="1" thickTop="1" thickBot="1" x14ac:dyDescent="0.2">
      <c r="B20" s="884"/>
      <c r="C20" s="210"/>
    </row>
    <row r="21" spans="2:74" ht="17" thickTop="1" x14ac:dyDescent="0.2">
      <c r="B21" s="884"/>
      <c r="C21" s="895"/>
      <c r="D21" s="847" t="s">
        <v>42</v>
      </c>
      <c r="E21" s="333"/>
      <c r="F21" s="333"/>
      <c r="G21" s="333"/>
      <c r="H21" s="333"/>
      <c r="I21" s="333"/>
      <c r="J21" s="333"/>
      <c r="K21" s="333"/>
      <c r="L21" s="333"/>
      <c r="M21" s="333"/>
      <c r="N21" s="850" t="s">
        <v>43</v>
      </c>
      <c r="P21" s="847" t="s">
        <v>42</v>
      </c>
      <c r="Q21" s="333"/>
      <c r="R21" s="333"/>
      <c r="S21" s="333"/>
      <c r="T21" s="333"/>
      <c r="U21" s="333"/>
      <c r="V21" s="333"/>
      <c r="W21" s="333"/>
      <c r="X21" s="333"/>
      <c r="Y21" s="333"/>
      <c r="Z21" s="850" t="s">
        <v>43</v>
      </c>
      <c r="AB21" s="847" t="s">
        <v>42</v>
      </c>
      <c r="AC21" s="333"/>
      <c r="AD21" s="333"/>
      <c r="AE21" s="333"/>
      <c r="AF21" s="333"/>
      <c r="AG21" s="333"/>
      <c r="AH21" s="333"/>
      <c r="AI21" s="333"/>
      <c r="AJ21" s="333"/>
      <c r="AK21" s="333"/>
      <c r="AL21" s="850" t="s">
        <v>43</v>
      </c>
      <c r="AN21" s="847" t="s">
        <v>42</v>
      </c>
      <c r="AO21" s="333"/>
      <c r="AP21" s="333"/>
      <c r="AQ21" s="333"/>
      <c r="AR21" s="333"/>
      <c r="AS21" s="333"/>
      <c r="AT21" s="333"/>
      <c r="AU21" s="333"/>
      <c r="AV21" s="333"/>
      <c r="AW21" s="333"/>
      <c r="AX21" s="850" t="s">
        <v>43</v>
      </c>
      <c r="AZ21" s="847" t="s">
        <v>42</v>
      </c>
      <c r="BA21" s="333"/>
      <c r="BB21" s="333"/>
      <c r="BC21" s="333"/>
      <c r="BD21" s="333"/>
      <c r="BE21" s="333"/>
      <c r="BF21" s="333"/>
      <c r="BG21" s="333"/>
      <c r="BH21" s="333"/>
      <c r="BI21" s="333"/>
      <c r="BJ21" s="850" t="s">
        <v>43</v>
      </c>
      <c r="BL21" s="847" t="s">
        <v>42</v>
      </c>
      <c r="BM21" s="333"/>
      <c r="BN21" s="333"/>
      <c r="BO21" s="333"/>
      <c r="BP21" s="333"/>
      <c r="BQ21" s="333"/>
      <c r="BR21" s="333"/>
      <c r="BS21" s="333"/>
      <c r="BT21" s="333"/>
      <c r="BU21" s="333"/>
      <c r="BV21" s="850" t="s">
        <v>43</v>
      </c>
    </row>
    <row r="22" spans="2:74" ht="16" x14ac:dyDescent="0.2">
      <c r="B22" s="884"/>
      <c r="C22" s="895"/>
      <c r="D22" s="848"/>
      <c r="E22" s="334"/>
      <c r="F22" s="334"/>
      <c r="G22" s="334"/>
      <c r="H22" s="334"/>
      <c r="I22" s="334"/>
      <c r="J22" s="334"/>
      <c r="K22" s="334"/>
      <c r="L22" s="334"/>
      <c r="M22" s="334"/>
      <c r="N22" s="851"/>
      <c r="P22" s="848"/>
      <c r="Q22" s="334"/>
      <c r="R22" s="334"/>
      <c r="S22" s="334"/>
      <c r="T22" s="334"/>
      <c r="U22" s="334"/>
      <c r="V22" s="334"/>
      <c r="W22" s="334"/>
      <c r="X22" s="334"/>
      <c r="Y22" s="334"/>
      <c r="Z22" s="851"/>
      <c r="AB22" s="848"/>
      <c r="AC22" s="334"/>
      <c r="AD22" s="334"/>
      <c r="AE22" s="334"/>
      <c r="AF22" s="334"/>
      <c r="AG22" s="334"/>
      <c r="AH22" s="334"/>
      <c r="AI22" s="334"/>
      <c r="AJ22" s="334"/>
      <c r="AK22" s="334"/>
      <c r="AL22" s="851"/>
      <c r="AN22" s="848"/>
      <c r="AO22" s="334"/>
      <c r="AP22" s="334"/>
      <c r="AQ22" s="334"/>
      <c r="AR22" s="334"/>
      <c r="AS22" s="334"/>
      <c r="AT22" s="334"/>
      <c r="AU22" s="334"/>
      <c r="AV22" s="334"/>
      <c r="AW22" s="334"/>
      <c r="AX22" s="851"/>
      <c r="AZ22" s="848"/>
      <c r="BA22" s="334"/>
      <c r="BB22" s="334"/>
      <c r="BC22" s="334"/>
      <c r="BD22" s="334"/>
      <c r="BE22" s="334"/>
      <c r="BF22" s="334"/>
      <c r="BG22" s="334"/>
      <c r="BH22" s="334"/>
      <c r="BI22" s="334"/>
      <c r="BJ22" s="851"/>
      <c r="BL22" s="848"/>
      <c r="BM22" s="334"/>
      <c r="BN22" s="334"/>
      <c r="BO22" s="334"/>
      <c r="BP22" s="334"/>
      <c r="BQ22" s="334"/>
      <c r="BR22" s="334"/>
      <c r="BS22" s="334"/>
      <c r="BT22" s="334"/>
      <c r="BU22" s="334"/>
      <c r="BV22" s="851"/>
    </row>
    <row r="23" spans="2:74" ht="21" x14ac:dyDescent="0.25">
      <c r="B23" s="884"/>
      <c r="C23" s="895"/>
      <c r="D23" s="848"/>
      <c r="E23" s="335" t="str">
        <f>E15</f>
        <v>Demande mensuelle</v>
      </c>
      <c r="F23" s="335" t="s">
        <v>44</v>
      </c>
      <c r="G23" s="335" t="str">
        <f>+G15</f>
        <v>Achalandage mensuel</v>
      </c>
      <c r="H23" s="335" t="s">
        <v>45</v>
      </c>
      <c r="I23" s="335" t="s">
        <v>46</v>
      </c>
      <c r="J23" s="335" t="str">
        <f>J15</f>
        <v>Um/A</v>
      </c>
      <c r="K23" s="335" t="s">
        <v>45</v>
      </c>
      <c r="L23" s="335" t="str">
        <f>L15</f>
        <v>PmO</v>
      </c>
      <c r="M23" s="335" t="s">
        <v>49</v>
      </c>
      <c r="N23" s="851"/>
      <c r="P23" s="848"/>
      <c r="Q23" s="335" t="str">
        <f>Q15</f>
        <v>Demande mensuelle</v>
      </c>
      <c r="R23" s="335" t="s">
        <v>44</v>
      </c>
      <c r="S23" s="335" t="str">
        <f>+S15</f>
        <v>Achalandage mensuel</v>
      </c>
      <c r="T23" s="335" t="s">
        <v>45</v>
      </c>
      <c r="U23" s="335" t="s">
        <v>46</v>
      </c>
      <c r="V23" s="335" t="str">
        <f>V15</f>
        <v>Um/A</v>
      </c>
      <c r="W23" s="335" t="s">
        <v>45</v>
      </c>
      <c r="X23" s="335" t="str">
        <f>X15</f>
        <v>PmO</v>
      </c>
      <c r="Y23" s="335" t="s">
        <v>49</v>
      </c>
      <c r="Z23" s="851"/>
      <c r="AB23" s="848"/>
      <c r="AC23" s="335" t="str">
        <f>AC15</f>
        <v>Demande mensuelle</v>
      </c>
      <c r="AD23" s="335" t="s">
        <v>44</v>
      </c>
      <c r="AE23" s="335" t="str">
        <f>AE15</f>
        <v>Achalandage mensuel</v>
      </c>
      <c r="AF23" s="335" t="s">
        <v>45</v>
      </c>
      <c r="AG23" s="335" t="s">
        <v>46</v>
      </c>
      <c r="AH23" s="335" t="str">
        <f>AH15</f>
        <v>Um/A</v>
      </c>
      <c r="AI23" s="335" t="s">
        <v>45</v>
      </c>
      <c r="AJ23" s="335" t="str">
        <f>AJ15</f>
        <v>PmO</v>
      </c>
      <c r="AK23" s="335" t="s">
        <v>49</v>
      </c>
      <c r="AL23" s="851"/>
      <c r="AN23" s="848"/>
      <c r="AO23" s="335" t="str">
        <f>AO15</f>
        <v>Demande mensuelle</v>
      </c>
      <c r="AP23" s="335" t="s">
        <v>44</v>
      </c>
      <c r="AQ23" s="335" t="str">
        <f>AQ15</f>
        <v>Achalandage mensuel</v>
      </c>
      <c r="AR23" s="335" t="s">
        <v>45</v>
      </c>
      <c r="AS23" s="335" t="s">
        <v>46</v>
      </c>
      <c r="AT23" s="335" t="str">
        <f>AT15</f>
        <v>Um/A</v>
      </c>
      <c r="AU23" s="335" t="s">
        <v>45</v>
      </c>
      <c r="AV23" s="335" t="str">
        <f>AV15</f>
        <v>PmO</v>
      </c>
      <c r="AW23" s="335" t="s">
        <v>49</v>
      </c>
      <c r="AX23" s="851"/>
      <c r="AZ23" s="848"/>
      <c r="BA23" s="335" t="str">
        <f>BA15</f>
        <v>Coût mensuel</v>
      </c>
      <c r="BB23" s="335" t="s">
        <v>44</v>
      </c>
      <c r="BC23" s="335" t="str">
        <f>G23</f>
        <v>Achalandage mensuel</v>
      </c>
      <c r="BD23" s="335" t="s">
        <v>45</v>
      </c>
      <c r="BE23" s="335" t="s">
        <v>46</v>
      </c>
      <c r="BF23" s="335" t="str">
        <f>J23</f>
        <v>Um/A</v>
      </c>
      <c r="BG23" s="335" t="s">
        <v>45</v>
      </c>
      <c r="BH23" s="335" t="str">
        <f>BH15</f>
        <v>CmO</v>
      </c>
      <c r="BI23" s="335" t="s">
        <v>49</v>
      </c>
      <c r="BJ23" s="851"/>
      <c r="BL23" s="848"/>
      <c r="BM23" s="335" t="str">
        <f>BM15</f>
        <v>Bénéfice mensuel</v>
      </c>
      <c r="BN23" s="335" t="s">
        <v>44</v>
      </c>
      <c r="BO23" s="335" t="str">
        <f>S23</f>
        <v>Achalandage mensuel</v>
      </c>
      <c r="BP23" s="335" t="s">
        <v>45</v>
      </c>
      <c r="BQ23" s="335" t="s">
        <v>46</v>
      </c>
      <c r="BR23" s="335" t="str">
        <f>V23</f>
        <v>Um/A</v>
      </c>
      <c r="BS23" s="335" t="s">
        <v>45</v>
      </c>
      <c r="BT23" s="335" t="str">
        <f>BT15</f>
        <v>BmO</v>
      </c>
      <c r="BU23" s="335" t="s">
        <v>49</v>
      </c>
      <c r="BV23" s="851"/>
    </row>
    <row r="24" spans="2:74" ht="19" x14ac:dyDescent="0.25">
      <c r="B24" s="884"/>
      <c r="C24" s="895"/>
      <c r="D24" s="848"/>
      <c r="E24" s="336" t="s">
        <v>2</v>
      </c>
      <c r="F24" s="337"/>
      <c r="G24" s="336"/>
      <c r="H24" s="337"/>
      <c r="I24" s="337"/>
      <c r="J24" s="337"/>
      <c r="K24" s="337"/>
      <c r="L24" s="337"/>
      <c r="M24" s="337"/>
      <c r="N24" s="851"/>
      <c r="P24" s="848"/>
      <c r="Q24" s="336" t="s">
        <v>2</v>
      </c>
      <c r="R24" s="337"/>
      <c r="S24" s="336"/>
      <c r="T24" s="337"/>
      <c r="U24" s="337"/>
      <c r="V24" s="337"/>
      <c r="W24" s="337"/>
      <c r="X24" s="337"/>
      <c r="Y24" s="337"/>
      <c r="Z24" s="851"/>
      <c r="AB24" s="848"/>
      <c r="AC24" s="336" t="s">
        <v>2</v>
      </c>
      <c r="AD24" s="337"/>
      <c r="AE24" s="336"/>
      <c r="AF24" s="337"/>
      <c r="AG24" s="337"/>
      <c r="AH24" s="337"/>
      <c r="AI24" s="337"/>
      <c r="AJ24" s="337"/>
      <c r="AK24" s="337"/>
      <c r="AL24" s="851"/>
      <c r="AN24" s="848"/>
      <c r="AO24" s="336" t="s">
        <v>2</v>
      </c>
      <c r="AP24" s="337"/>
      <c r="AQ24" s="336"/>
      <c r="AR24" s="337"/>
      <c r="AS24" s="337"/>
      <c r="AT24" s="337"/>
      <c r="AU24" s="337"/>
      <c r="AV24" s="337"/>
      <c r="AW24" s="337"/>
      <c r="AX24" s="851"/>
      <c r="AZ24" s="848"/>
      <c r="BA24" s="336" t="s">
        <v>2</v>
      </c>
      <c r="BB24" s="337"/>
      <c r="BC24" s="336"/>
      <c r="BD24" s="337"/>
      <c r="BE24" s="337"/>
      <c r="BF24" s="337"/>
      <c r="BG24" s="337"/>
      <c r="BH24" s="337"/>
      <c r="BI24" s="337"/>
      <c r="BJ24" s="851"/>
      <c r="BL24" s="848"/>
      <c r="BM24" s="336" t="s">
        <v>2</v>
      </c>
      <c r="BN24" s="337"/>
      <c r="BO24" s="336"/>
      <c r="BP24" s="337"/>
      <c r="BQ24" s="337"/>
      <c r="BR24" s="337"/>
      <c r="BS24" s="337"/>
      <c r="BT24" s="337"/>
      <c r="BU24" s="337"/>
      <c r="BV24" s="851"/>
    </row>
    <row r="25" spans="2:74" ht="26" x14ac:dyDescent="0.3">
      <c r="B25" s="884"/>
      <c r="C25" s="895"/>
      <c r="D25" s="848"/>
      <c r="E25" s="338" t="str">
        <f>E17</f>
        <v>D</v>
      </c>
      <c r="F25" s="339"/>
      <c r="G25" s="338" t="str">
        <f>G17</f>
        <v>A</v>
      </c>
      <c r="H25" s="339"/>
      <c r="I25" s="339"/>
      <c r="J25" s="338" t="str">
        <f>+J23</f>
        <v>Um/A</v>
      </c>
      <c r="K25" s="339"/>
      <c r="L25" s="338" t="str">
        <f>+L23</f>
        <v>PmO</v>
      </c>
      <c r="M25" s="339"/>
      <c r="N25" s="851"/>
      <c r="P25" s="848"/>
      <c r="Q25" s="338" t="str">
        <f>Q17</f>
        <v>D</v>
      </c>
      <c r="R25" s="339"/>
      <c r="S25" s="338" t="str">
        <f>S17</f>
        <v>A</v>
      </c>
      <c r="T25" s="339"/>
      <c r="U25" s="339"/>
      <c r="V25" s="338" t="str">
        <f>+V23</f>
        <v>Um/A</v>
      </c>
      <c r="W25" s="339"/>
      <c r="X25" s="338" t="str">
        <f>+X23</f>
        <v>PmO</v>
      </c>
      <c r="Y25" s="339"/>
      <c r="Z25" s="851"/>
      <c r="AB25" s="848"/>
      <c r="AC25" s="338" t="str">
        <f>AC17</f>
        <v>D</v>
      </c>
      <c r="AD25" s="339"/>
      <c r="AE25" s="338" t="str">
        <f>AE17</f>
        <v>A</v>
      </c>
      <c r="AF25" s="339"/>
      <c r="AG25" s="339"/>
      <c r="AH25" s="338" t="str">
        <f>+AH23</f>
        <v>Um/A</v>
      </c>
      <c r="AI25" s="339"/>
      <c r="AJ25" s="338" t="str">
        <f>+AJ23</f>
        <v>PmO</v>
      </c>
      <c r="AK25" s="339"/>
      <c r="AL25" s="851"/>
      <c r="AN25" s="848"/>
      <c r="AO25" s="338" t="str">
        <f>AO17</f>
        <v>D</v>
      </c>
      <c r="AP25" s="339"/>
      <c r="AQ25" s="338" t="str">
        <f>AQ17</f>
        <v>A</v>
      </c>
      <c r="AR25" s="339"/>
      <c r="AS25" s="339"/>
      <c r="AT25" s="338" t="str">
        <f>+AT23</f>
        <v>Um/A</v>
      </c>
      <c r="AU25" s="339"/>
      <c r="AV25" s="338" t="str">
        <f>+AV23</f>
        <v>PmO</v>
      </c>
      <c r="AW25" s="339"/>
      <c r="AX25" s="851"/>
      <c r="AZ25" s="848"/>
      <c r="BA25" s="338" t="str">
        <f>BA17</f>
        <v xml:space="preserve">C </v>
      </c>
      <c r="BB25" s="339"/>
      <c r="BC25" s="338" t="str">
        <f>G25</f>
        <v>A</v>
      </c>
      <c r="BD25" s="339"/>
      <c r="BE25" s="339"/>
      <c r="BF25" s="338" t="str">
        <f>BF23</f>
        <v>Um/A</v>
      </c>
      <c r="BG25" s="339"/>
      <c r="BH25" s="338" t="str">
        <f>BH23</f>
        <v>CmO</v>
      </c>
      <c r="BI25" s="339"/>
      <c r="BJ25" s="851"/>
      <c r="BL25" s="848"/>
      <c r="BM25" s="338" t="str">
        <f>BM17</f>
        <v xml:space="preserve">B </v>
      </c>
      <c r="BN25" s="339"/>
      <c r="BO25" s="338" t="str">
        <f>S25</f>
        <v>A</v>
      </c>
      <c r="BP25" s="339"/>
      <c r="BQ25" s="339"/>
      <c r="BR25" s="338" t="str">
        <f>BR23</f>
        <v>Um/A</v>
      </c>
      <c r="BS25" s="339"/>
      <c r="BT25" s="338" t="str">
        <f>BT23</f>
        <v>BmO</v>
      </c>
      <c r="BU25" s="339"/>
      <c r="BV25" s="851"/>
    </row>
    <row r="26" spans="2:74" ht="21" x14ac:dyDescent="0.25">
      <c r="B26" s="884"/>
      <c r="C26" s="895"/>
      <c r="D26" s="848"/>
      <c r="E26" s="340">
        <f>+Q26+AC26+AO26</f>
        <v>38305.15</v>
      </c>
      <c r="F26" s="335" t="s">
        <v>44</v>
      </c>
      <c r="G26" s="341">
        <f>'% Occupation'!F19</f>
        <v>1550</v>
      </c>
      <c r="H26" s="335" t="s">
        <v>45</v>
      </c>
      <c r="I26" s="335" t="s">
        <v>46</v>
      </c>
      <c r="J26" s="342">
        <f>+V26+AH26+AT26</f>
        <v>2.2200000000000002</v>
      </c>
      <c r="K26" s="335" t="s">
        <v>45</v>
      </c>
      <c r="L26" s="343">
        <f>E26/G26/J26</f>
        <v>11.131981981981982</v>
      </c>
      <c r="M26" s="335" t="s">
        <v>49</v>
      </c>
      <c r="N26" s="851"/>
      <c r="P26" s="848"/>
      <c r="Q26" s="340">
        <f>+S26*(V26*X26)</f>
        <v>27435.000000000004</v>
      </c>
      <c r="R26" s="335" t="s">
        <v>44</v>
      </c>
      <c r="S26" s="341">
        <f>G26</f>
        <v>1550</v>
      </c>
      <c r="T26" s="335" t="s">
        <v>45</v>
      </c>
      <c r="U26" s="335" t="s">
        <v>46</v>
      </c>
      <c r="V26" s="378">
        <v>1.5</v>
      </c>
      <c r="W26" s="335" t="s">
        <v>45</v>
      </c>
      <c r="X26" s="379">
        <v>11.8</v>
      </c>
      <c r="Y26" s="335" t="s">
        <v>49</v>
      </c>
      <c r="Z26" s="851"/>
      <c r="AB26" s="848"/>
      <c r="AC26" s="340">
        <f>+AE26*(AH26*AJ26)</f>
        <v>9949.4499999999989</v>
      </c>
      <c r="AD26" s="335" t="s">
        <v>44</v>
      </c>
      <c r="AE26" s="341">
        <f>S26</f>
        <v>1550</v>
      </c>
      <c r="AF26" s="335" t="s">
        <v>45</v>
      </c>
      <c r="AG26" s="335" t="s">
        <v>46</v>
      </c>
      <c r="AH26" s="378">
        <v>0.7</v>
      </c>
      <c r="AI26" s="335" t="s">
        <v>45</v>
      </c>
      <c r="AJ26" s="379">
        <v>9.17</v>
      </c>
      <c r="AK26" s="335" t="s">
        <v>49</v>
      </c>
      <c r="AL26" s="851"/>
      <c r="AN26" s="848"/>
      <c r="AO26" s="340">
        <f>+AQ26*(AT26*AV26)</f>
        <v>920.69999999999993</v>
      </c>
      <c r="AP26" s="335" t="s">
        <v>44</v>
      </c>
      <c r="AQ26" s="341">
        <f>AE26</f>
        <v>1550</v>
      </c>
      <c r="AR26" s="335" t="s">
        <v>45</v>
      </c>
      <c r="AS26" s="335" t="s">
        <v>46</v>
      </c>
      <c r="AT26" s="378">
        <v>0.02</v>
      </c>
      <c r="AU26" s="335" t="s">
        <v>45</v>
      </c>
      <c r="AV26" s="379">
        <v>29.7</v>
      </c>
      <c r="AW26" s="335" t="s">
        <v>49</v>
      </c>
      <c r="AX26" s="851"/>
      <c r="AZ26" s="848"/>
      <c r="BA26" s="340">
        <f>'État des Résultats'!K14-'État des Résultats'!K45</f>
        <v>34436.510511358254</v>
      </c>
      <c r="BB26" s="335" t="s">
        <v>44</v>
      </c>
      <c r="BC26" s="341">
        <f>G26</f>
        <v>1550</v>
      </c>
      <c r="BD26" s="335" t="s">
        <v>45</v>
      </c>
      <c r="BE26" s="335" t="s">
        <v>46</v>
      </c>
      <c r="BF26" s="342">
        <f>J26</f>
        <v>2.2200000000000002</v>
      </c>
      <c r="BG26" s="335" t="s">
        <v>45</v>
      </c>
      <c r="BH26" s="343">
        <f>BA26/BC26/BF26</f>
        <v>10.007704304376126</v>
      </c>
      <c r="BI26" s="335" t="s">
        <v>49</v>
      </c>
      <c r="BJ26" s="851"/>
      <c r="BL26" s="848"/>
      <c r="BM26" s="340">
        <f>'État des Résultats'!K45</f>
        <v>3868.6394886417497</v>
      </c>
      <c r="BN26" s="335" t="s">
        <v>44</v>
      </c>
      <c r="BO26" s="341">
        <f>S26</f>
        <v>1550</v>
      </c>
      <c r="BP26" s="335" t="s">
        <v>45</v>
      </c>
      <c r="BQ26" s="335" t="s">
        <v>46</v>
      </c>
      <c r="BR26" s="342">
        <f>J26</f>
        <v>2.2200000000000002</v>
      </c>
      <c r="BS26" s="335" t="s">
        <v>45</v>
      </c>
      <c r="BT26" s="343">
        <f>BM26/BO26/BR26</f>
        <v>1.1242776776058558</v>
      </c>
      <c r="BU26" s="335" t="s">
        <v>49</v>
      </c>
      <c r="BV26" s="851"/>
    </row>
    <row r="27" spans="2:74" ht="17" thickBot="1" x14ac:dyDescent="0.25">
      <c r="B27" s="885"/>
      <c r="C27" s="895"/>
      <c r="D27" s="849"/>
      <c r="E27" s="344"/>
      <c r="F27" s="344"/>
      <c r="G27" s="344"/>
      <c r="H27" s="344"/>
      <c r="I27" s="344"/>
      <c r="J27" s="344"/>
      <c r="K27" s="344"/>
      <c r="L27" s="344"/>
      <c r="M27" s="344"/>
      <c r="N27" s="852"/>
      <c r="P27" s="849"/>
      <c r="Q27" s="344"/>
      <c r="R27" s="344"/>
      <c r="S27" s="344"/>
      <c r="T27" s="344"/>
      <c r="U27" s="344"/>
      <c r="V27" s="344"/>
      <c r="W27" s="344"/>
      <c r="X27" s="344"/>
      <c r="Y27" s="344"/>
      <c r="Z27" s="852"/>
      <c r="AB27" s="849"/>
      <c r="AC27" s="344"/>
      <c r="AD27" s="344"/>
      <c r="AE27" s="344"/>
      <c r="AF27" s="344"/>
      <c r="AG27" s="344"/>
      <c r="AH27" s="344"/>
      <c r="AI27" s="344"/>
      <c r="AJ27" s="344"/>
      <c r="AK27" s="344"/>
      <c r="AL27" s="852"/>
      <c r="AN27" s="849"/>
      <c r="AO27" s="344"/>
      <c r="AP27" s="344"/>
      <c r="AQ27" s="344"/>
      <c r="AR27" s="344"/>
      <c r="AS27" s="344"/>
      <c r="AT27" s="344"/>
      <c r="AU27" s="344"/>
      <c r="AV27" s="344"/>
      <c r="AW27" s="344"/>
      <c r="AX27" s="852"/>
      <c r="AZ27" s="849"/>
      <c r="BA27" s="344"/>
      <c r="BB27" s="344"/>
      <c r="BC27" s="344"/>
      <c r="BD27" s="344"/>
      <c r="BE27" s="344"/>
      <c r="BF27" s="344"/>
      <c r="BG27" s="344"/>
      <c r="BH27" s="344"/>
      <c r="BI27" s="344"/>
      <c r="BJ27" s="852"/>
      <c r="BL27" s="849"/>
      <c r="BM27" s="344"/>
      <c r="BN27" s="344"/>
      <c r="BO27" s="344"/>
      <c r="BP27" s="344"/>
      <c r="BQ27" s="344"/>
      <c r="BR27" s="344"/>
      <c r="BS27" s="344"/>
      <c r="BT27" s="344"/>
      <c r="BU27" s="344"/>
      <c r="BV27" s="852"/>
    </row>
    <row r="28" spans="2:74" ht="10" customHeight="1" thickBot="1" x14ac:dyDescent="0.25">
      <c r="C28" s="210"/>
      <c r="P28" s="162" t="s">
        <v>2</v>
      </c>
      <c r="AB28" s="162" t="s">
        <v>2</v>
      </c>
      <c r="AN28" s="162" t="s">
        <v>2</v>
      </c>
    </row>
    <row r="29" spans="2:74" ht="17" thickTop="1" x14ac:dyDescent="0.2">
      <c r="B29" s="886">
        <v>2</v>
      </c>
      <c r="C29" s="895"/>
      <c r="D29" s="853" t="s">
        <v>42</v>
      </c>
      <c r="E29" s="345"/>
      <c r="F29" s="345"/>
      <c r="G29" s="345"/>
      <c r="H29" s="345"/>
      <c r="I29" s="345"/>
      <c r="J29" s="345"/>
      <c r="K29" s="345"/>
      <c r="L29" s="345"/>
      <c r="M29" s="345"/>
      <c r="N29" s="856" t="s">
        <v>43</v>
      </c>
      <c r="P29" s="853" t="s">
        <v>42</v>
      </c>
      <c r="Q29" s="345"/>
      <c r="R29" s="345"/>
      <c r="S29" s="345"/>
      <c r="T29" s="345"/>
      <c r="U29" s="345"/>
      <c r="V29" s="345"/>
      <c r="W29" s="345"/>
      <c r="X29" s="345"/>
      <c r="Y29" s="345"/>
      <c r="Z29" s="856" t="s">
        <v>43</v>
      </c>
      <c r="AB29" s="853" t="s">
        <v>42</v>
      </c>
      <c r="AC29" s="345"/>
      <c r="AD29" s="345"/>
      <c r="AE29" s="345"/>
      <c r="AF29" s="345"/>
      <c r="AG29" s="345"/>
      <c r="AH29" s="345"/>
      <c r="AI29" s="345"/>
      <c r="AJ29" s="345"/>
      <c r="AK29" s="345"/>
      <c r="AL29" s="856" t="s">
        <v>43</v>
      </c>
      <c r="AN29" s="853" t="s">
        <v>42</v>
      </c>
      <c r="AO29" s="345"/>
      <c r="AP29" s="345"/>
      <c r="AQ29" s="345"/>
      <c r="AR29" s="345"/>
      <c r="AS29" s="345"/>
      <c r="AT29" s="345"/>
      <c r="AU29" s="345"/>
      <c r="AV29" s="345"/>
      <c r="AW29" s="345"/>
      <c r="AX29" s="856" t="s">
        <v>43</v>
      </c>
      <c r="AZ29" s="853" t="s">
        <v>42</v>
      </c>
      <c r="BA29" s="345"/>
      <c r="BB29" s="345"/>
      <c r="BC29" s="345"/>
      <c r="BD29" s="345"/>
      <c r="BE29" s="345"/>
      <c r="BF29" s="345"/>
      <c r="BG29" s="345"/>
      <c r="BH29" s="345"/>
      <c r="BI29" s="345"/>
      <c r="BJ29" s="856" t="s">
        <v>43</v>
      </c>
      <c r="BL29" s="853" t="s">
        <v>42</v>
      </c>
      <c r="BM29" s="345"/>
      <c r="BN29" s="345"/>
      <c r="BO29" s="345"/>
      <c r="BP29" s="345"/>
      <c r="BQ29" s="345"/>
      <c r="BR29" s="345"/>
      <c r="BS29" s="345"/>
      <c r="BT29" s="345"/>
      <c r="BU29" s="345"/>
      <c r="BV29" s="856" t="s">
        <v>43</v>
      </c>
    </row>
    <row r="30" spans="2:74" ht="16" x14ac:dyDescent="0.2">
      <c r="B30" s="887"/>
      <c r="C30" s="895"/>
      <c r="D30" s="854"/>
      <c r="E30" s="346"/>
      <c r="F30" s="346"/>
      <c r="G30" s="346"/>
      <c r="H30" s="346"/>
      <c r="I30" s="346"/>
      <c r="J30" s="346"/>
      <c r="K30" s="346"/>
      <c r="L30" s="346"/>
      <c r="M30" s="346"/>
      <c r="N30" s="857"/>
      <c r="P30" s="854"/>
      <c r="Q30" s="346"/>
      <c r="R30" s="346"/>
      <c r="S30" s="346"/>
      <c r="T30" s="346"/>
      <c r="U30" s="346"/>
      <c r="V30" s="346"/>
      <c r="W30" s="346"/>
      <c r="X30" s="346"/>
      <c r="Y30" s="346"/>
      <c r="Z30" s="857"/>
      <c r="AB30" s="854"/>
      <c r="AC30" s="346"/>
      <c r="AD30" s="346"/>
      <c r="AE30" s="346"/>
      <c r="AF30" s="346"/>
      <c r="AG30" s="346"/>
      <c r="AH30" s="346"/>
      <c r="AI30" s="346"/>
      <c r="AJ30" s="346"/>
      <c r="AK30" s="346"/>
      <c r="AL30" s="857"/>
      <c r="AN30" s="854"/>
      <c r="AO30" s="346"/>
      <c r="AP30" s="346"/>
      <c r="AQ30" s="346"/>
      <c r="AR30" s="346"/>
      <c r="AS30" s="346"/>
      <c r="AT30" s="346"/>
      <c r="AU30" s="346"/>
      <c r="AV30" s="346"/>
      <c r="AW30" s="346"/>
      <c r="AX30" s="857"/>
      <c r="AZ30" s="854"/>
      <c r="BA30" s="346"/>
      <c r="BB30" s="346"/>
      <c r="BC30" s="346"/>
      <c r="BD30" s="346"/>
      <c r="BE30" s="346"/>
      <c r="BF30" s="346"/>
      <c r="BG30" s="346"/>
      <c r="BH30" s="346"/>
      <c r="BI30" s="346"/>
      <c r="BJ30" s="857"/>
      <c r="BL30" s="854"/>
      <c r="BM30" s="346"/>
      <c r="BN30" s="346"/>
      <c r="BO30" s="346"/>
      <c r="BP30" s="346"/>
      <c r="BQ30" s="346"/>
      <c r="BR30" s="346"/>
      <c r="BS30" s="346"/>
      <c r="BT30" s="346"/>
      <c r="BU30" s="346"/>
      <c r="BV30" s="857"/>
    </row>
    <row r="31" spans="2:74" ht="21" x14ac:dyDescent="0.25">
      <c r="B31" s="887"/>
      <c r="C31" s="895"/>
      <c r="D31" s="854"/>
      <c r="E31" s="347" t="str">
        <f>E23</f>
        <v>Demande mensuelle</v>
      </c>
      <c r="F31" s="347" t="s">
        <v>44</v>
      </c>
      <c r="G31" s="347" t="str">
        <f>G23</f>
        <v>Achalandage mensuel</v>
      </c>
      <c r="H31" s="347" t="s">
        <v>45</v>
      </c>
      <c r="I31" s="347" t="s">
        <v>46</v>
      </c>
      <c r="J31" s="347" t="str">
        <f>J23</f>
        <v>Um/A</v>
      </c>
      <c r="K31" s="347" t="s">
        <v>45</v>
      </c>
      <c r="L31" s="347" t="str">
        <f>L23</f>
        <v>PmO</v>
      </c>
      <c r="M31" s="347" t="s">
        <v>49</v>
      </c>
      <c r="N31" s="857"/>
      <c r="P31" s="854"/>
      <c r="Q31" s="347" t="str">
        <f>Q23</f>
        <v>Demande mensuelle</v>
      </c>
      <c r="R31" s="347" t="s">
        <v>44</v>
      </c>
      <c r="S31" s="347" t="str">
        <f>S23</f>
        <v>Achalandage mensuel</v>
      </c>
      <c r="T31" s="347" t="s">
        <v>45</v>
      </c>
      <c r="U31" s="347" t="s">
        <v>46</v>
      </c>
      <c r="V31" s="347" t="str">
        <f>V23</f>
        <v>Um/A</v>
      </c>
      <c r="W31" s="347" t="s">
        <v>45</v>
      </c>
      <c r="X31" s="347" t="str">
        <f>X23</f>
        <v>PmO</v>
      </c>
      <c r="Y31" s="347" t="s">
        <v>49</v>
      </c>
      <c r="Z31" s="857"/>
      <c r="AB31" s="854"/>
      <c r="AC31" s="347" t="str">
        <f>AC23</f>
        <v>Demande mensuelle</v>
      </c>
      <c r="AD31" s="347" t="s">
        <v>44</v>
      </c>
      <c r="AE31" s="347" t="str">
        <f>AE23</f>
        <v>Achalandage mensuel</v>
      </c>
      <c r="AF31" s="347" t="s">
        <v>45</v>
      </c>
      <c r="AG31" s="347" t="s">
        <v>46</v>
      </c>
      <c r="AH31" s="347" t="str">
        <f>AH23</f>
        <v>Um/A</v>
      </c>
      <c r="AI31" s="347" t="s">
        <v>45</v>
      </c>
      <c r="AJ31" s="347" t="str">
        <f>AJ23</f>
        <v>PmO</v>
      </c>
      <c r="AK31" s="347" t="s">
        <v>49</v>
      </c>
      <c r="AL31" s="857"/>
      <c r="AN31" s="854"/>
      <c r="AO31" s="347" t="str">
        <f>AO23</f>
        <v>Demande mensuelle</v>
      </c>
      <c r="AP31" s="347" t="s">
        <v>44</v>
      </c>
      <c r="AQ31" s="347" t="str">
        <f>AQ23</f>
        <v>Achalandage mensuel</v>
      </c>
      <c r="AR31" s="347" t="s">
        <v>45</v>
      </c>
      <c r="AS31" s="347" t="s">
        <v>46</v>
      </c>
      <c r="AT31" s="347" t="str">
        <f>AT23</f>
        <v>Um/A</v>
      </c>
      <c r="AU31" s="347" t="s">
        <v>45</v>
      </c>
      <c r="AV31" s="347" t="str">
        <f>AV23</f>
        <v>PmO</v>
      </c>
      <c r="AW31" s="347" t="s">
        <v>49</v>
      </c>
      <c r="AX31" s="857"/>
      <c r="AZ31" s="854"/>
      <c r="BA31" s="347" t="str">
        <f>BA23</f>
        <v>Coût mensuel</v>
      </c>
      <c r="BB31" s="347" t="s">
        <v>44</v>
      </c>
      <c r="BC31" s="347" t="str">
        <f>BC23</f>
        <v>Achalandage mensuel</v>
      </c>
      <c r="BD31" s="347" t="s">
        <v>45</v>
      </c>
      <c r="BE31" s="347" t="s">
        <v>46</v>
      </c>
      <c r="BF31" s="347" t="str">
        <f>BF23</f>
        <v>Um/A</v>
      </c>
      <c r="BG31" s="347" t="s">
        <v>45</v>
      </c>
      <c r="BH31" s="347" t="str">
        <f>BH23</f>
        <v>CmO</v>
      </c>
      <c r="BI31" s="347" t="s">
        <v>49</v>
      </c>
      <c r="BJ31" s="857"/>
      <c r="BL31" s="854"/>
      <c r="BM31" s="347" t="str">
        <f>BM23</f>
        <v>Bénéfice mensuel</v>
      </c>
      <c r="BN31" s="347" t="s">
        <v>44</v>
      </c>
      <c r="BO31" s="347" t="str">
        <f>BO23</f>
        <v>Achalandage mensuel</v>
      </c>
      <c r="BP31" s="347" t="s">
        <v>45</v>
      </c>
      <c r="BQ31" s="347" t="s">
        <v>46</v>
      </c>
      <c r="BR31" s="347" t="str">
        <f>BR23</f>
        <v>Um/A</v>
      </c>
      <c r="BS31" s="347" t="s">
        <v>45</v>
      </c>
      <c r="BT31" s="347" t="str">
        <f>BT23</f>
        <v>BmO</v>
      </c>
      <c r="BU31" s="347" t="s">
        <v>49</v>
      </c>
      <c r="BV31" s="857"/>
    </row>
    <row r="32" spans="2:74" ht="19" x14ac:dyDescent="0.25">
      <c r="B32" s="887"/>
      <c r="C32" s="895"/>
      <c r="D32" s="854"/>
      <c r="E32" s="348" t="s">
        <v>2</v>
      </c>
      <c r="F32" s="349"/>
      <c r="G32" s="348"/>
      <c r="H32" s="349"/>
      <c r="I32" s="349"/>
      <c r="J32" s="349"/>
      <c r="K32" s="349"/>
      <c r="L32" s="349"/>
      <c r="M32" s="349"/>
      <c r="N32" s="857"/>
      <c r="P32" s="854"/>
      <c r="Q32" s="348" t="s">
        <v>2</v>
      </c>
      <c r="R32" s="349"/>
      <c r="S32" s="348"/>
      <c r="T32" s="349"/>
      <c r="U32" s="349"/>
      <c r="V32" s="349"/>
      <c r="W32" s="349"/>
      <c r="X32" s="349"/>
      <c r="Y32" s="349"/>
      <c r="Z32" s="857"/>
      <c r="AB32" s="854"/>
      <c r="AC32" s="348" t="s">
        <v>2</v>
      </c>
      <c r="AD32" s="349"/>
      <c r="AE32" s="348"/>
      <c r="AF32" s="349"/>
      <c r="AG32" s="349"/>
      <c r="AH32" s="349"/>
      <c r="AI32" s="349"/>
      <c r="AJ32" s="349"/>
      <c r="AK32" s="349"/>
      <c r="AL32" s="857"/>
      <c r="AN32" s="854"/>
      <c r="AO32" s="348" t="s">
        <v>2</v>
      </c>
      <c r="AP32" s="349"/>
      <c r="AQ32" s="348"/>
      <c r="AR32" s="349"/>
      <c r="AS32" s="349"/>
      <c r="AT32" s="349"/>
      <c r="AU32" s="349"/>
      <c r="AV32" s="349"/>
      <c r="AW32" s="349"/>
      <c r="AX32" s="857"/>
      <c r="AZ32" s="854"/>
      <c r="BA32" s="348" t="s">
        <v>2</v>
      </c>
      <c r="BB32" s="349"/>
      <c r="BC32" s="348"/>
      <c r="BD32" s="349"/>
      <c r="BE32" s="349"/>
      <c r="BF32" s="349"/>
      <c r="BG32" s="349"/>
      <c r="BH32" s="349"/>
      <c r="BI32" s="349"/>
      <c r="BJ32" s="857"/>
      <c r="BL32" s="854"/>
      <c r="BM32" s="348" t="s">
        <v>2</v>
      </c>
      <c r="BN32" s="349"/>
      <c r="BO32" s="348"/>
      <c r="BP32" s="349"/>
      <c r="BQ32" s="349"/>
      <c r="BR32" s="349"/>
      <c r="BS32" s="349"/>
      <c r="BT32" s="349"/>
      <c r="BU32" s="349"/>
      <c r="BV32" s="857"/>
    </row>
    <row r="33" spans="2:74" ht="26" x14ac:dyDescent="0.3">
      <c r="B33" s="887"/>
      <c r="C33" s="895"/>
      <c r="D33" s="854"/>
      <c r="E33" s="350" t="str">
        <f>E25</f>
        <v>D</v>
      </c>
      <c r="F33" s="351"/>
      <c r="G33" s="350" t="str">
        <f>G25</f>
        <v>A</v>
      </c>
      <c r="H33" s="351"/>
      <c r="I33" s="351"/>
      <c r="J33" s="350" t="str">
        <f>+J31</f>
        <v>Um/A</v>
      </c>
      <c r="K33" s="351"/>
      <c r="L33" s="350" t="str">
        <f>+L31</f>
        <v>PmO</v>
      </c>
      <c r="M33" s="351"/>
      <c r="N33" s="857"/>
      <c r="P33" s="854"/>
      <c r="Q33" s="350" t="str">
        <f>Q25</f>
        <v>D</v>
      </c>
      <c r="R33" s="351"/>
      <c r="S33" s="350" t="str">
        <f>S25</f>
        <v>A</v>
      </c>
      <c r="T33" s="351"/>
      <c r="U33" s="351"/>
      <c r="V33" s="350" t="str">
        <f>+V31</f>
        <v>Um/A</v>
      </c>
      <c r="W33" s="351"/>
      <c r="X33" s="350" t="str">
        <f>+X31</f>
        <v>PmO</v>
      </c>
      <c r="Y33" s="351"/>
      <c r="Z33" s="857"/>
      <c r="AB33" s="854"/>
      <c r="AC33" s="350" t="str">
        <f>AC25</f>
        <v>D</v>
      </c>
      <c r="AD33" s="351"/>
      <c r="AE33" s="350" t="str">
        <f>AE25</f>
        <v>A</v>
      </c>
      <c r="AF33" s="351"/>
      <c r="AG33" s="351"/>
      <c r="AH33" s="350" t="str">
        <f>+AH31</f>
        <v>Um/A</v>
      </c>
      <c r="AI33" s="351"/>
      <c r="AJ33" s="350" t="str">
        <f>+AJ31</f>
        <v>PmO</v>
      </c>
      <c r="AK33" s="351"/>
      <c r="AL33" s="857"/>
      <c r="AN33" s="854"/>
      <c r="AO33" s="350" t="str">
        <f>AO25</f>
        <v>D</v>
      </c>
      <c r="AP33" s="351"/>
      <c r="AQ33" s="350" t="str">
        <f>AQ25</f>
        <v>A</v>
      </c>
      <c r="AR33" s="351"/>
      <c r="AS33" s="351"/>
      <c r="AT33" s="350" t="str">
        <f>+AT31</f>
        <v>Um/A</v>
      </c>
      <c r="AU33" s="351"/>
      <c r="AV33" s="350" t="str">
        <f>+AV31</f>
        <v>PmO</v>
      </c>
      <c r="AW33" s="351"/>
      <c r="AX33" s="857"/>
      <c r="AZ33" s="854"/>
      <c r="BA33" s="350" t="str">
        <f>BA25</f>
        <v xml:space="preserve">C </v>
      </c>
      <c r="BB33" s="351"/>
      <c r="BC33" s="350" t="str">
        <f>BC25</f>
        <v>A</v>
      </c>
      <c r="BD33" s="351"/>
      <c r="BE33" s="351"/>
      <c r="BF33" s="350" t="str">
        <f>+BF31</f>
        <v>Um/A</v>
      </c>
      <c r="BG33" s="351"/>
      <c r="BH33" s="350" t="str">
        <f>+BH31</f>
        <v>CmO</v>
      </c>
      <c r="BI33" s="351"/>
      <c r="BJ33" s="857"/>
      <c r="BL33" s="854"/>
      <c r="BM33" s="350" t="str">
        <f>BM25</f>
        <v xml:space="preserve">B </v>
      </c>
      <c r="BN33" s="351"/>
      <c r="BO33" s="350" t="str">
        <f>BO25</f>
        <v>A</v>
      </c>
      <c r="BP33" s="351"/>
      <c r="BQ33" s="351"/>
      <c r="BR33" s="350" t="str">
        <f>+BR31</f>
        <v>Um/A</v>
      </c>
      <c r="BS33" s="351"/>
      <c r="BT33" s="350" t="str">
        <f>+BT31</f>
        <v>BmO</v>
      </c>
      <c r="BU33" s="351"/>
      <c r="BV33" s="857"/>
    </row>
    <row r="34" spans="2:74" ht="21" x14ac:dyDescent="0.25">
      <c r="B34" s="887"/>
      <c r="C34" s="895"/>
      <c r="D34" s="854"/>
      <c r="E34" s="340">
        <f>+Q34+AC34+AO34</f>
        <v>40776.450000000004</v>
      </c>
      <c r="F34" s="347" t="s">
        <v>44</v>
      </c>
      <c r="G34" s="341">
        <f>'% Occupation'!G19</f>
        <v>1650</v>
      </c>
      <c r="H34" s="347" t="s">
        <v>45</v>
      </c>
      <c r="I34" s="347" t="s">
        <v>46</v>
      </c>
      <c r="J34" s="342">
        <f>+V34+AH34+AT34</f>
        <v>2.2200000000000002</v>
      </c>
      <c r="K34" s="347" t="s">
        <v>45</v>
      </c>
      <c r="L34" s="343">
        <f>E34/G34/J34</f>
        <v>11.131981981981982</v>
      </c>
      <c r="M34" s="347" t="s">
        <v>49</v>
      </c>
      <c r="N34" s="857"/>
      <c r="P34" s="854"/>
      <c r="Q34" s="340">
        <f>+S34*(V34*X34)</f>
        <v>29205.000000000004</v>
      </c>
      <c r="R34" s="347" t="s">
        <v>44</v>
      </c>
      <c r="S34" s="341">
        <f>G34</f>
        <v>1650</v>
      </c>
      <c r="T34" s="347" t="s">
        <v>45</v>
      </c>
      <c r="U34" s="347" t="s">
        <v>46</v>
      </c>
      <c r="V34" s="378">
        <v>1.5</v>
      </c>
      <c r="W34" s="347" t="s">
        <v>45</v>
      </c>
      <c r="X34" s="379">
        <v>11.8</v>
      </c>
      <c r="Y34" s="347" t="s">
        <v>49</v>
      </c>
      <c r="Z34" s="857"/>
      <c r="AB34" s="854"/>
      <c r="AC34" s="340">
        <f>+AE34*(AH34*AJ34)</f>
        <v>10591.349999999999</v>
      </c>
      <c r="AD34" s="347" t="s">
        <v>44</v>
      </c>
      <c r="AE34" s="341">
        <f>S34</f>
        <v>1650</v>
      </c>
      <c r="AF34" s="347" t="s">
        <v>45</v>
      </c>
      <c r="AG34" s="347" t="s">
        <v>46</v>
      </c>
      <c r="AH34" s="378">
        <v>0.7</v>
      </c>
      <c r="AI34" s="347" t="s">
        <v>45</v>
      </c>
      <c r="AJ34" s="379">
        <v>9.17</v>
      </c>
      <c r="AK34" s="347" t="s">
        <v>49</v>
      </c>
      <c r="AL34" s="857"/>
      <c r="AN34" s="854"/>
      <c r="AO34" s="340">
        <f>+AQ34*(AT34*AV34)</f>
        <v>980.09999999999991</v>
      </c>
      <c r="AP34" s="347" t="s">
        <v>44</v>
      </c>
      <c r="AQ34" s="341">
        <f>AE34</f>
        <v>1650</v>
      </c>
      <c r="AR34" s="347" t="s">
        <v>45</v>
      </c>
      <c r="AS34" s="347" t="s">
        <v>46</v>
      </c>
      <c r="AT34" s="378">
        <v>0.02</v>
      </c>
      <c r="AU34" s="347" t="s">
        <v>45</v>
      </c>
      <c r="AV34" s="379">
        <v>29.7</v>
      </c>
      <c r="AW34" s="347" t="s">
        <v>49</v>
      </c>
      <c r="AX34" s="857"/>
      <c r="AZ34" s="854"/>
      <c r="BA34" s="340">
        <f>'État des Résultats'!N14-'État des Résultats'!N45</f>
        <v>35646.65828628459</v>
      </c>
      <c r="BB34" s="347" t="s">
        <v>44</v>
      </c>
      <c r="BC34" s="341">
        <f>G34</f>
        <v>1650</v>
      </c>
      <c r="BD34" s="347" t="s">
        <v>45</v>
      </c>
      <c r="BE34" s="347" t="s">
        <v>46</v>
      </c>
      <c r="BF34" s="342">
        <f>J34</f>
        <v>2.2200000000000002</v>
      </c>
      <c r="BG34" s="347" t="s">
        <v>45</v>
      </c>
      <c r="BH34" s="343">
        <f>BA34/BC34/BF34</f>
        <v>9.7315474437031355</v>
      </c>
      <c r="BI34" s="347" t="s">
        <v>49</v>
      </c>
      <c r="BJ34" s="857"/>
      <c r="BL34" s="854"/>
      <c r="BM34" s="340">
        <f>'État des Résultats'!N45</f>
        <v>5129.7917137154136</v>
      </c>
      <c r="BN34" s="347" t="s">
        <v>44</v>
      </c>
      <c r="BO34" s="341">
        <f>S34</f>
        <v>1650</v>
      </c>
      <c r="BP34" s="347" t="s">
        <v>45</v>
      </c>
      <c r="BQ34" s="347" t="s">
        <v>46</v>
      </c>
      <c r="BR34" s="342">
        <f>J34</f>
        <v>2.2200000000000002</v>
      </c>
      <c r="BS34" s="347" t="s">
        <v>45</v>
      </c>
      <c r="BT34" s="343">
        <f>BM34/BO34/BR34</f>
        <v>1.4004345382788461</v>
      </c>
      <c r="BU34" s="347" t="s">
        <v>49</v>
      </c>
      <c r="BV34" s="857"/>
    </row>
    <row r="35" spans="2:74" ht="17" thickBot="1" x14ac:dyDescent="0.25">
      <c r="B35" s="887"/>
      <c r="C35" s="895"/>
      <c r="D35" s="855"/>
      <c r="E35" s="352"/>
      <c r="F35" s="352"/>
      <c r="G35" s="352"/>
      <c r="H35" s="352"/>
      <c r="I35" s="352"/>
      <c r="J35" s="352"/>
      <c r="K35" s="352"/>
      <c r="L35" s="352"/>
      <c r="M35" s="352"/>
      <c r="N35" s="858"/>
      <c r="P35" s="855"/>
      <c r="Q35" s="352"/>
      <c r="R35" s="352"/>
      <c r="S35" s="352"/>
      <c r="T35" s="352"/>
      <c r="U35" s="352"/>
      <c r="V35" s="352"/>
      <c r="W35" s="352"/>
      <c r="X35" s="352"/>
      <c r="Y35" s="352"/>
      <c r="Z35" s="858"/>
      <c r="AB35" s="855"/>
      <c r="AC35" s="352"/>
      <c r="AD35" s="352"/>
      <c r="AE35" s="352"/>
      <c r="AF35" s="352"/>
      <c r="AG35" s="352"/>
      <c r="AH35" s="352"/>
      <c r="AI35" s="352"/>
      <c r="AJ35" s="352"/>
      <c r="AK35" s="352"/>
      <c r="AL35" s="858"/>
      <c r="AN35" s="855"/>
      <c r="AO35" s="352"/>
      <c r="AP35" s="352"/>
      <c r="AQ35" s="352"/>
      <c r="AR35" s="352"/>
      <c r="AS35" s="352"/>
      <c r="AT35" s="352"/>
      <c r="AU35" s="352"/>
      <c r="AV35" s="352"/>
      <c r="AW35" s="352"/>
      <c r="AX35" s="858"/>
      <c r="AZ35" s="855"/>
      <c r="BA35" s="352"/>
      <c r="BB35" s="352"/>
      <c r="BC35" s="352"/>
      <c r="BD35" s="352"/>
      <c r="BE35" s="352"/>
      <c r="BF35" s="352"/>
      <c r="BG35" s="352"/>
      <c r="BH35" s="352"/>
      <c r="BI35" s="352"/>
      <c r="BJ35" s="858"/>
      <c r="BL35" s="855"/>
      <c r="BM35" s="352"/>
      <c r="BN35" s="352"/>
      <c r="BO35" s="352"/>
      <c r="BP35" s="352"/>
      <c r="BQ35" s="352"/>
      <c r="BR35" s="352"/>
      <c r="BS35" s="352"/>
      <c r="BT35" s="352"/>
      <c r="BU35" s="352"/>
      <c r="BV35" s="858"/>
    </row>
    <row r="36" spans="2:74" ht="5" customHeight="1" thickTop="1" thickBot="1" x14ac:dyDescent="0.2">
      <c r="B36" s="887"/>
      <c r="C36" s="210"/>
    </row>
    <row r="37" spans="2:74" ht="17" thickTop="1" x14ac:dyDescent="0.2">
      <c r="B37" s="887"/>
      <c r="C37" s="895"/>
      <c r="D37" s="853" t="s">
        <v>42</v>
      </c>
      <c r="E37" s="345"/>
      <c r="F37" s="345"/>
      <c r="G37" s="345"/>
      <c r="H37" s="345"/>
      <c r="I37" s="345"/>
      <c r="J37" s="345"/>
      <c r="K37" s="345"/>
      <c r="L37" s="345"/>
      <c r="M37" s="345"/>
      <c r="N37" s="856" t="s">
        <v>43</v>
      </c>
      <c r="P37" s="853" t="s">
        <v>42</v>
      </c>
      <c r="Q37" s="345"/>
      <c r="R37" s="345"/>
      <c r="S37" s="345"/>
      <c r="T37" s="345"/>
      <c r="U37" s="345"/>
      <c r="V37" s="345"/>
      <c r="W37" s="345"/>
      <c r="X37" s="345"/>
      <c r="Y37" s="345"/>
      <c r="Z37" s="856" t="s">
        <v>43</v>
      </c>
      <c r="AB37" s="853" t="s">
        <v>42</v>
      </c>
      <c r="AC37" s="345"/>
      <c r="AD37" s="345"/>
      <c r="AE37" s="345"/>
      <c r="AF37" s="345"/>
      <c r="AG37" s="345"/>
      <c r="AH37" s="345"/>
      <c r="AI37" s="345"/>
      <c r="AJ37" s="345"/>
      <c r="AK37" s="345"/>
      <c r="AL37" s="856" t="s">
        <v>43</v>
      </c>
      <c r="AN37" s="853" t="s">
        <v>42</v>
      </c>
      <c r="AO37" s="345"/>
      <c r="AP37" s="345"/>
      <c r="AQ37" s="345"/>
      <c r="AR37" s="345"/>
      <c r="AS37" s="345"/>
      <c r="AT37" s="345"/>
      <c r="AU37" s="345"/>
      <c r="AV37" s="345"/>
      <c r="AW37" s="345"/>
      <c r="AX37" s="856" t="s">
        <v>43</v>
      </c>
      <c r="AZ37" s="853" t="s">
        <v>42</v>
      </c>
      <c r="BA37" s="345"/>
      <c r="BB37" s="345"/>
      <c r="BC37" s="345"/>
      <c r="BD37" s="345"/>
      <c r="BE37" s="345"/>
      <c r="BF37" s="345"/>
      <c r="BG37" s="345"/>
      <c r="BH37" s="345"/>
      <c r="BI37" s="345"/>
      <c r="BJ37" s="856" t="s">
        <v>43</v>
      </c>
      <c r="BL37" s="853" t="s">
        <v>42</v>
      </c>
      <c r="BM37" s="345"/>
      <c r="BN37" s="345"/>
      <c r="BO37" s="345"/>
      <c r="BP37" s="345"/>
      <c r="BQ37" s="345"/>
      <c r="BR37" s="345"/>
      <c r="BS37" s="345"/>
      <c r="BT37" s="345"/>
      <c r="BU37" s="345"/>
      <c r="BV37" s="856" t="s">
        <v>43</v>
      </c>
    </row>
    <row r="38" spans="2:74" ht="16" x14ac:dyDescent="0.2">
      <c r="B38" s="887"/>
      <c r="C38" s="895"/>
      <c r="D38" s="854"/>
      <c r="E38" s="346"/>
      <c r="F38" s="346"/>
      <c r="G38" s="346"/>
      <c r="H38" s="346"/>
      <c r="I38" s="346"/>
      <c r="J38" s="346"/>
      <c r="K38" s="346"/>
      <c r="L38" s="346"/>
      <c r="M38" s="346"/>
      <c r="N38" s="857"/>
      <c r="P38" s="854"/>
      <c r="Q38" s="346"/>
      <c r="R38" s="346"/>
      <c r="S38" s="346"/>
      <c r="T38" s="346"/>
      <c r="U38" s="346"/>
      <c r="V38" s="346"/>
      <c r="W38" s="346"/>
      <c r="X38" s="346"/>
      <c r="Y38" s="346"/>
      <c r="Z38" s="857"/>
      <c r="AB38" s="854"/>
      <c r="AC38" s="346"/>
      <c r="AD38" s="346"/>
      <c r="AE38" s="346"/>
      <c r="AF38" s="346"/>
      <c r="AG38" s="346"/>
      <c r="AH38" s="346"/>
      <c r="AI38" s="346"/>
      <c r="AJ38" s="346"/>
      <c r="AK38" s="346"/>
      <c r="AL38" s="857"/>
      <c r="AN38" s="854"/>
      <c r="AO38" s="346"/>
      <c r="AP38" s="346"/>
      <c r="AQ38" s="346"/>
      <c r="AR38" s="346"/>
      <c r="AS38" s="346"/>
      <c r="AT38" s="346"/>
      <c r="AU38" s="346"/>
      <c r="AV38" s="346"/>
      <c r="AW38" s="346"/>
      <c r="AX38" s="857"/>
      <c r="AZ38" s="854"/>
      <c r="BA38" s="346"/>
      <c r="BB38" s="346"/>
      <c r="BC38" s="346"/>
      <c r="BD38" s="346"/>
      <c r="BE38" s="346"/>
      <c r="BF38" s="346"/>
      <c r="BG38" s="346"/>
      <c r="BH38" s="346"/>
      <c r="BI38" s="346"/>
      <c r="BJ38" s="857"/>
      <c r="BL38" s="854"/>
      <c r="BM38" s="346"/>
      <c r="BN38" s="346"/>
      <c r="BO38" s="346"/>
      <c r="BP38" s="346"/>
      <c r="BQ38" s="346"/>
      <c r="BR38" s="346"/>
      <c r="BS38" s="346"/>
      <c r="BT38" s="346"/>
      <c r="BU38" s="346"/>
      <c r="BV38" s="857"/>
    </row>
    <row r="39" spans="2:74" ht="21" x14ac:dyDescent="0.25">
      <c r="B39" s="887"/>
      <c r="C39" s="895"/>
      <c r="D39" s="854"/>
      <c r="E39" s="347" t="str">
        <f>E31</f>
        <v>Demande mensuelle</v>
      </c>
      <c r="F39" s="347" t="s">
        <v>44</v>
      </c>
      <c r="G39" s="347" t="str">
        <f>G31</f>
        <v>Achalandage mensuel</v>
      </c>
      <c r="H39" s="347" t="s">
        <v>45</v>
      </c>
      <c r="I39" s="347" t="s">
        <v>46</v>
      </c>
      <c r="J39" s="347" t="str">
        <f>J31</f>
        <v>Um/A</v>
      </c>
      <c r="K39" s="347" t="s">
        <v>45</v>
      </c>
      <c r="L39" s="347" t="str">
        <f>L31</f>
        <v>PmO</v>
      </c>
      <c r="M39" s="347" t="s">
        <v>49</v>
      </c>
      <c r="N39" s="857"/>
      <c r="P39" s="854"/>
      <c r="Q39" s="347" t="str">
        <f>Q31</f>
        <v>Demande mensuelle</v>
      </c>
      <c r="R39" s="347" t="s">
        <v>44</v>
      </c>
      <c r="S39" s="347" t="str">
        <f>S31</f>
        <v>Achalandage mensuel</v>
      </c>
      <c r="T39" s="347" t="s">
        <v>45</v>
      </c>
      <c r="U39" s="347" t="s">
        <v>46</v>
      </c>
      <c r="V39" s="347" t="str">
        <f>V31</f>
        <v>Um/A</v>
      </c>
      <c r="W39" s="347" t="s">
        <v>45</v>
      </c>
      <c r="X39" s="347" t="str">
        <f>X31</f>
        <v>PmO</v>
      </c>
      <c r="Y39" s="347" t="s">
        <v>49</v>
      </c>
      <c r="Z39" s="857"/>
      <c r="AB39" s="854"/>
      <c r="AC39" s="347" t="str">
        <f>AC31</f>
        <v>Demande mensuelle</v>
      </c>
      <c r="AD39" s="347" t="s">
        <v>44</v>
      </c>
      <c r="AE39" s="347" t="str">
        <f>AE31</f>
        <v>Achalandage mensuel</v>
      </c>
      <c r="AF39" s="347" t="s">
        <v>45</v>
      </c>
      <c r="AG39" s="347" t="s">
        <v>46</v>
      </c>
      <c r="AH39" s="347" t="str">
        <f>AH31</f>
        <v>Um/A</v>
      </c>
      <c r="AI39" s="347" t="s">
        <v>45</v>
      </c>
      <c r="AJ39" s="347" t="str">
        <f>AJ31</f>
        <v>PmO</v>
      </c>
      <c r="AK39" s="347" t="s">
        <v>49</v>
      </c>
      <c r="AL39" s="857"/>
      <c r="AN39" s="854"/>
      <c r="AO39" s="347" t="str">
        <f>AO31</f>
        <v>Demande mensuelle</v>
      </c>
      <c r="AP39" s="347" t="s">
        <v>44</v>
      </c>
      <c r="AQ39" s="347" t="str">
        <f>AQ31</f>
        <v>Achalandage mensuel</v>
      </c>
      <c r="AR39" s="347" t="s">
        <v>45</v>
      </c>
      <c r="AS39" s="347" t="s">
        <v>46</v>
      </c>
      <c r="AT39" s="347" t="str">
        <f>AT31</f>
        <v>Um/A</v>
      </c>
      <c r="AU39" s="347" t="s">
        <v>45</v>
      </c>
      <c r="AV39" s="347" t="str">
        <f>AV31</f>
        <v>PmO</v>
      </c>
      <c r="AW39" s="347" t="s">
        <v>49</v>
      </c>
      <c r="AX39" s="857"/>
      <c r="AZ39" s="854"/>
      <c r="BA39" s="347" t="str">
        <f>BA31</f>
        <v>Coût mensuel</v>
      </c>
      <c r="BB39" s="347" t="s">
        <v>44</v>
      </c>
      <c r="BC39" s="347" t="str">
        <f>BC31</f>
        <v>Achalandage mensuel</v>
      </c>
      <c r="BD39" s="347" t="s">
        <v>45</v>
      </c>
      <c r="BE39" s="347" t="s">
        <v>46</v>
      </c>
      <c r="BF39" s="347" t="str">
        <f>BF31</f>
        <v>Um/A</v>
      </c>
      <c r="BG39" s="347" t="s">
        <v>45</v>
      </c>
      <c r="BH39" s="347" t="str">
        <f>BH31</f>
        <v>CmO</v>
      </c>
      <c r="BI39" s="347" t="s">
        <v>49</v>
      </c>
      <c r="BJ39" s="857"/>
      <c r="BL39" s="854"/>
      <c r="BM39" s="347" t="str">
        <f>BM31</f>
        <v>Bénéfice mensuel</v>
      </c>
      <c r="BN39" s="347" t="s">
        <v>44</v>
      </c>
      <c r="BO39" s="347" t="str">
        <f>BO31</f>
        <v>Achalandage mensuel</v>
      </c>
      <c r="BP39" s="347" t="s">
        <v>45</v>
      </c>
      <c r="BQ39" s="347" t="s">
        <v>46</v>
      </c>
      <c r="BR39" s="347" t="str">
        <f>BR31</f>
        <v>Um/A</v>
      </c>
      <c r="BS39" s="347" t="s">
        <v>45</v>
      </c>
      <c r="BT39" s="347" t="str">
        <f>BT31</f>
        <v>BmO</v>
      </c>
      <c r="BU39" s="347" t="s">
        <v>49</v>
      </c>
      <c r="BV39" s="857"/>
    </row>
    <row r="40" spans="2:74" ht="19" x14ac:dyDescent="0.25">
      <c r="B40" s="887"/>
      <c r="C40" s="895"/>
      <c r="D40" s="854"/>
      <c r="E40" s="348" t="s">
        <v>2</v>
      </c>
      <c r="F40" s="349"/>
      <c r="G40" s="348"/>
      <c r="H40" s="349"/>
      <c r="I40" s="349"/>
      <c r="J40" s="349"/>
      <c r="K40" s="349"/>
      <c r="L40" s="349"/>
      <c r="M40" s="349"/>
      <c r="N40" s="857"/>
      <c r="P40" s="854"/>
      <c r="Q40" s="348" t="s">
        <v>2</v>
      </c>
      <c r="R40" s="349"/>
      <c r="S40" s="348"/>
      <c r="T40" s="349"/>
      <c r="U40" s="349"/>
      <c r="V40" s="349"/>
      <c r="W40" s="349"/>
      <c r="X40" s="349"/>
      <c r="Y40" s="349"/>
      <c r="Z40" s="857"/>
      <c r="AB40" s="854"/>
      <c r="AC40" s="348" t="s">
        <v>2</v>
      </c>
      <c r="AD40" s="349"/>
      <c r="AE40" s="348"/>
      <c r="AF40" s="349"/>
      <c r="AG40" s="349"/>
      <c r="AH40" s="349"/>
      <c r="AI40" s="349"/>
      <c r="AJ40" s="349"/>
      <c r="AK40" s="349"/>
      <c r="AL40" s="857"/>
      <c r="AN40" s="854"/>
      <c r="AO40" s="348" t="s">
        <v>2</v>
      </c>
      <c r="AP40" s="349"/>
      <c r="AQ40" s="348"/>
      <c r="AR40" s="349"/>
      <c r="AS40" s="349"/>
      <c r="AT40" s="349"/>
      <c r="AU40" s="349"/>
      <c r="AV40" s="349"/>
      <c r="AW40" s="349"/>
      <c r="AX40" s="857"/>
      <c r="AZ40" s="854"/>
      <c r="BA40" s="348" t="s">
        <v>2</v>
      </c>
      <c r="BB40" s="349"/>
      <c r="BC40" s="348"/>
      <c r="BD40" s="349"/>
      <c r="BE40" s="349"/>
      <c r="BF40" s="349"/>
      <c r="BG40" s="349"/>
      <c r="BH40" s="349"/>
      <c r="BI40" s="349"/>
      <c r="BJ40" s="857"/>
      <c r="BL40" s="854"/>
      <c r="BM40" s="348" t="s">
        <v>2</v>
      </c>
      <c r="BN40" s="349"/>
      <c r="BO40" s="348"/>
      <c r="BP40" s="349"/>
      <c r="BQ40" s="349"/>
      <c r="BR40" s="349"/>
      <c r="BS40" s="349"/>
      <c r="BT40" s="349"/>
      <c r="BU40" s="349"/>
      <c r="BV40" s="857"/>
    </row>
    <row r="41" spans="2:74" ht="26" x14ac:dyDescent="0.3">
      <c r="B41" s="887"/>
      <c r="C41" s="895"/>
      <c r="D41" s="854"/>
      <c r="E41" s="350" t="str">
        <f>E33</f>
        <v>D</v>
      </c>
      <c r="F41" s="351"/>
      <c r="G41" s="350" t="str">
        <f>G33</f>
        <v>A</v>
      </c>
      <c r="H41" s="351"/>
      <c r="I41" s="351"/>
      <c r="J41" s="350" t="str">
        <f>+J39</f>
        <v>Um/A</v>
      </c>
      <c r="K41" s="351"/>
      <c r="L41" s="350" t="str">
        <f>+L39</f>
        <v>PmO</v>
      </c>
      <c r="M41" s="351"/>
      <c r="N41" s="857"/>
      <c r="P41" s="854"/>
      <c r="Q41" s="350" t="str">
        <f>Q33</f>
        <v>D</v>
      </c>
      <c r="R41" s="351"/>
      <c r="S41" s="350" t="str">
        <f>S33</f>
        <v>A</v>
      </c>
      <c r="T41" s="351"/>
      <c r="U41" s="351"/>
      <c r="V41" s="350" t="str">
        <f>+V39</f>
        <v>Um/A</v>
      </c>
      <c r="W41" s="351"/>
      <c r="X41" s="350" t="str">
        <f>+X39</f>
        <v>PmO</v>
      </c>
      <c r="Y41" s="351"/>
      <c r="Z41" s="857"/>
      <c r="AB41" s="854"/>
      <c r="AC41" s="350" t="str">
        <f>AC33</f>
        <v>D</v>
      </c>
      <c r="AD41" s="351"/>
      <c r="AE41" s="350" t="str">
        <f>AE33</f>
        <v>A</v>
      </c>
      <c r="AF41" s="351"/>
      <c r="AG41" s="351"/>
      <c r="AH41" s="350" t="str">
        <f>+AH39</f>
        <v>Um/A</v>
      </c>
      <c r="AI41" s="351"/>
      <c r="AJ41" s="350" t="str">
        <f>+AJ39</f>
        <v>PmO</v>
      </c>
      <c r="AK41" s="351"/>
      <c r="AL41" s="857"/>
      <c r="AN41" s="854"/>
      <c r="AO41" s="350" t="str">
        <f>AO33</f>
        <v>D</v>
      </c>
      <c r="AP41" s="351"/>
      <c r="AQ41" s="350" t="str">
        <f>AQ33</f>
        <v>A</v>
      </c>
      <c r="AR41" s="351"/>
      <c r="AS41" s="351"/>
      <c r="AT41" s="350" t="str">
        <f>+AT39</f>
        <v>Um/A</v>
      </c>
      <c r="AU41" s="351"/>
      <c r="AV41" s="350" t="str">
        <f>+AV39</f>
        <v>PmO</v>
      </c>
      <c r="AW41" s="351"/>
      <c r="AX41" s="857"/>
      <c r="AZ41" s="854"/>
      <c r="BA41" s="350" t="str">
        <f>BA33</f>
        <v xml:space="preserve">C </v>
      </c>
      <c r="BB41" s="351"/>
      <c r="BC41" s="350" t="str">
        <f>BC33</f>
        <v>A</v>
      </c>
      <c r="BD41" s="351"/>
      <c r="BE41" s="351"/>
      <c r="BF41" s="350" t="str">
        <f>+BF39</f>
        <v>Um/A</v>
      </c>
      <c r="BG41" s="351"/>
      <c r="BH41" s="350" t="str">
        <f>+BH39</f>
        <v>CmO</v>
      </c>
      <c r="BI41" s="351"/>
      <c r="BJ41" s="857"/>
      <c r="BL41" s="854"/>
      <c r="BM41" s="350" t="str">
        <f>BM33</f>
        <v xml:space="preserve">B </v>
      </c>
      <c r="BN41" s="351"/>
      <c r="BO41" s="350" t="str">
        <f>BO33</f>
        <v>A</v>
      </c>
      <c r="BP41" s="351"/>
      <c r="BQ41" s="351"/>
      <c r="BR41" s="350" t="str">
        <f>+BR39</f>
        <v>Um/A</v>
      </c>
      <c r="BS41" s="351"/>
      <c r="BT41" s="350" t="str">
        <f>+BT39</f>
        <v>BmO</v>
      </c>
      <c r="BU41" s="351"/>
      <c r="BV41" s="857"/>
    </row>
    <row r="42" spans="2:74" ht="21" x14ac:dyDescent="0.25">
      <c r="B42" s="887"/>
      <c r="C42" s="895"/>
      <c r="D42" s="854"/>
      <c r="E42" s="340">
        <f>+Q42+AC42+AO42</f>
        <v>45966.180000000008</v>
      </c>
      <c r="F42" s="347" t="s">
        <v>44</v>
      </c>
      <c r="G42" s="341">
        <f>'% Occupation'!H19</f>
        <v>1860</v>
      </c>
      <c r="H42" s="347" t="s">
        <v>45</v>
      </c>
      <c r="I42" s="347" t="s">
        <v>46</v>
      </c>
      <c r="J42" s="342">
        <f>+V42+AH42+AT42</f>
        <v>2.2200000000000002</v>
      </c>
      <c r="K42" s="347" t="s">
        <v>45</v>
      </c>
      <c r="L42" s="343">
        <f>E42/G42/J42</f>
        <v>11.131981981981983</v>
      </c>
      <c r="M42" s="347" t="s">
        <v>49</v>
      </c>
      <c r="N42" s="857"/>
      <c r="P42" s="854"/>
      <c r="Q42" s="340">
        <f>+S42*(V42*X42)</f>
        <v>32922.000000000007</v>
      </c>
      <c r="R42" s="347" t="s">
        <v>44</v>
      </c>
      <c r="S42" s="341">
        <f>G42</f>
        <v>1860</v>
      </c>
      <c r="T42" s="347" t="s">
        <v>45</v>
      </c>
      <c r="U42" s="347" t="s">
        <v>46</v>
      </c>
      <c r="V42" s="378">
        <v>1.5</v>
      </c>
      <c r="W42" s="347" t="s">
        <v>45</v>
      </c>
      <c r="X42" s="379">
        <v>11.8</v>
      </c>
      <c r="Y42" s="347" t="s">
        <v>49</v>
      </c>
      <c r="Z42" s="857"/>
      <c r="AB42" s="854"/>
      <c r="AC42" s="340">
        <f>+AE42*(AH42*AJ42)</f>
        <v>11939.34</v>
      </c>
      <c r="AD42" s="347" t="s">
        <v>44</v>
      </c>
      <c r="AE42" s="341">
        <f>S42</f>
        <v>1860</v>
      </c>
      <c r="AF42" s="347" t="s">
        <v>45</v>
      </c>
      <c r="AG42" s="347" t="s">
        <v>46</v>
      </c>
      <c r="AH42" s="378">
        <v>0.7</v>
      </c>
      <c r="AI42" s="347" t="s">
        <v>45</v>
      </c>
      <c r="AJ42" s="379">
        <v>9.17</v>
      </c>
      <c r="AK42" s="347" t="s">
        <v>49</v>
      </c>
      <c r="AL42" s="857"/>
      <c r="AN42" s="854"/>
      <c r="AO42" s="340">
        <f>+AQ42*(AT42*AV42)</f>
        <v>1104.8399999999999</v>
      </c>
      <c r="AP42" s="347" t="s">
        <v>44</v>
      </c>
      <c r="AQ42" s="341">
        <f>AE42</f>
        <v>1860</v>
      </c>
      <c r="AR42" s="347" t="s">
        <v>45</v>
      </c>
      <c r="AS42" s="347" t="s">
        <v>46</v>
      </c>
      <c r="AT42" s="378">
        <v>0.02</v>
      </c>
      <c r="AU42" s="347" t="s">
        <v>45</v>
      </c>
      <c r="AV42" s="379">
        <v>29.7</v>
      </c>
      <c r="AW42" s="347" t="s">
        <v>49</v>
      </c>
      <c r="AX42" s="857"/>
      <c r="AZ42" s="854"/>
      <c r="BA42" s="340">
        <f>'État des Résultats'!Q14-'État des Résultats'!Q45</f>
        <v>38199.448613629909</v>
      </c>
      <c r="BB42" s="347" t="s">
        <v>44</v>
      </c>
      <c r="BC42" s="341">
        <f>G42</f>
        <v>1860</v>
      </c>
      <c r="BD42" s="347" t="s">
        <v>45</v>
      </c>
      <c r="BE42" s="347" t="s">
        <v>46</v>
      </c>
      <c r="BF42" s="342">
        <f>J42</f>
        <v>2.2200000000000002</v>
      </c>
      <c r="BG42" s="347" t="s">
        <v>45</v>
      </c>
      <c r="BH42" s="343">
        <f>BA42/BC42/BF42</f>
        <v>9.2510531370797988</v>
      </c>
      <c r="BI42" s="347" t="s">
        <v>49</v>
      </c>
      <c r="BJ42" s="857"/>
      <c r="BL42" s="854"/>
      <c r="BM42" s="340">
        <f>'État des Résultats'!Q45</f>
        <v>7766.731386370102</v>
      </c>
      <c r="BN42" s="347" t="s">
        <v>44</v>
      </c>
      <c r="BO42" s="341">
        <f>S42</f>
        <v>1860</v>
      </c>
      <c r="BP42" s="347" t="s">
        <v>45</v>
      </c>
      <c r="BQ42" s="347" t="s">
        <v>46</v>
      </c>
      <c r="BR42" s="342">
        <f>J42</f>
        <v>2.2200000000000002</v>
      </c>
      <c r="BS42" s="347" t="s">
        <v>45</v>
      </c>
      <c r="BT42" s="343">
        <f>BM42/BO42/BR42</f>
        <v>1.8809288449021848</v>
      </c>
      <c r="BU42" s="347" t="s">
        <v>49</v>
      </c>
      <c r="BV42" s="857"/>
    </row>
    <row r="43" spans="2:74" ht="17" thickBot="1" x14ac:dyDescent="0.25">
      <c r="B43" s="887"/>
      <c r="C43" s="895"/>
      <c r="D43" s="855"/>
      <c r="E43" s="352"/>
      <c r="F43" s="352"/>
      <c r="G43" s="352"/>
      <c r="H43" s="352"/>
      <c r="I43" s="352"/>
      <c r="J43" s="352"/>
      <c r="K43" s="352"/>
      <c r="L43" s="352"/>
      <c r="M43" s="352"/>
      <c r="N43" s="858"/>
      <c r="P43" s="855"/>
      <c r="Q43" s="352"/>
      <c r="R43" s="352"/>
      <c r="S43" s="352"/>
      <c r="T43" s="352"/>
      <c r="U43" s="352"/>
      <c r="V43" s="352"/>
      <c r="W43" s="352"/>
      <c r="X43" s="352"/>
      <c r="Y43" s="352"/>
      <c r="Z43" s="858"/>
      <c r="AB43" s="855"/>
      <c r="AC43" s="352"/>
      <c r="AD43" s="352"/>
      <c r="AE43" s="352"/>
      <c r="AF43" s="352"/>
      <c r="AG43" s="352"/>
      <c r="AH43" s="352"/>
      <c r="AI43" s="352"/>
      <c r="AJ43" s="352"/>
      <c r="AK43" s="352"/>
      <c r="AL43" s="858"/>
      <c r="AN43" s="855"/>
      <c r="AO43" s="352"/>
      <c r="AP43" s="352"/>
      <c r="AQ43" s="352"/>
      <c r="AR43" s="352"/>
      <c r="AS43" s="352"/>
      <c r="AT43" s="352"/>
      <c r="AU43" s="352"/>
      <c r="AV43" s="352"/>
      <c r="AW43" s="352"/>
      <c r="AX43" s="858"/>
      <c r="AZ43" s="855"/>
      <c r="BA43" s="352"/>
      <c r="BB43" s="352"/>
      <c r="BC43" s="352"/>
      <c r="BD43" s="352"/>
      <c r="BE43" s="352"/>
      <c r="BF43" s="352"/>
      <c r="BG43" s="352"/>
      <c r="BH43" s="352"/>
      <c r="BI43" s="352"/>
      <c r="BJ43" s="858"/>
      <c r="BL43" s="855"/>
      <c r="BM43" s="352"/>
      <c r="BN43" s="352"/>
      <c r="BO43" s="352"/>
      <c r="BP43" s="352"/>
      <c r="BQ43" s="352"/>
      <c r="BR43" s="352"/>
      <c r="BS43" s="352"/>
      <c r="BT43" s="352"/>
      <c r="BU43" s="352"/>
      <c r="BV43" s="858"/>
    </row>
    <row r="44" spans="2:74" ht="5" customHeight="1" thickTop="1" thickBot="1" x14ac:dyDescent="0.2">
      <c r="B44" s="887"/>
      <c r="C44" s="210"/>
    </row>
    <row r="45" spans="2:74" ht="17" thickTop="1" x14ac:dyDescent="0.2">
      <c r="B45" s="887"/>
      <c r="C45" s="895"/>
      <c r="D45" s="853" t="s">
        <v>42</v>
      </c>
      <c r="E45" s="345"/>
      <c r="F45" s="345"/>
      <c r="G45" s="345"/>
      <c r="H45" s="345"/>
      <c r="I45" s="345"/>
      <c r="J45" s="345"/>
      <c r="K45" s="345"/>
      <c r="L45" s="345"/>
      <c r="M45" s="345"/>
      <c r="N45" s="856" t="s">
        <v>43</v>
      </c>
      <c r="P45" s="853" t="s">
        <v>42</v>
      </c>
      <c r="Q45" s="345"/>
      <c r="R45" s="345"/>
      <c r="S45" s="345"/>
      <c r="T45" s="345"/>
      <c r="U45" s="345"/>
      <c r="V45" s="345"/>
      <c r="W45" s="345"/>
      <c r="X45" s="345"/>
      <c r="Y45" s="345"/>
      <c r="Z45" s="856" t="s">
        <v>43</v>
      </c>
      <c r="AB45" s="853" t="s">
        <v>42</v>
      </c>
      <c r="AC45" s="345"/>
      <c r="AD45" s="345"/>
      <c r="AE45" s="345"/>
      <c r="AF45" s="345"/>
      <c r="AG45" s="345"/>
      <c r="AH45" s="345"/>
      <c r="AI45" s="345"/>
      <c r="AJ45" s="345"/>
      <c r="AK45" s="345"/>
      <c r="AL45" s="856" t="s">
        <v>43</v>
      </c>
      <c r="AN45" s="853" t="s">
        <v>42</v>
      </c>
      <c r="AO45" s="345"/>
      <c r="AP45" s="345"/>
      <c r="AQ45" s="345"/>
      <c r="AR45" s="345"/>
      <c r="AS45" s="345"/>
      <c r="AT45" s="345"/>
      <c r="AU45" s="345"/>
      <c r="AV45" s="345"/>
      <c r="AW45" s="345"/>
      <c r="AX45" s="856" t="s">
        <v>43</v>
      </c>
      <c r="AZ45" s="853" t="s">
        <v>42</v>
      </c>
      <c r="BA45" s="345"/>
      <c r="BB45" s="345"/>
      <c r="BC45" s="345"/>
      <c r="BD45" s="345"/>
      <c r="BE45" s="345"/>
      <c r="BF45" s="345"/>
      <c r="BG45" s="345"/>
      <c r="BH45" s="345"/>
      <c r="BI45" s="345"/>
      <c r="BJ45" s="856" t="s">
        <v>43</v>
      </c>
      <c r="BL45" s="853" t="s">
        <v>42</v>
      </c>
      <c r="BM45" s="345"/>
      <c r="BN45" s="345"/>
      <c r="BO45" s="345"/>
      <c r="BP45" s="345"/>
      <c r="BQ45" s="345"/>
      <c r="BR45" s="345"/>
      <c r="BS45" s="345"/>
      <c r="BT45" s="345"/>
      <c r="BU45" s="345"/>
      <c r="BV45" s="856" t="s">
        <v>43</v>
      </c>
    </row>
    <row r="46" spans="2:74" ht="16" x14ac:dyDescent="0.2">
      <c r="B46" s="887"/>
      <c r="C46" s="895"/>
      <c r="D46" s="854"/>
      <c r="E46" s="346"/>
      <c r="F46" s="346"/>
      <c r="G46" s="346"/>
      <c r="H46" s="346"/>
      <c r="I46" s="346"/>
      <c r="J46" s="346"/>
      <c r="K46" s="346"/>
      <c r="L46" s="346"/>
      <c r="M46" s="346"/>
      <c r="N46" s="857"/>
      <c r="P46" s="854"/>
      <c r="Q46" s="346"/>
      <c r="R46" s="346"/>
      <c r="S46" s="346"/>
      <c r="T46" s="346"/>
      <c r="U46" s="346"/>
      <c r="V46" s="346"/>
      <c r="W46" s="346"/>
      <c r="X46" s="346"/>
      <c r="Y46" s="346"/>
      <c r="Z46" s="857"/>
      <c r="AB46" s="854"/>
      <c r="AC46" s="346"/>
      <c r="AD46" s="346"/>
      <c r="AE46" s="346"/>
      <c r="AF46" s="346"/>
      <c r="AG46" s="346"/>
      <c r="AH46" s="346"/>
      <c r="AI46" s="346"/>
      <c r="AJ46" s="346"/>
      <c r="AK46" s="346"/>
      <c r="AL46" s="857"/>
      <c r="AN46" s="854"/>
      <c r="AO46" s="346"/>
      <c r="AP46" s="346"/>
      <c r="AQ46" s="346"/>
      <c r="AR46" s="346"/>
      <c r="AS46" s="346"/>
      <c r="AT46" s="346"/>
      <c r="AU46" s="346"/>
      <c r="AV46" s="346"/>
      <c r="AW46" s="346"/>
      <c r="AX46" s="857"/>
      <c r="AZ46" s="854"/>
      <c r="BA46" s="346"/>
      <c r="BB46" s="346"/>
      <c r="BC46" s="346"/>
      <c r="BD46" s="346"/>
      <c r="BE46" s="346"/>
      <c r="BF46" s="346"/>
      <c r="BG46" s="346"/>
      <c r="BH46" s="346"/>
      <c r="BI46" s="346"/>
      <c r="BJ46" s="857"/>
      <c r="BL46" s="854"/>
      <c r="BM46" s="346"/>
      <c r="BN46" s="346"/>
      <c r="BO46" s="346"/>
      <c r="BP46" s="346"/>
      <c r="BQ46" s="346"/>
      <c r="BR46" s="346"/>
      <c r="BS46" s="346"/>
      <c r="BT46" s="346"/>
      <c r="BU46" s="346"/>
      <c r="BV46" s="857"/>
    </row>
    <row r="47" spans="2:74" ht="21" x14ac:dyDescent="0.25">
      <c r="B47" s="887"/>
      <c r="C47" s="895"/>
      <c r="D47" s="854"/>
      <c r="E47" s="347" t="str">
        <f>E39</f>
        <v>Demande mensuelle</v>
      </c>
      <c r="F47" s="347" t="s">
        <v>44</v>
      </c>
      <c r="G47" s="347" t="str">
        <f>G39</f>
        <v>Achalandage mensuel</v>
      </c>
      <c r="H47" s="347" t="s">
        <v>45</v>
      </c>
      <c r="I47" s="347" t="s">
        <v>46</v>
      </c>
      <c r="J47" s="347" t="str">
        <f>J39</f>
        <v>Um/A</v>
      </c>
      <c r="K47" s="347" t="s">
        <v>45</v>
      </c>
      <c r="L47" s="347" t="str">
        <f>L39</f>
        <v>PmO</v>
      </c>
      <c r="M47" s="347" t="s">
        <v>49</v>
      </c>
      <c r="N47" s="857"/>
      <c r="P47" s="854"/>
      <c r="Q47" s="347" t="str">
        <f>Q39</f>
        <v>Demande mensuelle</v>
      </c>
      <c r="R47" s="347" t="s">
        <v>44</v>
      </c>
      <c r="S47" s="347" t="str">
        <f>S39</f>
        <v>Achalandage mensuel</v>
      </c>
      <c r="T47" s="347" t="s">
        <v>45</v>
      </c>
      <c r="U47" s="347" t="s">
        <v>46</v>
      </c>
      <c r="V47" s="347" t="str">
        <f>V39</f>
        <v>Um/A</v>
      </c>
      <c r="W47" s="347" t="s">
        <v>45</v>
      </c>
      <c r="X47" s="347" t="str">
        <f>X39</f>
        <v>PmO</v>
      </c>
      <c r="Y47" s="347" t="s">
        <v>49</v>
      </c>
      <c r="Z47" s="857"/>
      <c r="AB47" s="854"/>
      <c r="AC47" s="347" t="str">
        <f>AC39</f>
        <v>Demande mensuelle</v>
      </c>
      <c r="AD47" s="347" t="s">
        <v>44</v>
      </c>
      <c r="AE47" s="347" t="str">
        <f>AE39</f>
        <v>Achalandage mensuel</v>
      </c>
      <c r="AF47" s="347" t="s">
        <v>45</v>
      </c>
      <c r="AG47" s="347" t="s">
        <v>46</v>
      </c>
      <c r="AH47" s="347" t="str">
        <f>AH39</f>
        <v>Um/A</v>
      </c>
      <c r="AI47" s="347" t="s">
        <v>45</v>
      </c>
      <c r="AJ47" s="347" t="str">
        <f>AJ39</f>
        <v>PmO</v>
      </c>
      <c r="AK47" s="347" t="s">
        <v>49</v>
      </c>
      <c r="AL47" s="857"/>
      <c r="AN47" s="854"/>
      <c r="AO47" s="347" t="str">
        <f>AO39</f>
        <v>Demande mensuelle</v>
      </c>
      <c r="AP47" s="347" t="s">
        <v>44</v>
      </c>
      <c r="AQ47" s="347" t="str">
        <f>AQ39</f>
        <v>Achalandage mensuel</v>
      </c>
      <c r="AR47" s="347" t="s">
        <v>45</v>
      </c>
      <c r="AS47" s="347" t="s">
        <v>46</v>
      </c>
      <c r="AT47" s="347" t="str">
        <f>AT39</f>
        <v>Um/A</v>
      </c>
      <c r="AU47" s="347" t="s">
        <v>45</v>
      </c>
      <c r="AV47" s="347" t="str">
        <f>AV39</f>
        <v>PmO</v>
      </c>
      <c r="AW47" s="347" t="s">
        <v>49</v>
      </c>
      <c r="AX47" s="857"/>
      <c r="AZ47" s="854"/>
      <c r="BA47" s="347" t="str">
        <f>BA39</f>
        <v>Coût mensuel</v>
      </c>
      <c r="BB47" s="347" t="s">
        <v>44</v>
      </c>
      <c r="BC47" s="347" t="str">
        <f>BC39</f>
        <v>Achalandage mensuel</v>
      </c>
      <c r="BD47" s="347" t="s">
        <v>45</v>
      </c>
      <c r="BE47" s="347" t="s">
        <v>46</v>
      </c>
      <c r="BF47" s="347" t="str">
        <f>BF39</f>
        <v>Um/A</v>
      </c>
      <c r="BG47" s="347" t="s">
        <v>45</v>
      </c>
      <c r="BH47" s="347" t="str">
        <f>BH39</f>
        <v>CmO</v>
      </c>
      <c r="BI47" s="347" t="s">
        <v>49</v>
      </c>
      <c r="BJ47" s="857"/>
      <c r="BL47" s="854"/>
      <c r="BM47" s="347" t="str">
        <f>BM39</f>
        <v>Bénéfice mensuel</v>
      </c>
      <c r="BN47" s="347" t="s">
        <v>44</v>
      </c>
      <c r="BO47" s="347" t="str">
        <f>BO39</f>
        <v>Achalandage mensuel</v>
      </c>
      <c r="BP47" s="347" t="s">
        <v>45</v>
      </c>
      <c r="BQ47" s="347" t="s">
        <v>46</v>
      </c>
      <c r="BR47" s="347" t="str">
        <f>BR39</f>
        <v>Um/A</v>
      </c>
      <c r="BS47" s="347" t="s">
        <v>45</v>
      </c>
      <c r="BT47" s="347" t="str">
        <f>BT39</f>
        <v>BmO</v>
      </c>
      <c r="BU47" s="347" t="s">
        <v>49</v>
      </c>
      <c r="BV47" s="857"/>
    </row>
    <row r="48" spans="2:74" ht="19" x14ac:dyDescent="0.25">
      <c r="B48" s="887"/>
      <c r="C48" s="895"/>
      <c r="D48" s="854"/>
      <c r="E48" s="348" t="s">
        <v>2</v>
      </c>
      <c r="F48" s="349"/>
      <c r="G48" s="348"/>
      <c r="H48" s="349"/>
      <c r="I48" s="349"/>
      <c r="J48" s="349"/>
      <c r="K48" s="349"/>
      <c r="L48" s="349"/>
      <c r="M48" s="349"/>
      <c r="N48" s="857"/>
      <c r="P48" s="854"/>
      <c r="Q48" s="348" t="s">
        <v>2</v>
      </c>
      <c r="R48" s="349"/>
      <c r="S48" s="348"/>
      <c r="T48" s="349"/>
      <c r="U48" s="349"/>
      <c r="V48" s="349"/>
      <c r="W48" s="349"/>
      <c r="X48" s="349"/>
      <c r="Y48" s="349"/>
      <c r="Z48" s="857"/>
      <c r="AB48" s="854"/>
      <c r="AC48" s="348" t="s">
        <v>2</v>
      </c>
      <c r="AD48" s="349"/>
      <c r="AE48" s="348"/>
      <c r="AF48" s="349"/>
      <c r="AG48" s="349"/>
      <c r="AH48" s="349"/>
      <c r="AI48" s="349"/>
      <c r="AJ48" s="349"/>
      <c r="AK48" s="349"/>
      <c r="AL48" s="857"/>
      <c r="AN48" s="854"/>
      <c r="AO48" s="348" t="s">
        <v>2</v>
      </c>
      <c r="AP48" s="349"/>
      <c r="AQ48" s="348"/>
      <c r="AR48" s="349"/>
      <c r="AS48" s="349"/>
      <c r="AT48" s="349"/>
      <c r="AU48" s="349"/>
      <c r="AV48" s="349"/>
      <c r="AW48" s="349"/>
      <c r="AX48" s="857"/>
      <c r="AZ48" s="854"/>
      <c r="BA48" s="348" t="s">
        <v>2</v>
      </c>
      <c r="BB48" s="349"/>
      <c r="BC48" s="348"/>
      <c r="BD48" s="349"/>
      <c r="BE48" s="349"/>
      <c r="BF48" s="349"/>
      <c r="BG48" s="349"/>
      <c r="BH48" s="349"/>
      <c r="BI48" s="349"/>
      <c r="BJ48" s="857"/>
      <c r="BL48" s="854"/>
      <c r="BM48" s="348" t="s">
        <v>2</v>
      </c>
      <c r="BN48" s="349"/>
      <c r="BO48" s="348"/>
      <c r="BP48" s="349"/>
      <c r="BQ48" s="349"/>
      <c r="BR48" s="349"/>
      <c r="BS48" s="349"/>
      <c r="BT48" s="349"/>
      <c r="BU48" s="349"/>
      <c r="BV48" s="857"/>
    </row>
    <row r="49" spans="2:74" ht="26" x14ac:dyDescent="0.3">
      <c r="B49" s="887"/>
      <c r="C49" s="895"/>
      <c r="D49" s="854"/>
      <c r="E49" s="350" t="str">
        <f>E41</f>
        <v>D</v>
      </c>
      <c r="F49" s="351"/>
      <c r="G49" s="350" t="str">
        <f>G41</f>
        <v>A</v>
      </c>
      <c r="H49" s="351"/>
      <c r="I49" s="351"/>
      <c r="J49" s="350" t="str">
        <f>+J47</f>
        <v>Um/A</v>
      </c>
      <c r="K49" s="351"/>
      <c r="L49" s="350" t="str">
        <f>+L47</f>
        <v>PmO</v>
      </c>
      <c r="M49" s="351"/>
      <c r="N49" s="857"/>
      <c r="P49" s="854"/>
      <c r="Q49" s="350" t="str">
        <f>Q41</f>
        <v>D</v>
      </c>
      <c r="R49" s="351"/>
      <c r="S49" s="350" t="str">
        <f>S41</f>
        <v>A</v>
      </c>
      <c r="T49" s="351"/>
      <c r="U49" s="351"/>
      <c r="V49" s="350" t="str">
        <f>+V47</f>
        <v>Um/A</v>
      </c>
      <c r="W49" s="351"/>
      <c r="X49" s="350" t="str">
        <f>+X47</f>
        <v>PmO</v>
      </c>
      <c r="Y49" s="351"/>
      <c r="Z49" s="857"/>
      <c r="AB49" s="854"/>
      <c r="AC49" s="350" t="str">
        <f>AC41</f>
        <v>D</v>
      </c>
      <c r="AD49" s="351"/>
      <c r="AE49" s="350" t="str">
        <f>AE41</f>
        <v>A</v>
      </c>
      <c r="AF49" s="351"/>
      <c r="AG49" s="351"/>
      <c r="AH49" s="350" t="str">
        <f>+AH47</f>
        <v>Um/A</v>
      </c>
      <c r="AI49" s="351"/>
      <c r="AJ49" s="350" t="str">
        <f>+AJ47</f>
        <v>PmO</v>
      </c>
      <c r="AK49" s="351"/>
      <c r="AL49" s="857"/>
      <c r="AN49" s="854"/>
      <c r="AO49" s="350" t="str">
        <f>AO41</f>
        <v>D</v>
      </c>
      <c r="AP49" s="351"/>
      <c r="AQ49" s="350" t="str">
        <f>AQ41</f>
        <v>A</v>
      </c>
      <c r="AR49" s="351"/>
      <c r="AS49" s="351"/>
      <c r="AT49" s="350" t="str">
        <f>+AT47</f>
        <v>Um/A</v>
      </c>
      <c r="AU49" s="351"/>
      <c r="AV49" s="350" t="str">
        <f>+AV47</f>
        <v>PmO</v>
      </c>
      <c r="AW49" s="351"/>
      <c r="AX49" s="857"/>
      <c r="AZ49" s="854"/>
      <c r="BA49" s="350" t="str">
        <f>BA41</f>
        <v xml:space="preserve">C </v>
      </c>
      <c r="BB49" s="351"/>
      <c r="BC49" s="350" t="str">
        <f>BC41</f>
        <v>A</v>
      </c>
      <c r="BD49" s="351"/>
      <c r="BE49" s="351"/>
      <c r="BF49" s="350" t="str">
        <f>+BF47</f>
        <v>Um/A</v>
      </c>
      <c r="BG49" s="351"/>
      <c r="BH49" s="350" t="str">
        <f>+BH47</f>
        <v>CmO</v>
      </c>
      <c r="BI49" s="351"/>
      <c r="BJ49" s="857"/>
      <c r="BL49" s="854"/>
      <c r="BM49" s="350" t="str">
        <f>BM41</f>
        <v xml:space="preserve">B </v>
      </c>
      <c r="BN49" s="351"/>
      <c r="BO49" s="350" t="str">
        <f>BO41</f>
        <v>A</v>
      </c>
      <c r="BP49" s="351"/>
      <c r="BQ49" s="351"/>
      <c r="BR49" s="350" t="str">
        <f>+BR47</f>
        <v>Um/A</v>
      </c>
      <c r="BS49" s="351"/>
      <c r="BT49" s="350" t="str">
        <f>+BT47</f>
        <v>BmO</v>
      </c>
      <c r="BU49" s="351"/>
      <c r="BV49" s="857"/>
    </row>
    <row r="50" spans="2:74" ht="21" x14ac:dyDescent="0.25">
      <c r="B50" s="887"/>
      <c r="C50" s="895"/>
      <c r="D50" s="854"/>
      <c r="E50" s="340">
        <f>+Q50+AC50+AO50</f>
        <v>55604.250000000007</v>
      </c>
      <c r="F50" s="347" t="s">
        <v>44</v>
      </c>
      <c r="G50" s="341">
        <f>'% Occupation'!I19</f>
        <v>2250</v>
      </c>
      <c r="H50" s="347" t="s">
        <v>45</v>
      </c>
      <c r="I50" s="347" t="s">
        <v>46</v>
      </c>
      <c r="J50" s="342">
        <f>+V50+AH50+AT50</f>
        <v>2.2200000000000002</v>
      </c>
      <c r="K50" s="347" t="s">
        <v>45</v>
      </c>
      <c r="L50" s="343">
        <f>E50/G50/J50</f>
        <v>11.131981981981983</v>
      </c>
      <c r="M50" s="347" t="s">
        <v>49</v>
      </c>
      <c r="N50" s="857"/>
      <c r="P50" s="854"/>
      <c r="Q50" s="340">
        <f>+S50*(V50*X50)</f>
        <v>39825.000000000007</v>
      </c>
      <c r="R50" s="347" t="s">
        <v>44</v>
      </c>
      <c r="S50" s="341">
        <f>G50</f>
        <v>2250</v>
      </c>
      <c r="T50" s="347" t="s">
        <v>45</v>
      </c>
      <c r="U50" s="347" t="s">
        <v>46</v>
      </c>
      <c r="V50" s="378">
        <v>1.5</v>
      </c>
      <c r="W50" s="347" t="s">
        <v>45</v>
      </c>
      <c r="X50" s="379">
        <v>11.8</v>
      </c>
      <c r="Y50" s="347" t="s">
        <v>49</v>
      </c>
      <c r="Z50" s="857"/>
      <c r="AB50" s="854"/>
      <c r="AC50" s="340">
        <f>+AE50*(AH50*AJ50)</f>
        <v>14442.749999999998</v>
      </c>
      <c r="AD50" s="347" t="s">
        <v>44</v>
      </c>
      <c r="AE50" s="341">
        <f>S50</f>
        <v>2250</v>
      </c>
      <c r="AF50" s="347" t="s">
        <v>45</v>
      </c>
      <c r="AG50" s="347" t="s">
        <v>46</v>
      </c>
      <c r="AH50" s="378">
        <v>0.7</v>
      </c>
      <c r="AI50" s="347" t="s">
        <v>45</v>
      </c>
      <c r="AJ50" s="379">
        <v>9.17</v>
      </c>
      <c r="AK50" s="347" t="s">
        <v>49</v>
      </c>
      <c r="AL50" s="857"/>
      <c r="AN50" s="854"/>
      <c r="AO50" s="340">
        <f>+AQ50*(AT50*AV50)</f>
        <v>1336.5</v>
      </c>
      <c r="AP50" s="347" t="s">
        <v>44</v>
      </c>
      <c r="AQ50" s="341">
        <f>AE50</f>
        <v>2250</v>
      </c>
      <c r="AR50" s="347" t="s">
        <v>45</v>
      </c>
      <c r="AS50" s="347" t="s">
        <v>46</v>
      </c>
      <c r="AT50" s="378">
        <v>0.02</v>
      </c>
      <c r="AU50" s="347" t="s">
        <v>45</v>
      </c>
      <c r="AV50" s="379">
        <v>29.7</v>
      </c>
      <c r="AW50" s="347" t="s">
        <v>49</v>
      </c>
      <c r="AX50" s="857"/>
      <c r="AZ50" s="854"/>
      <c r="BA50" s="340">
        <f>'État des Résultats'!T14-'État des Résultats'!T45</f>
        <v>42919.02493584263</v>
      </c>
      <c r="BB50" s="347" t="s">
        <v>44</v>
      </c>
      <c r="BC50" s="341">
        <f>G50</f>
        <v>2250</v>
      </c>
      <c r="BD50" s="347" t="s">
        <v>45</v>
      </c>
      <c r="BE50" s="347" t="s">
        <v>46</v>
      </c>
      <c r="BF50" s="342">
        <f>J50</f>
        <v>2.2200000000000002</v>
      </c>
      <c r="BG50" s="347" t="s">
        <v>45</v>
      </c>
      <c r="BH50" s="343">
        <f>BA50/BC50/BF50</f>
        <v>8.5923973845530774</v>
      </c>
      <c r="BI50" s="347" t="s">
        <v>49</v>
      </c>
      <c r="BJ50" s="857"/>
      <c r="BL50" s="854"/>
      <c r="BM50" s="340">
        <f>'État des Résultats'!T45</f>
        <v>12685.225064157379</v>
      </c>
      <c r="BN50" s="347" t="s">
        <v>44</v>
      </c>
      <c r="BO50" s="341">
        <f>S50</f>
        <v>2250</v>
      </c>
      <c r="BP50" s="347" t="s">
        <v>45</v>
      </c>
      <c r="BQ50" s="347" t="s">
        <v>46</v>
      </c>
      <c r="BR50" s="342">
        <f>J50</f>
        <v>2.2200000000000002</v>
      </c>
      <c r="BS50" s="347" t="s">
        <v>45</v>
      </c>
      <c r="BT50" s="343">
        <f>BM50/BO50/BR50</f>
        <v>2.5395845974289046</v>
      </c>
      <c r="BU50" s="347" t="s">
        <v>49</v>
      </c>
      <c r="BV50" s="857"/>
    </row>
    <row r="51" spans="2:74" ht="17" thickBot="1" x14ac:dyDescent="0.25">
      <c r="B51" s="888"/>
      <c r="C51" s="895"/>
      <c r="D51" s="855"/>
      <c r="E51" s="352"/>
      <c r="F51" s="352"/>
      <c r="G51" s="352"/>
      <c r="H51" s="352"/>
      <c r="I51" s="352"/>
      <c r="J51" s="352"/>
      <c r="K51" s="352"/>
      <c r="L51" s="352"/>
      <c r="M51" s="352"/>
      <c r="N51" s="858"/>
      <c r="P51" s="855"/>
      <c r="Q51" s="352"/>
      <c r="R51" s="352"/>
      <c r="S51" s="352"/>
      <c r="T51" s="352"/>
      <c r="U51" s="352"/>
      <c r="V51" s="352"/>
      <c r="W51" s="352"/>
      <c r="X51" s="352"/>
      <c r="Y51" s="352"/>
      <c r="Z51" s="858"/>
      <c r="AB51" s="855"/>
      <c r="AC51" s="352"/>
      <c r="AD51" s="352"/>
      <c r="AE51" s="352"/>
      <c r="AF51" s="352"/>
      <c r="AG51" s="352"/>
      <c r="AH51" s="352"/>
      <c r="AI51" s="352"/>
      <c r="AJ51" s="352"/>
      <c r="AK51" s="352"/>
      <c r="AL51" s="858"/>
      <c r="AN51" s="855"/>
      <c r="AO51" s="352"/>
      <c r="AP51" s="352"/>
      <c r="AQ51" s="352"/>
      <c r="AR51" s="352"/>
      <c r="AS51" s="352"/>
      <c r="AT51" s="352"/>
      <c r="AU51" s="352"/>
      <c r="AV51" s="352"/>
      <c r="AW51" s="352"/>
      <c r="AX51" s="858"/>
      <c r="AZ51" s="855"/>
      <c r="BA51" s="352"/>
      <c r="BB51" s="352"/>
      <c r="BC51" s="352"/>
      <c r="BD51" s="352"/>
      <c r="BE51" s="352"/>
      <c r="BF51" s="352"/>
      <c r="BG51" s="352"/>
      <c r="BH51" s="352"/>
      <c r="BI51" s="352"/>
      <c r="BJ51" s="858"/>
      <c r="BL51" s="855"/>
      <c r="BM51" s="352"/>
      <c r="BN51" s="352"/>
      <c r="BO51" s="352"/>
      <c r="BP51" s="352"/>
      <c r="BQ51" s="352"/>
      <c r="BR51" s="352"/>
      <c r="BS51" s="352"/>
      <c r="BT51" s="352"/>
      <c r="BU51" s="352"/>
      <c r="BV51" s="858"/>
    </row>
    <row r="52" spans="2:74" ht="10" customHeight="1" thickBot="1" x14ac:dyDescent="0.2">
      <c r="B52" s="161" t="s">
        <v>2</v>
      </c>
      <c r="C52" s="210"/>
    </row>
    <row r="53" spans="2:74" ht="17" thickTop="1" x14ac:dyDescent="0.2">
      <c r="B53" s="889">
        <v>3</v>
      </c>
      <c r="C53" s="894"/>
      <c r="D53" s="841" t="s">
        <v>42</v>
      </c>
      <c r="E53" s="353"/>
      <c r="F53" s="353"/>
      <c r="G53" s="353"/>
      <c r="H53" s="353"/>
      <c r="I53" s="353"/>
      <c r="J53" s="353"/>
      <c r="K53" s="353"/>
      <c r="L53" s="353"/>
      <c r="M53" s="353"/>
      <c r="N53" s="844" t="s">
        <v>43</v>
      </c>
      <c r="P53" s="880" t="s">
        <v>42</v>
      </c>
      <c r="Q53" s="304"/>
      <c r="R53" s="304"/>
      <c r="S53" s="304"/>
      <c r="T53" s="304"/>
      <c r="U53" s="304"/>
      <c r="V53" s="304"/>
      <c r="W53" s="304"/>
      <c r="X53" s="304"/>
      <c r="Y53" s="304"/>
      <c r="Z53" s="881" t="s">
        <v>43</v>
      </c>
      <c r="AB53" s="841" t="s">
        <v>42</v>
      </c>
      <c r="AC53" s="353"/>
      <c r="AD53" s="353"/>
      <c r="AE53" s="353"/>
      <c r="AF53" s="353"/>
      <c r="AG53" s="353"/>
      <c r="AH53" s="353"/>
      <c r="AI53" s="353"/>
      <c r="AJ53" s="353"/>
      <c r="AK53" s="353"/>
      <c r="AL53" s="844" t="s">
        <v>43</v>
      </c>
      <c r="AN53" s="841" t="s">
        <v>42</v>
      </c>
      <c r="AO53" s="353"/>
      <c r="AP53" s="353"/>
      <c r="AQ53" s="353"/>
      <c r="AR53" s="353"/>
      <c r="AS53" s="353"/>
      <c r="AT53" s="353"/>
      <c r="AU53" s="353"/>
      <c r="AV53" s="353"/>
      <c r="AW53" s="353"/>
      <c r="AX53" s="844" t="s">
        <v>43</v>
      </c>
      <c r="AZ53" s="841" t="s">
        <v>42</v>
      </c>
      <c r="BA53" s="353"/>
      <c r="BB53" s="353"/>
      <c r="BC53" s="353"/>
      <c r="BD53" s="353"/>
      <c r="BE53" s="353"/>
      <c r="BF53" s="353"/>
      <c r="BG53" s="353"/>
      <c r="BH53" s="353"/>
      <c r="BI53" s="353"/>
      <c r="BJ53" s="844" t="s">
        <v>43</v>
      </c>
      <c r="BL53" s="841" t="s">
        <v>42</v>
      </c>
      <c r="BM53" s="353"/>
      <c r="BN53" s="353"/>
      <c r="BO53" s="353"/>
      <c r="BP53" s="353"/>
      <c r="BQ53" s="353"/>
      <c r="BR53" s="353"/>
      <c r="BS53" s="353"/>
      <c r="BT53" s="353"/>
      <c r="BU53" s="353"/>
      <c r="BV53" s="844" t="s">
        <v>43</v>
      </c>
    </row>
    <row r="54" spans="2:74" ht="16" x14ac:dyDescent="0.2">
      <c r="B54" s="889"/>
      <c r="C54" s="894"/>
      <c r="D54" s="842"/>
      <c r="E54" s="354"/>
      <c r="F54" s="354"/>
      <c r="G54" s="354"/>
      <c r="H54" s="354"/>
      <c r="I54" s="354"/>
      <c r="J54" s="354"/>
      <c r="K54" s="354"/>
      <c r="L54" s="354"/>
      <c r="M54" s="354"/>
      <c r="N54" s="845"/>
      <c r="P54" s="842"/>
      <c r="Q54" s="304"/>
      <c r="R54" s="304"/>
      <c r="S54" s="304"/>
      <c r="T54" s="304"/>
      <c r="U54" s="304"/>
      <c r="V54" s="304"/>
      <c r="W54" s="304"/>
      <c r="X54" s="304"/>
      <c r="Y54" s="304"/>
      <c r="Z54" s="845"/>
      <c r="AB54" s="842"/>
      <c r="AC54" s="354"/>
      <c r="AD54" s="354"/>
      <c r="AE54" s="354"/>
      <c r="AF54" s="354"/>
      <c r="AG54" s="354"/>
      <c r="AH54" s="354"/>
      <c r="AI54" s="354"/>
      <c r="AJ54" s="354"/>
      <c r="AK54" s="354"/>
      <c r="AL54" s="845"/>
      <c r="AN54" s="842"/>
      <c r="AO54" s="354"/>
      <c r="AP54" s="354"/>
      <c r="AQ54" s="354"/>
      <c r="AR54" s="354"/>
      <c r="AS54" s="354"/>
      <c r="AT54" s="354"/>
      <c r="AU54" s="354"/>
      <c r="AV54" s="354"/>
      <c r="AW54" s="354"/>
      <c r="AX54" s="845"/>
      <c r="AZ54" s="842"/>
      <c r="BA54" s="354"/>
      <c r="BB54" s="354"/>
      <c r="BC54" s="354"/>
      <c r="BD54" s="354"/>
      <c r="BE54" s="354"/>
      <c r="BF54" s="354"/>
      <c r="BG54" s="354"/>
      <c r="BH54" s="354"/>
      <c r="BI54" s="354"/>
      <c r="BJ54" s="845"/>
      <c r="BL54" s="842"/>
      <c r="BM54" s="354"/>
      <c r="BN54" s="354"/>
      <c r="BO54" s="354"/>
      <c r="BP54" s="354"/>
      <c r="BQ54" s="354"/>
      <c r="BR54" s="354"/>
      <c r="BS54" s="354"/>
      <c r="BT54" s="354"/>
      <c r="BU54" s="354"/>
      <c r="BV54" s="845"/>
    </row>
    <row r="55" spans="2:74" ht="21" x14ac:dyDescent="0.25">
      <c r="B55" s="889"/>
      <c r="C55" s="894"/>
      <c r="D55" s="842"/>
      <c r="E55" s="355" t="str">
        <f>E47</f>
        <v>Demande mensuelle</v>
      </c>
      <c r="F55" s="355" t="s">
        <v>44</v>
      </c>
      <c r="G55" s="355" t="str">
        <f>G47</f>
        <v>Achalandage mensuel</v>
      </c>
      <c r="H55" s="355" t="s">
        <v>45</v>
      </c>
      <c r="I55" s="355" t="s">
        <v>46</v>
      </c>
      <c r="J55" s="355" t="str">
        <f>J47</f>
        <v>Um/A</v>
      </c>
      <c r="K55" s="355" t="s">
        <v>45</v>
      </c>
      <c r="L55" s="355" t="str">
        <f>L47</f>
        <v>PmO</v>
      </c>
      <c r="M55" s="355" t="s">
        <v>49</v>
      </c>
      <c r="N55" s="845"/>
      <c r="P55" s="842"/>
      <c r="Q55" s="305" t="str">
        <f>Q47</f>
        <v>Demande mensuelle</v>
      </c>
      <c r="R55" s="305" t="s">
        <v>44</v>
      </c>
      <c r="S55" s="305" t="str">
        <f>S47</f>
        <v>Achalandage mensuel</v>
      </c>
      <c r="T55" s="305" t="s">
        <v>45</v>
      </c>
      <c r="U55" s="305" t="s">
        <v>46</v>
      </c>
      <c r="V55" s="305" t="str">
        <f>V47</f>
        <v>Um/A</v>
      </c>
      <c r="W55" s="305" t="s">
        <v>45</v>
      </c>
      <c r="X55" s="305" t="str">
        <f>X47</f>
        <v>PmO</v>
      </c>
      <c r="Y55" s="305" t="s">
        <v>49</v>
      </c>
      <c r="Z55" s="845"/>
      <c r="AB55" s="842"/>
      <c r="AC55" s="355" t="str">
        <f>AC47</f>
        <v>Demande mensuelle</v>
      </c>
      <c r="AD55" s="355" t="s">
        <v>44</v>
      </c>
      <c r="AE55" s="355" t="str">
        <f>AE47</f>
        <v>Achalandage mensuel</v>
      </c>
      <c r="AF55" s="355" t="s">
        <v>45</v>
      </c>
      <c r="AG55" s="355" t="s">
        <v>46</v>
      </c>
      <c r="AH55" s="355" t="str">
        <f>AH47</f>
        <v>Um/A</v>
      </c>
      <c r="AI55" s="355" t="s">
        <v>45</v>
      </c>
      <c r="AJ55" s="355" t="str">
        <f>AJ47</f>
        <v>PmO</v>
      </c>
      <c r="AK55" s="355" t="s">
        <v>49</v>
      </c>
      <c r="AL55" s="845"/>
      <c r="AN55" s="842"/>
      <c r="AO55" s="355" t="str">
        <f>AO47</f>
        <v>Demande mensuelle</v>
      </c>
      <c r="AP55" s="355" t="s">
        <v>44</v>
      </c>
      <c r="AQ55" s="355" t="str">
        <f>AQ47</f>
        <v>Achalandage mensuel</v>
      </c>
      <c r="AR55" s="355" t="s">
        <v>45</v>
      </c>
      <c r="AS55" s="355" t="s">
        <v>46</v>
      </c>
      <c r="AT55" s="355" t="str">
        <f>AT47</f>
        <v>Um/A</v>
      </c>
      <c r="AU55" s="355" t="s">
        <v>45</v>
      </c>
      <c r="AV55" s="355" t="str">
        <f>AV47</f>
        <v>PmO</v>
      </c>
      <c r="AW55" s="355" t="s">
        <v>49</v>
      </c>
      <c r="AX55" s="845"/>
      <c r="AZ55" s="842"/>
      <c r="BA55" s="355" t="str">
        <f>BA47</f>
        <v>Coût mensuel</v>
      </c>
      <c r="BB55" s="355" t="s">
        <v>44</v>
      </c>
      <c r="BC55" s="355" t="str">
        <f>BC47</f>
        <v>Achalandage mensuel</v>
      </c>
      <c r="BD55" s="355" t="s">
        <v>45</v>
      </c>
      <c r="BE55" s="355" t="s">
        <v>46</v>
      </c>
      <c r="BF55" s="355" t="s">
        <v>47</v>
      </c>
      <c r="BG55" s="355" t="s">
        <v>45</v>
      </c>
      <c r="BH55" s="355" t="str">
        <f>BH47</f>
        <v>CmO</v>
      </c>
      <c r="BI55" s="355" t="s">
        <v>49</v>
      </c>
      <c r="BJ55" s="845"/>
      <c r="BL55" s="842"/>
      <c r="BM55" s="355" t="str">
        <f>BM47</f>
        <v>Bénéfice mensuel</v>
      </c>
      <c r="BN55" s="355" t="s">
        <v>44</v>
      </c>
      <c r="BO55" s="355" t="str">
        <f>BO47</f>
        <v>Achalandage mensuel</v>
      </c>
      <c r="BP55" s="355" t="s">
        <v>45</v>
      </c>
      <c r="BQ55" s="355" t="s">
        <v>46</v>
      </c>
      <c r="BR55" s="355" t="s">
        <v>47</v>
      </c>
      <c r="BS55" s="355" t="s">
        <v>45</v>
      </c>
      <c r="BT55" s="355" t="str">
        <f>BT47</f>
        <v>BmO</v>
      </c>
      <c r="BU55" s="355" t="s">
        <v>49</v>
      </c>
      <c r="BV55" s="845"/>
    </row>
    <row r="56" spans="2:74" ht="19" x14ac:dyDescent="0.25">
      <c r="B56" s="889"/>
      <c r="C56" s="894"/>
      <c r="D56" s="842"/>
      <c r="E56" s="356" t="s">
        <v>2</v>
      </c>
      <c r="F56" s="357"/>
      <c r="G56" s="356"/>
      <c r="H56" s="357"/>
      <c r="I56" s="357"/>
      <c r="J56" s="357"/>
      <c r="K56" s="357"/>
      <c r="L56" s="357"/>
      <c r="M56" s="357"/>
      <c r="N56" s="845"/>
      <c r="P56" s="842"/>
      <c r="Q56" s="306" t="s">
        <v>2</v>
      </c>
      <c r="R56" s="307"/>
      <c r="S56" s="306"/>
      <c r="T56" s="307"/>
      <c r="U56" s="307"/>
      <c r="V56" s="307"/>
      <c r="W56" s="307"/>
      <c r="X56" s="307"/>
      <c r="Y56" s="307"/>
      <c r="Z56" s="845"/>
      <c r="AB56" s="842"/>
      <c r="AC56" s="356" t="s">
        <v>2</v>
      </c>
      <c r="AD56" s="357"/>
      <c r="AE56" s="356"/>
      <c r="AF56" s="357"/>
      <c r="AG56" s="357"/>
      <c r="AH56" s="357"/>
      <c r="AI56" s="357"/>
      <c r="AJ56" s="357"/>
      <c r="AK56" s="357"/>
      <c r="AL56" s="845"/>
      <c r="AN56" s="842"/>
      <c r="AO56" s="356" t="s">
        <v>2</v>
      </c>
      <c r="AP56" s="357"/>
      <c r="AQ56" s="356"/>
      <c r="AR56" s="357"/>
      <c r="AS56" s="357"/>
      <c r="AT56" s="357"/>
      <c r="AU56" s="357"/>
      <c r="AV56" s="357"/>
      <c r="AW56" s="357"/>
      <c r="AX56" s="845"/>
      <c r="AZ56" s="842"/>
      <c r="BA56" s="356" t="s">
        <v>2</v>
      </c>
      <c r="BB56" s="357"/>
      <c r="BC56" s="356"/>
      <c r="BD56" s="357"/>
      <c r="BE56" s="357"/>
      <c r="BF56" s="357"/>
      <c r="BG56" s="357"/>
      <c r="BH56" s="357"/>
      <c r="BI56" s="357"/>
      <c r="BJ56" s="845"/>
      <c r="BL56" s="842"/>
      <c r="BM56" s="356" t="s">
        <v>2</v>
      </c>
      <c r="BN56" s="357"/>
      <c r="BO56" s="356"/>
      <c r="BP56" s="357"/>
      <c r="BQ56" s="357"/>
      <c r="BR56" s="357"/>
      <c r="BS56" s="357"/>
      <c r="BT56" s="357"/>
      <c r="BU56" s="357"/>
      <c r="BV56" s="845"/>
    </row>
    <row r="57" spans="2:74" ht="26" x14ac:dyDescent="0.3">
      <c r="B57" s="889"/>
      <c r="C57" s="894"/>
      <c r="D57" s="842"/>
      <c r="E57" s="358" t="str">
        <f>E49</f>
        <v>D</v>
      </c>
      <c r="F57" s="359"/>
      <c r="G57" s="358" t="str">
        <f>G49</f>
        <v>A</v>
      </c>
      <c r="H57" s="359"/>
      <c r="I57" s="359"/>
      <c r="J57" s="358" t="str">
        <f>+J55</f>
        <v>Um/A</v>
      </c>
      <c r="K57" s="359"/>
      <c r="L57" s="358" t="str">
        <f>+L55</f>
        <v>PmO</v>
      </c>
      <c r="M57" s="359"/>
      <c r="N57" s="845"/>
      <c r="P57" s="842"/>
      <c r="Q57" s="308" t="str">
        <f>Q49</f>
        <v>D</v>
      </c>
      <c r="R57" s="309"/>
      <c r="S57" s="308" t="str">
        <f>S49</f>
        <v>A</v>
      </c>
      <c r="T57" s="309"/>
      <c r="U57" s="309"/>
      <c r="V57" s="308" t="str">
        <f>+V55</f>
        <v>Um/A</v>
      </c>
      <c r="W57" s="309"/>
      <c r="X57" s="308" t="str">
        <f>+X55</f>
        <v>PmO</v>
      </c>
      <c r="Y57" s="309"/>
      <c r="Z57" s="845"/>
      <c r="AB57" s="842"/>
      <c r="AC57" s="358" t="str">
        <f>AC49</f>
        <v>D</v>
      </c>
      <c r="AD57" s="359"/>
      <c r="AE57" s="358" t="str">
        <f>AE49</f>
        <v>A</v>
      </c>
      <c r="AF57" s="359"/>
      <c r="AG57" s="359"/>
      <c r="AH57" s="358" t="str">
        <f>+AH55</f>
        <v>Um/A</v>
      </c>
      <c r="AI57" s="359"/>
      <c r="AJ57" s="358" t="str">
        <f>+AJ55</f>
        <v>PmO</v>
      </c>
      <c r="AK57" s="359"/>
      <c r="AL57" s="845"/>
      <c r="AN57" s="842"/>
      <c r="AO57" s="358" t="str">
        <f>AO49</f>
        <v>D</v>
      </c>
      <c r="AP57" s="359"/>
      <c r="AQ57" s="358" t="str">
        <f>AQ49</f>
        <v>A</v>
      </c>
      <c r="AR57" s="359"/>
      <c r="AS57" s="359"/>
      <c r="AT57" s="358" t="str">
        <f>+AT55</f>
        <v>Um/A</v>
      </c>
      <c r="AU57" s="359"/>
      <c r="AV57" s="358" t="str">
        <f>+AV55</f>
        <v>PmO</v>
      </c>
      <c r="AW57" s="359"/>
      <c r="AX57" s="845"/>
      <c r="AZ57" s="842"/>
      <c r="BA57" s="358" t="str">
        <f>BA49</f>
        <v xml:space="preserve">C </v>
      </c>
      <c r="BB57" s="359"/>
      <c r="BC57" s="358" t="str">
        <f>BC49</f>
        <v>A</v>
      </c>
      <c r="BD57" s="359"/>
      <c r="BE57" s="359"/>
      <c r="BF57" s="358" t="str">
        <f>+BF55</f>
        <v>Um/A</v>
      </c>
      <c r="BG57" s="359"/>
      <c r="BH57" s="358" t="str">
        <f>+BH55</f>
        <v>CmO</v>
      </c>
      <c r="BI57" s="359"/>
      <c r="BJ57" s="845"/>
      <c r="BL57" s="842"/>
      <c r="BM57" s="358" t="str">
        <f>BM49</f>
        <v xml:space="preserve">B </v>
      </c>
      <c r="BN57" s="359"/>
      <c r="BO57" s="358" t="str">
        <f>BO49</f>
        <v>A</v>
      </c>
      <c r="BP57" s="359"/>
      <c r="BQ57" s="359"/>
      <c r="BR57" s="358" t="str">
        <f>+BR55</f>
        <v>Um/A</v>
      </c>
      <c r="BS57" s="359"/>
      <c r="BT57" s="358" t="str">
        <f>+BT55</f>
        <v>BmO</v>
      </c>
      <c r="BU57" s="359"/>
      <c r="BV57" s="845"/>
    </row>
    <row r="58" spans="2:74" ht="21" x14ac:dyDescent="0.25">
      <c r="B58" s="889"/>
      <c r="C58" s="894"/>
      <c r="D58" s="842"/>
      <c r="E58" s="340">
        <f>+Q58+AC58+AO58</f>
        <v>76610.3</v>
      </c>
      <c r="F58" s="355" t="s">
        <v>44</v>
      </c>
      <c r="G58" s="341">
        <f>'% Occupation'!J19</f>
        <v>3100</v>
      </c>
      <c r="H58" s="355" t="s">
        <v>45</v>
      </c>
      <c r="I58" s="355" t="s">
        <v>46</v>
      </c>
      <c r="J58" s="342">
        <f>+V58+AH58+AT58</f>
        <v>2.2200000000000002</v>
      </c>
      <c r="K58" s="355" t="s">
        <v>45</v>
      </c>
      <c r="L58" s="343">
        <f>E58/G58/J58</f>
        <v>11.131981981981982</v>
      </c>
      <c r="M58" s="355" t="s">
        <v>49</v>
      </c>
      <c r="N58" s="845"/>
      <c r="P58" s="842"/>
      <c r="Q58" s="283">
        <f>+S58*(V58*X58)</f>
        <v>54870.000000000007</v>
      </c>
      <c r="R58" s="305" t="s">
        <v>44</v>
      </c>
      <c r="S58" s="165">
        <f>G58</f>
        <v>3100</v>
      </c>
      <c r="T58" s="305" t="s">
        <v>45</v>
      </c>
      <c r="U58" s="305" t="s">
        <v>46</v>
      </c>
      <c r="V58" s="311">
        <v>1.5</v>
      </c>
      <c r="W58" s="305" t="s">
        <v>45</v>
      </c>
      <c r="X58" s="284">
        <v>11.8</v>
      </c>
      <c r="Y58" s="305" t="s">
        <v>49</v>
      </c>
      <c r="Z58" s="845"/>
      <c r="AB58" s="842"/>
      <c r="AC58" s="340">
        <f>+AE58*(AH58*AJ58)</f>
        <v>19898.899999999998</v>
      </c>
      <c r="AD58" s="355" t="s">
        <v>44</v>
      </c>
      <c r="AE58" s="341">
        <f>S58</f>
        <v>3100</v>
      </c>
      <c r="AF58" s="355" t="s">
        <v>45</v>
      </c>
      <c r="AG58" s="355" t="s">
        <v>46</v>
      </c>
      <c r="AH58" s="378">
        <v>0.7</v>
      </c>
      <c r="AI58" s="355" t="s">
        <v>45</v>
      </c>
      <c r="AJ58" s="379">
        <v>9.17</v>
      </c>
      <c r="AK58" s="355" t="s">
        <v>49</v>
      </c>
      <c r="AL58" s="845"/>
      <c r="AN58" s="842"/>
      <c r="AO58" s="340">
        <f>+AQ58*(AT58*AV58)</f>
        <v>1841.3999999999999</v>
      </c>
      <c r="AP58" s="355" t="s">
        <v>44</v>
      </c>
      <c r="AQ58" s="341">
        <f>AE58</f>
        <v>3100</v>
      </c>
      <c r="AR58" s="355" t="s">
        <v>45</v>
      </c>
      <c r="AS58" s="355" t="s">
        <v>46</v>
      </c>
      <c r="AT58" s="378">
        <v>0.02</v>
      </c>
      <c r="AU58" s="355" t="s">
        <v>45</v>
      </c>
      <c r="AV58" s="379">
        <v>29.7</v>
      </c>
      <c r="AW58" s="355" t="s">
        <v>49</v>
      </c>
      <c r="AX58" s="845"/>
      <c r="AZ58" s="842"/>
      <c r="BA58" s="340">
        <f>'État des Résultats'!W14-'État des Résultats'!W45</f>
        <v>53205.281022716503</v>
      </c>
      <c r="BB58" s="355" t="s">
        <v>44</v>
      </c>
      <c r="BC58" s="341">
        <f>G58</f>
        <v>3100</v>
      </c>
      <c r="BD58" s="355" t="s">
        <v>45</v>
      </c>
      <c r="BE58" s="355" t="s">
        <v>46</v>
      </c>
      <c r="BF58" s="342">
        <f>J58</f>
        <v>2.2200000000000002</v>
      </c>
      <c r="BG58" s="355" t="s">
        <v>45</v>
      </c>
      <c r="BH58" s="343">
        <f>BA58/BC58/BF58</f>
        <v>7.7310783235565959</v>
      </c>
      <c r="BI58" s="355" t="s">
        <v>49</v>
      </c>
      <c r="BJ58" s="845"/>
      <c r="BL58" s="842"/>
      <c r="BM58" s="340">
        <f>'État des Résultats'!W45</f>
        <v>23405.0189772835</v>
      </c>
      <c r="BN58" s="355" t="s">
        <v>44</v>
      </c>
      <c r="BO58" s="341">
        <f>G58</f>
        <v>3100</v>
      </c>
      <c r="BP58" s="355" t="s">
        <v>45</v>
      </c>
      <c r="BQ58" s="355" t="s">
        <v>46</v>
      </c>
      <c r="BR58" s="342">
        <f>J58</f>
        <v>2.2200000000000002</v>
      </c>
      <c r="BS58" s="355" t="s">
        <v>45</v>
      </c>
      <c r="BT58" s="343">
        <f>BM58/BO58/BR58</f>
        <v>3.4009036584253849</v>
      </c>
      <c r="BU58" s="355" t="s">
        <v>49</v>
      </c>
      <c r="BV58" s="845"/>
    </row>
    <row r="59" spans="2:74" ht="17" thickBot="1" x14ac:dyDescent="0.25">
      <c r="B59" s="889"/>
      <c r="C59" s="894"/>
      <c r="D59" s="843"/>
      <c r="E59" s="360"/>
      <c r="F59" s="360"/>
      <c r="G59" s="360"/>
      <c r="H59" s="360"/>
      <c r="I59" s="360"/>
      <c r="J59" s="360"/>
      <c r="K59" s="360"/>
      <c r="L59" s="360"/>
      <c r="M59" s="360"/>
      <c r="N59" s="846"/>
      <c r="P59" s="842"/>
      <c r="Q59" s="309"/>
      <c r="R59" s="309"/>
      <c r="S59" s="309"/>
      <c r="T59" s="309"/>
      <c r="U59" s="309"/>
      <c r="V59" s="309"/>
      <c r="W59" s="309"/>
      <c r="X59" s="309"/>
      <c r="Y59" s="309"/>
      <c r="Z59" s="845"/>
      <c r="AB59" s="843"/>
      <c r="AC59" s="360"/>
      <c r="AD59" s="360"/>
      <c r="AE59" s="360"/>
      <c r="AF59" s="360"/>
      <c r="AG59" s="360"/>
      <c r="AH59" s="360"/>
      <c r="AI59" s="360"/>
      <c r="AJ59" s="360"/>
      <c r="AK59" s="360"/>
      <c r="AL59" s="846"/>
      <c r="AN59" s="843"/>
      <c r="AO59" s="360"/>
      <c r="AP59" s="360"/>
      <c r="AQ59" s="360"/>
      <c r="AR59" s="360"/>
      <c r="AS59" s="360"/>
      <c r="AT59" s="360"/>
      <c r="AU59" s="360"/>
      <c r="AV59" s="360"/>
      <c r="AW59" s="360"/>
      <c r="AX59" s="846"/>
      <c r="AZ59" s="843"/>
      <c r="BA59" s="360"/>
      <c r="BB59" s="360"/>
      <c r="BC59" s="360"/>
      <c r="BD59" s="360"/>
      <c r="BE59" s="360"/>
      <c r="BF59" s="360"/>
      <c r="BG59" s="360"/>
      <c r="BH59" s="360"/>
      <c r="BI59" s="360"/>
      <c r="BJ59" s="846"/>
      <c r="BL59" s="843"/>
      <c r="BM59" s="360"/>
      <c r="BN59" s="360"/>
      <c r="BO59" s="360"/>
      <c r="BP59" s="360"/>
      <c r="BQ59" s="360"/>
      <c r="BR59" s="360"/>
      <c r="BS59" s="360"/>
      <c r="BT59" s="360"/>
      <c r="BU59" s="360"/>
      <c r="BV59" s="846"/>
    </row>
    <row r="60" spans="2:74" ht="5" customHeight="1" thickTop="1" thickBot="1" x14ac:dyDescent="0.25">
      <c r="B60" s="889"/>
      <c r="C60" s="377"/>
      <c r="D60" s="310"/>
      <c r="AZ60" s="310"/>
      <c r="BL60" s="310"/>
    </row>
    <row r="61" spans="2:74" ht="17" thickTop="1" x14ac:dyDescent="0.2">
      <c r="B61" s="889"/>
      <c r="C61" s="894"/>
      <c r="D61" s="841" t="s">
        <v>42</v>
      </c>
      <c r="E61" s="353"/>
      <c r="F61" s="353"/>
      <c r="G61" s="353"/>
      <c r="H61" s="353"/>
      <c r="I61" s="353"/>
      <c r="J61" s="353"/>
      <c r="K61" s="353"/>
      <c r="L61" s="353"/>
      <c r="M61" s="353"/>
      <c r="N61" s="844" t="s">
        <v>43</v>
      </c>
      <c r="P61" s="841" t="s">
        <v>42</v>
      </c>
      <c r="Q61" s="353"/>
      <c r="R61" s="353"/>
      <c r="S61" s="353"/>
      <c r="T61" s="353"/>
      <c r="U61" s="353"/>
      <c r="V61" s="353"/>
      <c r="W61" s="353"/>
      <c r="X61" s="353"/>
      <c r="Y61" s="353"/>
      <c r="Z61" s="844" t="s">
        <v>43</v>
      </c>
      <c r="AB61" s="841" t="s">
        <v>42</v>
      </c>
      <c r="AC61" s="353"/>
      <c r="AD61" s="353"/>
      <c r="AE61" s="353"/>
      <c r="AF61" s="353"/>
      <c r="AG61" s="353"/>
      <c r="AH61" s="353"/>
      <c r="AI61" s="353"/>
      <c r="AJ61" s="353"/>
      <c r="AK61" s="353"/>
      <c r="AL61" s="844" t="s">
        <v>43</v>
      </c>
      <c r="AN61" s="841" t="s">
        <v>42</v>
      </c>
      <c r="AO61" s="353"/>
      <c r="AP61" s="353"/>
      <c r="AQ61" s="353"/>
      <c r="AR61" s="353"/>
      <c r="AS61" s="353"/>
      <c r="AT61" s="353"/>
      <c r="AU61" s="353"/>
      <c r="AV61" s="353"/>
      <c r="AW61" s="353"/>
      <c r="AX61" s="844" t="s">
        <v>43</v>
      </c>
      <c r="AZ61" s="841" t="s">
        <v>42</v>
      </c>
      <c r="BA61" s="353"/>
      <c r="BB61" s="353"/>
      <c r="BC61" s="353"/>
      <c r="BD61" s="353"/>
      <c r="BE61" s="353"/>
      <c r="BF61" s="353"/>
      <c r="BG61" s="353"/>
      <c r="BH61" s="353"/>
      <c r="BI61" s="353"/>
      <c r="BJ61" s="844" t="s">
        <v>43</v>
      </c>
      <c r="BL61" s="841" t="s">
        <v>42</v>
      </c>
      <c r="BM61" s="353"/>
      <c r="BN61" s="353"/>
      <c r="BO61" s="353"/>
      <c r="BP61" s="353"/>
      <c r="BQ61" s="353"/>
      <c r="BR61" s="353"/>
      <c r="BS61" s="353"/>
      <c r="BT61" s="353"/>
      <c r="BU61" s="353"/>
      <c r="BV61" s="844" t="s">
        <v>43</v>
      </c>
    </row>
    <row r="62" spans="2:74" ht="16" x14ac:dyDescent="0.2">
      <c r="B62" s="889"/>
      <c r="C62" s="894"/>
      <c r="D62" s="842"/>
      <c r="E62" s="354"/>
      <c r="F62" s="354"/>
      <c r="G62" s="354"/>
      <c r="H62" s="354"/>
      <c r="I62" s="354"/>
      <c r="J62" s="354"/>
      <c r="K62" s="354"/>
      <c r="L62" s="354"/>
      <c r="M62" s="354"/>
      <c r="N62" s="845"/>
      <c r="P62" s="842"/>
      <c r="Q62" s="354"/>
      <c r="R62" s="354"/>
      <c r="S62" s="354"/>
      <c r="T62" s="354"/>
      <c r="U62" s="354"/>
      <c r="V62" s="354"/>
      <c r="W62" s="354"/>
      <c r="X62" s="354"/>
      <c r="Y62" s="354"/>
      <c r="Z62" s="845"/>
      <c r="AB62" s="842"/>
      <c r="AC62" s="354"/>
      <c r="AD62" s="354"/>
      <c r="AE62" s="354"/>
      <c r="AF62" s="354"/>
      <c r="AG62" s="354"/>
      <c r="AH62" s="354"/>
      <c r="AI62" s="354"/>
      <c r="AJ62" s="354"/>
      <c r="AK62" s="354"/>
      <c r="AL62" s="845"/>
      <c r="AN62" s="842"/>
      <c r="AO62" s="354"/>
      <c r="AP62" s="354"/>
      <c r="AQ62" s="354"/>
      <c r="AR62" s="354"/>
      <c r="AS62" s="354"/>
      <c r="AT62" s="354"/>
      <c r="AU62" s="354"/>
      <c r="AV62" s="354"/>
      <c r="AW62" s="354"/>
      <c r="AX62" s="845"/>
      <c r="AZ62" s="842"/>
      <c r="BA62" s="354"/>
      <c r="BB62" s="354"/>
      <c r="BC62" s="354"/>
      <c r="BD62" s="354"/>
      <c r="BE62" s="354"/>
      <c r="BF62" s="354"/>
      <c r="BG62" s="354"/>
      <c r="BH62" s="354"/>
      <c r="BI62" s="354"/>
      <c r="BJ62" s="845"/>
      <c r="BL62" s="842"/>
      <c r="BM62" s="354"/>
      <c r="BN62" s="354"/>
      <c r="BO62" s="354"/>
      <c r="BP62" s="354"/>
      <c r="BQ62" s="354"/>
      <c r="BR62" s="354"/>
      <c r="BS62" s="354"/>
      <c r="BT62" s="354"/>
      <c r="BU62" s="354"/>
      <c r="BV62" s="845"/>
    </row>
    <row r="63" spans="2:74" ht="21" x14ac:dyDescent="0.25">
      <c r="B63" s="889"/>
      <c r="C63" s="894"/>
      <c r="D63" s="842"/>
      <c r="E63" s="355" t="str">
        <f>E55</f>
        <v>Demande mensuelle</v>
      </c>
      <c r="F63" s="355" t="s">
        <v>44</v>
      </c>
      <c r="G63" s="355" t="str">
        <f>G55</f>
        <v>Achalandage mensuel</v>
      </c>
      <c r="H63" s="355" t="s">
        <v>45</v>
      </c>
      <c r="I63" s="355" t="s">
        <v>46</v>
      </c>
      <c r="J63" s="355" t="str">
        <f>J55</f>
        <v>Um/A</v>
      </c>
      <c r="K63" s="355" t="s">
        <v>45</v>
      </c>
      <c r="L63" s="355" t="str">
        <f>L55</f>
        <v>PmO</v>
      </c>
      <c r="M63" s="355" t="s">
        <v>49</v>
      </c>
      <c r="N63" s="845"/>
      <c r="P63" s="842"/>
      <c r="Q63" s="355" t="str">
        <f>Q55</f>
        <v>Demande mensuelle</v>
      </c>
      <c r="R63" s="355" t="s">
        <v>44</v>
      </c>
      <c r="S63" s="355" t="str">
        <f>S55</f>
        <v>Achalandage mensuel</v>
      </c>
      <c r="T63" s="355" t="s">
        <v>45</v>
      </c>
      <c r="U63" s="355" t="s">
        <v>46</v>
      </c>
      <c r="V63" s="355" t="str">
        <f>V55</f>
        <v>Um/A</v>
      </c>
      <c r="W63" s="355" t="s">
        <v>45</v>
      </c>
      <c r="X63" s="355" t="str">
        <f>X55</f>
        <v>PmO</v>
      </c>
      <c r="Y63" s="355" t="s">
        <v>49</v>
      </c>
      <c r="Z63" s="845"/>
      <c r="AB63" s="842"/>
      <c r="AC63" s="355" t="str">
        <f>AC55</f>
        <v>Demande mensuelle</v>
      </c>
      <c r="AD63" s="355" t="s">
        <v>44</v>
      </c>
      <c r="AE63" s="355" t="str">
        <f>AE55</f>
        <v>Achalandage mensuel</v>
      </c>
      <c r="AF63" s="355" t="s">
        <v>45</v>
      </c>
      <c r="AG63" s="355" t="s">
        <v>46</v>
      </c>
      <c r="AH63" s="355" t="str">
        <f>AH55</f>
        <v>Um/A</v>
      </c>
      <c r="AI63" s="355" t="s">
        <v>45</v>
      </c>
      <c r="AJ63" s="355" t="str">
        <f>AJ55</f>
        <v>PmO</v>
      </c>
      <c r="AK63" s="355" t="s">
        <v>49</v>
      </c>
      <c r="AL63" s="845"/>
      <c r="AN63" s="842"/>
      <c r="AO63" s="355" t="str">
        <f>AO55</f>
        <v>Demande mensuelle</v>
      </c>
      <c r="AP63" s="355" t="s">
        <v>44</v>
      </c>
      <c r="AQ63" s="355" t="str">
        <f>AQ55</f>
        <v>Achalandage mensuel</v>
      </c>
      <c r="AR63" s="355" t="s">
        <v>45</v>
      </c>
      <c r="AS63" s="355" t="s">
        <v>46</v>
      </c>
      <c r="AT63" s="355" t="str">
        <f>AT55</f>
        <v>Um/A</v>
      </c>
      <c r="AU63" s="355" t="s">
        <v>45</v>
      </c>
      <c r="AV63" s="355" t="str">
        <f>AV55</f>
        <v>PmO</v>
      </c>
      <c r="AW63" s="355" t="s">
        <v>49</v>
      </c>
      <c r="AX63" s="845"/>
      <c r="AZ63" s="842"/>
      <c r="BA63" s="355" t="str">
        <f>BA55</f>
        <v>Coût mensuel</v>
      </c>
      <c r="BB63" s="355" t="s">
        <v>44</v>
      </c>
      <c r="BC63" s="355" t="str">
        <f>BC55</f>
        <v>Achalandage mensuel</v>
      </c>
      <c r="BD63" s="355" t="s">
        <v>45</v>
      </c>
      <c r="BE63" s="355" t="s">
        <v>46</v>
      </c>
      <c r="BF63" s="355" t="str">
        <f>BF55</f>
        <v>Um/A</v>
      </c>
      <c r="BG63" s="355" t="s">
        <v>45</v>
      </c>
      <c r="BH63" s="355" t="str">
        <f>BH55</f>
        <v>CmO</v>
      </c>
      <c r="BI63" s="355" t="s">
        <v>49</v>
      </c>
      <c r="BJ63" s="845"/>
      <c r="BL63" s="842"/>
      <c r="BM63" s="355" t="str">
        <f>BM55</f>
        <v>Bénéfice mensuel</v>
      </c>
      <c r="BN63" s="355" t="s">
        <v>44</v>
      </c>
      <c r="BO63" s="355" t="str">
        <f>BO55</f>
        <v>Achalandage mensuel</v>
      </c>
      <c r="BP63" s="355" t="s">
        <v>45</v>
      </c>
      <c r="BQ63" s="355" t="s">
        <v>46</v>
      </c>
      <c r="BR63" s="355" t="str">
        <f>BR55</f>
        <v>Um/A</v>
      </c>
      <c r="BS63" s="355" t="s">
        <v>45</v>
      </c>
      <c r="BT63" s="355" t="str">
        <f>BT55</f>
        <v>BmO</v>
      </c>
      <c r="BU63" s="355" t="s">
        <v>49</v>
      </c>
      <c r="BV63" s="845"/>
    </row>
    <row r="64" spans="2:74" ht="19" x14ac:dyDescent="0.25">
      <c r="B64" s="889"/>
      <c r="C64" s="894"/>
      <c r="D64" s="842"/>
      <c r="E64" s="356" t="s">
        <v>2</v>
      </c>
      <c r="F64" s="357"/>
      <c r="G64" s="356"/>
      <c r="H64" s="357"/>
      <c r="I64" s="357"/>
      <c r="J64" s="357"/>
      <c r="K64" s="357"/>
      <c r="L64" s="357"/>
      <c r="M64" s="357"/>
      <c r="N64" s="845"/>
      <c r="P64" s="842"/>
      <c r="Q64" s="356" t="s">
        <v>2</v>
      </c>
      <c r="R64" s="357"/>
      <c r="S64" s="356"/>
      <c r="T64" s="357"/>
      <c r="U64" s="357"/>
      <c r="V64" s="357"/>
      <c r="W64" s="357"/>
      <c r="X64" s="357"/>
      <c r="Y64" s="357"/>
      <c r="Z64" s="845"/>
      <c r="AB64" s="842"/>
      <c r="AC64" s="356" t="s">
        <v>2</v>
      </c>
      <c r="AD64" s="357"/>
      <c r="AE64" s="356"/>
      <c r="AF64" s="357"/>
      <c r="AG64" s="357"/>
      <c r="AH64" s="357"/>
      <c r="AI64" s="357"/>
      <c r="AJ64" s="357"/>
      <c r="AK64" s="357"/>
      <c r="AL64" s="845"/>
      <c r="AN64" s="842"/>
      <c r="AO64" s="356" t="s">
        <v>2</v>
      </c>
      <c r="AP64" s="357"/>
      <c r="AQ64" s="356"/>
      <c r="AR64" s="357"/>
      <c r="AS64" s="357"/>
      <c r="AT64" s="357"/>
      <c r="AU64" s="357"/>
      <c r="AV64" s="357"/>
      <c r="AW64" s="357"/>
      <c r="AX64" s="845"/>
      <c r="AZ64" s="842"/>
      <c r="BA64" s="356" t="s">
        <v>2</v>
      </c>
      <c r="BB64" s="357"/>
      <c r="BC64" s="356"/>
      <c r="BD64" s="357"/>
      <c r="BE64" s="357"/>
      <c r="BF64" s="357"/>
      <c r="BG64" s="357"/>
      <c r="BH64" s="357"/>
      <c r="BI64" s="357"/>
      <c r="BJ64" s="845"/>
      <c r="BL64" s="842"/>
      <c r="BM64" s="356" t="s">
        <v>2</v>
      </c>
      <c r="BN64" s="357"/>
      <c r="BO64" s="356"/>
      <c r="BP64" s="357"/>
      <c r="BQ64" s="357"/>
      <c r="BR64" s="357"/>
      <c r="BS64" s="357"/>
      <c r="BT64" s="357"/>
      <c r="BU64" s="357"/>
      <c r="BV64" s="845"/>
    </row>
    <row r="65" spans="2:74" ht="26" x14ac:dyDescent="0.3">
      <c r="B65" s="889"/>
      <c r="C65" s="894"/>
      <c r="D65" s="842"/>
      <c r="E65" s="358" t="str">
        <f>E57</f>
        <v>D</v>
      </c>
      <c r="F65" s="359"/>
      <c r="G65" s="358" t="str">
        <f>G57</f>
        <v>A</v>
      </c>
      <c r="H65" s="359"/>
      <c r="I65" s="359"/>
      <c r="J65" s="358" t="str">
        <f>+J63</f>
        <v>Um/A</v>
      </c>
      <c r="K65" s="359"/>
      <c r="L65" s="358" t="str">
        <f>+L63</f>
        <v>PmO</v>
      </c>
      <c r="M65" s="359"/>
      <c r="N65" s="845"/>
      <c r="P65" s="842"/>
      <c r="Q65" s="358" t="str">
        <f>Q57</f>
        <v>D</v>
      </c>
      <c r="R65" s="359"/>
      <c r="S65" s="358" t="str">
        <f>S57</f>
        <v>A</v>
      </c>
      <c r="T65" s="359"/>
      <c r="U65" s="359"/>
      <c r="V65" s="358" t="str">
        <f>+V63</f>
        <v>Um/A</v>
      </c>
      <c r="W65" s="359"/>
      <c r="X65" s="358" t="str">
        <f>+X63</f>
        <v>PmO</v>
      </c>
      <c r="Y65" s="359"/>
      <c r="Z65" s="845"/>
      <c r="AB65" s="842"/>
      <c r="AC65" s="358" t="str">
        <f>AC57</f>
        <v>D</v>
      </c>
      <c r="AD65" s="359"/>
      <c r="AE65" s="358" t="str">
        <f>AE57</f>
        <v>A</v>
      </c>
      <c r="AF65" s="359"/>
      <c r="AG65" s="359"/>
      <c r="AH65" s="358" t="str">
        <f>+AH63</f>
        <v>Um/A</v>
      </c>
      <c r="AI65" s="359"/>
      <c r="AJ65" s="358" t="str">
        <f>+AJ63</f>
        <v>PmO</v>
      </c>
      <c r="AK65" s="359"/>
      <c r="AL65" s="845"/>
      <c r="AN65" s="842"/>
      <c r="AO65" s="358" t="str">
        <f>AO57</f>
        <v>D</v>
      </c>
      <c r="AP65" s="359"/>
      <c r="AQ65" s="358" t="str">
        <f>AQ57</f>
        <v>A</v>
      </c>
      <c r="AR65" s="359"/>
      <c r="AS65" s="359"/>
      <c r="AT65" s="358" t="str">
        <f>+AT63</f>
        <v>Um/A</v>
      </c>
      <c r="AU65" s="359"/>
      <c r="AV65" s="358" t="str">
        <f>+AV63</f>
        <v>PmO</v>
      </c>
      <c r="AW65" s="359"/>
      <c r="AX65" s="845"/>
      <c r="AZ65" s="842"/>
      <c r="BA65" s="358" t="str">
        <f>BA57</f>
        <v xml:space="preserve">C </v>
      </c>
      <c r="BB65" s="359"/>
      <c r="BC65" s="358" t="str">
        <f>BC57</f>
        <v>A</v>
      </c>
      <c r="BD65" s="359"/>
      <c r="BE65" s="359"/>
      <c r="BF65" s="358" t="str">
        <f>+BF63</f>
        <v>Um/A</v>
      </c>
      <c r="BG65" s="359"/>
      <c r="BH65" s="358" t="str">
        <f>+BH63</f>
        <v>CmO</v>
      </c>
      <c r="BI65" s="359"/>
      <c r="BJ65" s="845"/>
      <c r="BL65" s="842"/>
      <c r="BM65" s="358" t="str">
        <f>BM57</f>
        <v xml:space="preserve">B </v>
      </c>
      <c r="BN65" s="359"/>
      <c r="BO65" s="358" t="str">
        <f>BO57</f>
        <v>A</v>
      </c>
      <c r="BP65" s="359"/>
      <c r="BQ65" s="359"/>
      <c r="BR65" s="358" t="str">
        <f>+BR63</f>
        <v>Um/A</v>
      </c>
      <c r="BS65" s="359"/>
      <c r="BT65" s="358" t="str">
        <f>+BT63</f>
        <v>BmO</v>
      </c>
      <c r="BU65" s="359"/>
      <c r="BV65" s="845"/>
    </row>
    <row r="66" spans="2:74" ht="21" x14ac:dyDescent="0.25">
      <c r="B66" s="889"/>
      <c r="C66" s="894"/>
      <c r="D66" s="842"/>
      <c r="E66" s="340">
        <f>+Q66+AC66+AO66</f>
        <v>68949.27</v>
      </c>
      <c r="F66" s="355" t="s">
        <v>44</v>
      </c>
      <c r="G66" s="341">
        <f>'% Occupation'!K19</f>
        <v>2790</v>
      </c>
      <c r="H66" s="355" t="s">
        <v>45</v>
      </c>
      <c r="I66" s="355" t="s">
        <v>46</v>
      </c>
      <c r="J66" s="342">
        <f>+V66+AH66+AT66</f>
        <v>2.2200000000000002</v>
      </c>
      <c r="K66" s="355" t="s">
        <v>45</v>
      </c>
      <c r="L66" s="343">
        <f>E66/G66/J66</f>
        <v>11.131981981981982</v>
      </c>
      <c r="M66" s="355" t="s">
        <v>49</v>
      </c>
      <c r="N66" s="845"/>
      <c r="P66" s="842"/>
      <c r="Q66" s="340">
        <f>+S66*(V66*X66)</f>
        <v>49383.000000000007</v>
      </c>
      <c r="R66" s="355" t="s">
        <v>44</v>
      </c>
      <c r="S66" s="341">
        <f>G66</f>
        <v>2790</v>
      </c>
      <c r="T66" s="355" t="s">
        <v>45</v>
      </c>
      <c r="U66" s="355" t="s">
        <v>46</v>
      </c>
      <c r="V66" s="378">
        <v>1.5</v>
      </c>
      <c r="W66" s="355" t="s">
        <v>45</v>
      </c>
      <c r="X66" s="379">
        <v>11.8</v>
      </c>
      <c r="Y66" s="355" t="s">
        <v>49</v>
      </c>
      <c r="Z66" s="845"/>
      <c r="AB66" s="842"/>
      <c r="AC66" s="340">
        <f>+AE66*(AH66*AJ66)</f>
        <v>17909.009999999998</v>
      </c>
      <c r="AD66" s="355" t="s">
        <v>44</v>
      </c>
      <c r="AE66" s="341">
        <f>S66</f>
        <v>2790</v>
      </c>
      <c r="AF66" s="355" t="s">
        <v>45</v>
      </c>
      <c r="AG66" s="355" t="s">
        <v>46</v>
      </c>
      <c r="AH66" s="378">
        <v>0.7</v>
      </c>
      <c r="AI66" s="355" t="s">
        <v>45</v>
      </c>
      <c r="AJ66" s="379">
        <v>9.17</v>
      </c>
      <c r="AK66" s="355" t="s">
        <v>49</v>
      </c>
      <c r="AL66" s="845"/>
      <c r="AN66" s="842"/>
      <c r="AO66" s="340">
        <f>+AQ66*(AT66*AV66)</f>
        <v>1657.26</v>
      </c>
      <c r="AP66" s="355" t="s">
        <v>44</v>
      </c>
      <c r="AQ66" s="341">
        <f>AE66</f>
        <v>2790</v>
      </c>
      <c r="AR66" s="355" t="s">
        <v>45</v>
      </c>
      <c r="AS66" s="355" t="s">
        <v>46</v>
      </c>
      <c r="AT66" s="378">
        <v>0.02</v>
      </c>
      <c r="AU66" s="355" t="s">
        <v>45</v>
      </c>
      <c r="AV66" s="379">
        <v>29.7</v>
      </c>
      <c r="AW66" s="355" t="s">
        <v>49</v>
      </c>
      <c r="AX66" s="845"/>
      <c r="AZ66" s="842"/>
      <c r="BA66" s="340">
        <f>'État des Résultats'!Z14-'État des Résultats'!Z45</f>
        <v>49453.822920444851</v>
      </c>
      <c r="BB66" s="355" t="s">
        <v>44</v>
      </c>
      <c r="BC66" s="341">
        <f>G66</f>
        <v>2790</v>
      </c>
      <c r="BD66" s="355" t="s">
        <v>45</v>
      </c>
      <c r="BE66" s="355" t="s">
        <v>46</v>
      </c>
      <c r="BF66" s="342">
        <f>J66</f>
        <v>2.2200000000000002</v>
      </c>
      <c r="BG66" s="355" t="s">
        <v>45</v>
      </c>
      <c r="BH66" s="343">
        <f>BA66/BC66/BF66</f>
        <v>7.9844074591437959</v>
      </c>
      <c r="BI66" s="355" t="s">
        <v>49</v>
      </c>
      <c r="BJ66" s="845"/>
      <c r="BL66" s="842"/>
      <c r="BM66" s="340">
        <f>'État des Résultats'!Z45</f>
        <v>19495.447079555153</v>
      </c>
      <c r="BN66" s="355" t="s">
        <v>44</v>
      </c>
      <c r="BO66" s="341">
        <f>G66</f>
        <v>2790</v>
      </c>
      <c r="BP66" s="355" t="s">
        <v>45</v>
      </c>
      <c r="BQ66" s="355" t="s">
        <v>46</v>
      </c>
      <c r="BR66" s="342">
        <f>J66</f>
        <v>2.2200000000000002</v>
      </c>
      <c r="BS66" s="355" t="s">
        <v>45</v>
      </c>
      <c r="BT66" s="343">
        <f>BM66/BO66/BR66</f>
        <v>3.1475745228381853</v>
      </c>
      <c r="BU66" s="355" t="s">
        <v>49</v>
      </c>
      <c r="BV66" s="845"/>
    </row>
    <row r="67" spans="2:74" ht="17" thickBot="1" x14ac:dyDescent="0.25">
      <c r="B67" s="889"/>
      <c r="C67" s="894"/>
      <c r="D67" s="843"/>
      <c r="E67" s="360"/>
      <c r="F67" s="360"/>
      <c r="G67" s="360"/>
      <c r="H67" s="360"/>
      <c r="I67" s="360"/>
      <c r="J67" s="360"/>
      <c r="K67" s="360"/>
      <c r="L67" s="360"/>
      <c r="M67" s="360"/>
      <c r="N67" s="846"/>
      <c r="P67" s="843"/>
      <c r="Q67" s="360"/>
      <c r="R67" s="360"/>
      <c r="S67" s="360"/>
      <c r="T67" s="360"/>
      <c r="U67" s="360"/>
      <c r="V67" s="360"/>
      <c r="W67" s="360"/>
      <c r="X67" s="360"/>
      <c r="Y67" s="360"/>
      <c r="Z67" s="846"/>
      <c r="AB67" s="843"/>
      <c r="AC67" s="360"/>
      <c r="AD67" s="360"/>
      <c r="AE67" s="360"/>
      <c r="AF67" s="360"/>
      <c r="AG67" s="360"/>
      <c r="AH67" s="360"/>
      <c r="AI67" s="360"/>
      <c r="AJ67" s="360"/>
      <c r="AK67" s="360"/>
      <c r="AL67" s="846"/>
      <c r="AN67" s="843"/>
      <c r="AO67" s="360"/>
      <c r="AP67" s="360"/>
      <c r="AQ67" s="360"/>
      <c r="AR67" s="360"/>
      <c r="AS67" s="360"/>
      <c r="AT67" s="360"/>
      <c r="AU67" s="360"/>
      <c r="AV67" s="360"/>
      <c r="AW67" s="360"/>
      <c r="AX67" s="846"/>
      <c r="AZ67" s="843"/>
      <c r="BA67" s="360"/>
      <c r="BB67" s="360"/>
      <c r="BC67" s="360"/>
      <c r="BD67" s="360"/>
      <c r="BE67" s="360"/>
      <c r="BF67" s="360"/>
      <c r="BG67" s="360"/>
      <c r="BH67" s="360"/>
      <c r="BI67" s="360"/>
      <c r="BJ67" s="846"/>
      <c r="BL67" s="843"/>
      <c r="BM67" s="360"/>
      <c r="BN67" s="360"/>
      <c r="BO67" s="360"/>
      <c r="BP67" s="360"/>
      <c r="BQ67" s="360"/>
      <c r="BR67" s="360"/>
      <c r="BS67" s="360"/>
      <c r="BT67" s="360"/>
      <c r="BU67" s="360"/>
      <c r="BV67" s="846"/>
    </row>
    <row r="68" spans="2:74" ht="5" customHeight="1" thickTop="1" thickBot="1" x14ac:dyDescent="0.2">
      <c r="B68" s="889"/>
      <c r="C68" s="210"/>
    </row>
    <row r="69" spans="2:74" ht="17" thickTop="1" x14ac:dyDescent="0.2">
      <c r="B69" s="889"/>
      <c r="C69" s="894"/>
      <c r="D69" s="841" t="s">
        <v>42</v>
      </c>
      <c r="E69" s="353"/>
      <c r="F69" s="353"/>
      <c r="G69" s="353"/>
      <c r="H69" s="353"/>
      <c r="I69" s="353"/>
      <c r="J69" s="353"/>
      <c r="K69" s="353"/>
      <c r="L69" s="353"/>
      <c r="M69" s="353"/>
      <c r="N69" s="844" t="s">
        <v>43</v>
      </c>
      <c r="P69" s="841" t="s">
        <v>42</v>
      </c>
      <c r="Q69" s="353"/>
      <c r="R69" s="353"/>
      <c r="S69" s="353"/>
      <c r="T69" s="353"/>
      <c r="U69" s="353"/>
      <c r="V69" s="353"/>
      <c r="W69" s="353"/>
      <c r="X69" s="353"/>
      <c r="Y69" s="353"/>
      <c r="Z69" s="844" t="s">
        <v>43</v>
      </c>
      <c r="AB69" s="841" t="s">
        <v>42</v>
      </c>
      <c r="AC69" s="353"/>
      <c r="AD69" s="353"/>
      <c r="AE69" s="353"/>
      <c r="AF69" s="353"/>
      <c r="AG69" s="353"/>
      <c r="AH69" s="353"/>
      <c r="AI69" s="353"/>
      <c r="AJ69" s="353"/>
      <c r="AK69" s="353"/>
      <c r="AL69" s="844" t="s">
        <v>43</v>
      </c>
      <c r="AN69" s="841" t="s">
        <v>42</v>
      </c>
      <c r="AO69" s="353"/>
      <c r="AP69" s="353"/>
      <c r="AQ69" s="353"/>
      <c r="AR69" s="353"/>
      <c r="AS69" s="353"/>
      <c r="AT69" s="353"/>
      <c r="AU69" s="353"/>
      <c r="AV69" s="353"/>
      <c r="AW69" s="353"/>
      <c r="AX69" s="844" t="s">
        <v>43</v>
      </c>
      <c r="AZ69" s="841" t="s">
        <v>42</v>
      </c>
      <c r="BA69" s="353"/>
      <c r="BB69" s="353"/>
      <c r="BC69" s="353"/>
      <c r="BD69" s="353"/>
      <c r="BE69" s="353"/>
      <c r="BF69" s="353"/>
      <c r="BG69" s="353"/>
      <c r="BH69" s="353"/>
      <c r="BI69" s="353"/>
      <c r="BJ69" s="844" t="s">
        <v>43</v>
      </c>
      <c r="BL69" s="841" t="s">
        <v>42</v>
      </c>
      <c r="BM69" s="353"/>
      <c r="BN69" s="353"/>
      <c r="BO69" s="353"/>
      <c r="BP69" s="353"/>
      <c r="BQ69" s="353"/>
      <c r="BR69" s="353"/>
      <c r="BS69" s="353"/>
      <c r="BT69" s="353"/>
      <c r="BU69" s="353"/>
      <c r="BV69" s="844" t="s">
        <v>43</v>
      </c>
    </row>
    <row r="70" spans="2:74" ht="16" x14ac:dyDescent="0.2">
      <c r="B70" s="889"/>
      <c r="C70" s="894"/>
      <c r="D70" s="842"/>
      <c r="E70" s="354"/>
      <c r="F70" s="354"/>
      <c r="G70" s="354"/>
      <c r="H70" s="354"/>
      <c r="I70" s="354"/>
      <c r="J70" s="354"/>
      <c r="K70" s="354"/>
      <c r="L70" s="354"/>
      <c r="M70" s="354"/>
      <c r="N70" s="845"/>
      <c r="P70" s="842"/>
      <c r="Q70" s="354"/>
      <c r="R70" s="354"/>
      <c r="S70" s="354"/>
      <c r="T70" s="354"/>
      <c r="U70" s="354"/>
      <c r="V70" s="354"/>
      <c r="W70" s="354"/>
      <c r="X70" s="354"/>
      <c r="Y70" s="354"/>
      <c r="Z70" s="845"/>
      <c r="AB70" s="842"/>
      <c r="AC70" s="354"/>
      <c r="AD70" s="354"/>
      <c r="AE70" s="354"/>
      <c r="AF70" s="354"/>
      <c r="AG70" s="354"/>
      <c r="AH70" s="354"/>
      <c r="AI70" s="354"/>
      <c r="AJ70" s="354"/>
      <c r="AK70" s="354"/>
      <c r="AL70" s="845"/>
      <c r="AN70" s="842"/>
      <c r="AO70" s="354"/>
      <c r="AP70" s="354"/>
      <c r="AQ70" s="354"/>
      <c r="AR70" s="354"/>
      <c r="AS70" s="354"/>
      <c r="AT70" s="354"/>
      <c r="AU70" s="354"/>
      <c r="AV70" s="354"/>
      <c r="AW70" s="354"/>
      <c r="AX70" s="845"/>
      <c r="AZ70" s="842"/>
      <c r="BA70" s="354"/>
      <c r="BB70" s="354"/>
      <c r="BC70" s="354"/>
      <c r="BD70" s="354"/>
      <c r="BE70" s="354"/>
      <c r="BF70" s="354"/>
      <c r="BG70" s="354"/>
      <c r="BH70" s="354"/>
      <c r="BI70" s="354"/>
      <c r="BJ70" s="845"/>
      <c r="BL70" s="842"/>
      <c r="BM70" s="354"/>
      <c r="BN70" s="354"/>
      <c r="BO70" s="354"/>
      <c r="BP70" s="354"/>
      <c r="BQ70" s="354"/>
      <c r="BR70" s="354"/>
      <c r="BS70" s="354"/>
      <c r="BT70" s="354"/>
      <c r="BU70" s="354"/>
      <c r="BV70" s="845"/>
    </row>
    <row r="71" spans="2:74" ht="21" x14ac:dyDescent="0.25">
      <c r="B71" s="889"/>
      <c r="C71" s="894"/>
      <c r="D71" s="842"/>
      <c r="E71" s="355" t="str">
        <f>E63</f>
        <v>Demande mensuelle</v>
      </c>
      <c r="F71" s="355" t="s">
        <v>44</v>
      </c>
      <c r="G71" s="355" t="str">
        <f>G63</f>
        <v>Achalandage mensuel</v>
      </c>
      <c r="H71" s="355" t="s">
        <v>45</v>
      </c>
      <c r="I71" s="355" t="s">
        <v>46</v>
      </c>
      <c r="J71" s="355" t="str">
        <f>J63</f>
        <v>Um/A</v>
      </c>
      <c r="K71" s="355" t="s">
        <v>45</v>
      </c>
      <c r="L71" s="355" t="str">
        <f>L63</f>
        <v>PmO</v>
      </c>
      <c r="M71" s="355" t="s">
        <v>49</v>
      </c>
      <c r="N71" s="845"/>
      <c r="P71" s="842"/>
      <c r="Q71" s="355" t="str">
        <f>Q63</f>
        <v>Demande mensuelle</v>
      </c>
      <c r="R71" s="355" t="s">
        <v>44</v>
      </c>
      <c r="S71" s="355" t="str">
        <f>S63</f>
        <v>Achalandage mensuel</v>
      </c>
      <c r="T71" s="355" t="s">
        <v>45</v>
      </c>
      <c r="U71" s="355" t="s">
        <v>46</v>
      </c>
      <c r="V71" s="355" t="str">
        <f>V63</f>
        <v>Um/A</v>
      </c>
      <c r="W71" s="355" t="s">
        <v>45</v>
      </c>
      <c r="X71" s="355" t="str">
        <f>X63</f>
        <v>PmO</v>
      </c>
      <c r="Y71" s="355" t="s">
        <v>49</v>
      </c>
      <c r="Z71" s="845"/>
      <c r="AB71" s="842"/>
      <c r="AC71" s="355" t="str">
        <f>AC63</f>
        <v>Demande mensuelle</v>
      </c>
      <c r="AD71" s="355" t="s">
        <v>44</v>
      </c>
      <c r="AE71" s="355" t="str">
        <f>AE63</f>
        <v>Achalandage mensuel</v>
      </c>
      <c r="AF71" s="355" t="s">
        <v>45</v>
      </c>
      <c r="AG71" s="355" t="s">
        <v>46</v>
      </c>
      <c r="AH71" s="355" t="str">
        <f>AH63</f>
        <v>Um/A</v>
      </c>
      <c r="AI71" s="355" t="s">
        <v>45</v>
      </c>
      <c r="AJ71" s="355" t="str">
        <f>AJ63</f>
        <v>PmO</v>
      </c>
      <c r="AK71" s="355" t="s">
        <v>49</v>
      </c>
      <c r="AL71" s="845"/>
      <c r="AN71" s="842"/>
      <c r="AO71" s="355" t="str">
        <f>AO63</f>
        <v>Demande mensuelle</v>
      </c>
      <c r="AP71" s="355" t="s">
        <v>44</v>
      </c>
      <c r="AQ71" s="355" t="str">
        <f>AQ63</f>
        <v>Achalandage mensuel</v>
      </c>
      <c r="AR71" s="355" t="s">
        <v>45</v>
      </c>
      <c r="AS71" s="355" t="s">
        <v>46</v>
      </c>
      <c r="AT71" s="355" t="str">
        <f>AT63</f>
        <v>Um/A</v>
      </c>
      <c r="AU71" s="355" t="s">
        <v>45</v>
      </c>
      <c r="AV71" s="355" t="str">
        <f>AV63</f>
        <v>PmO</v>
      </c>
      <c r="AW71" s="355" t="s">
        <v>49</v>
      </c>
      <c r="AX71" s="845"/>
      <c r="AZ71" s="842"/>
      <c r="BA71" s="355" t="str">
        <f>BA63</f>
        <v>Coût mensuel</v>
      </c>
      <c r="BB71" s="355" t="s">
        <v>44</v>
      </c>
      <c r="BC71" s="355" t="str">
        <f>BC63</f>
        <v>Achalandage mensuel</v>
      </c>
      <c r="BD71" s="355" t="s">
        <v>45</v>
      </c>
      <c r="BE71" s="355" t="s">
        <v>46</v>
      </c>
      <c r="BF71" s="355" t="str">
        <f>BF63</f>
        <v>Um/A</v>
      </c>
      <c r="BG71" s="355" t="s">
        <v>45</v>
      </c>
      <c r="BH71" s="355" t="str">
        <f>BH63</f>
        <v>CmO</v>
      </c>
      <c r="BI71" s="355" t="s">
        <v>49</v>
      </c>
      <c r="BJ71" s="845"/>
      <c r="BL71" s="842"/>
      <c r="BM71" s="355" t="str">
        <f>BM63</f>
        <v>Bénéfice mensuel</v>
      </c>
      <c r="BN71" s="355" t="s">
        <v>44</v>
      </c>
      <c r="BO71" s="355" t="str">
        <f>BO63</f>
        <v>Achalandage mensuel</v>
      </c>
      <c r="BP71" s="355" t="s">
        <v>45</v>
      </c>
      <c r="BQ71" s="355" t="s">
        <v>46</v>
      </c>
      <c r="BR71" s="355" t="str">
        <f>BR63</f>
        <v>Um/A</v>
      </c>
      <c r="BS71" s="355" t="s">
        <v>45</v>
      </c>
      <c r="BT71" s="355" t="str">
        <f>BT63</f>
        <v>BmO</v>
      </c>
      <c r="BU71" s="355" t="s">
        <v>49</v>
      </c>
      <c r="BV71" s="845"/>
    </row>
    <row r="72" spans="2:74" ht="19" x14ac:dyDescent="0.25">
      <c r="B72" s="889"/>
      <c r="C72" s="894"/>
      <c r="D72" s="842"/>
      <c r="E72" s="356" t="s">
        <v>2</v>
      </c>
      <c r="F72" s="357"/>
      <c r="G72" s="356"/>
      <c r="H72" s="357"/>
      <c r="I72" s="357"/>
      <c r="J72" s="357"/>
      <c r="K72" s="357"/>
      <c r="L72" s="357"/>
      <c r="M72" s="357"/>
      <c r="N72" s="845"/>
      <c r="P72" s="842"/>
      <c r="Q72" s="356" t="s">
        <v>2</v>
      </c>
      <c r="R72" s="357"/>
      <c r="S72" s="356"/>
      <c r="T72" s="357"/>
      <c r="U72" s="357"/>
      <c r="V72" s="357"/>
      <c r="W72" s="357"/>
      <c r="X72" s="357"/>
      <c r="Y72" s="357"/>
      <c r="Z72" s="845"/>
      <c r="AB72" s="842"/>
      <c r="AC72" s="356" t="s">
        <v>2</v>
      </c>
      <c r="AD72" s="357"/>
      <c r="AE72" s="356"/>
      <c r="AF72" s="357"/>
      <c r="AG72" s="357"/>
      <c r="AH72" s="357"/>
      <c r="AI72" s="357"/>
      <c r="AJ72" s="357"/>
      <c r="AK72" s="357"/>
      <c r="AL72" s="845"/>
      <c r="AN72" s="842"/>
      <c r="AO72" s="356" t="s">
        <v>2</v>
      </c>
      <c r="AP72" s="357"/>
      <c r="AQ72" s="356"/>
      <c r="AR72" s="357"/>
      <c r="AS72" s="357"/>
      <c r="AT72" s="357"/>
      <c r="AU72" s="357"/>
      <c r="AV72" s="357"/>
      <c r="AW72" s="357"/>
      <c r="AX72" s="845"/>
      <c r="AZ72" s="842"/>
      <c r="BA72" s="356" t="s">
        <v>2</v>
      </c>
      <c r="BB72" s="357"/>
      <c r="BC72" s="356"/>
      <c r="BD72" s="357"/>
      <c r="BE72" s="357"/>
      <c r="BF72" s="357"/>
      <c r="BG72" s="357"/>
      <c r="BH72" s="357"/>
      <c r="BI72" s="357"/>
      <c r="BJ72" s="845"/>
      <c r="BL72" s="842"/>
      <c r="BM72" s="356" t="s">
        <v>2</v>
      </c>
      <c r="BN72" s="357"/>
      <c r="BO72" s="356"/>
      <c r="BP72" s="357"/>
      <c r="BQ72" s="357"/>
      <c r="BR72" s="357"/>
      <c r="BS72" s="357"/>
      <c r="BT72" s="357"/>
      <c r="BU72" s="357"/>
      <c r="BV72" s="845"/>
    </row>
    <row r="73" spans="2:74" ht="26" x14ac:dyDescent="0.3">
      <c r="B73" s="889"/>
      <c r="C73" s="894"/>
      <c r="D73" s="842"/>
      <c r="E73" s="358" t="str">
        <f>E65</f>
        <v>D</v>
      </c>
      <c r="F73" s="359"/>
      <c r="G73" s="358" t="str">
        <f>G65</f>
        <v>A</v>
      </c>
      <c r="H73" s="359"/>
      <c r="I73" s="359"/>
      <c r="J73" s="358" t="str">
        <f>+J71</f>
        <v>Um/A</v>
      </c>
      <c r="K73" s="359"/>
      <c r="L73" s="358" t="str">
        <f>+L71</f>
        <v>PmO</v>
      </c>
      <c r="M73" s="359"/>
      <c r="N73" s="845"/>
      <c r="P73" s="842"/>
      <c r="Q73" s="358" t="str">
        <f>Q65</f>
        <v>D</v>
      </c>
      <c r="R73" s="359"/>
      <c r="S73" s="358" t="str">
        <f>S65</f>
        <v>A</v>
      </c>
      <c r="T73" s="359"/>
      <c r="U73" s="359"/>
      <c r="V73" s="358" t="str">
        <f>+V71</f>
        <v>Um/A</v>
      </c>
      <c r="W73" s="359"/>
      <c r="X73" s="358" t="str">
        <f>+X71</f>
        <v>PmO</v>
      </c>
      <c r="Y73" s="359"/>
      <c r="Z73" s="845"/>
      <c r="AB73" s="842"/>
      <c r="AC73" s="358" t="str">
        <f>AC65</f>
        <v>D</v>
      </c>
      <c r="AD73" s="359"/>
      <c r="AE73" s="358" t="str">
        <f>AE65</f>
        <v>A</v>
      </c>
      <c r="AF73" s="359"/>
      <c r="AG73" s="359"/>
      <c r="AH73" s="358" t="str">
        <f>+AH71</f>
        <v>Um/A</v>
      </c>
      <c r="AI73" s="359"/>
      <c r="AJ73" s="358" t="str">
        <f>+AJ71</f>
        <v>PmO</v>
      </c>
      <c r="AK73" s="359"/>
      <c r="AL73" s="845"/>
      <c r="AN73" s="842"/>
      <c r="AO73" s="358" t="str">
        <f>AO65</f>
        <v>D</v>
      </c>
      <c r="AP73" s="359"/>
      <c r="AQ73" s="358" t="str">
        <f>AQ65</f>
        <v>A</v>
      </c>
      <c r="AR73" s="359"/>
      <c r="AS73" s="359"/>
      <c r="AT73" s="358" t="str">
        <f>+AT71</f>
        <v>Um/A</v>
      </c>
      <c r="AU73" s="359"/>
      <c r="AV73" s="358" t="str">
        <f>+AV71</f>
        <v>PmO</v>
      </c>
      <c r="AW73" s="359"/>
      <c r="AX73" s="845"/>
      <c r="AZ73" s="842"/>
      <c r="BA73" s="358" t="str">
        <f>BA65</f>
        <v xml:space="preserve">C </v>
      </c>
      <c r="BB73" s="359"/>
      <c r="BC73" s="358" t="str">
        <f>BC65</f>
        <v>A</v>
      </c>
      <c r="BD73" s="359"/>
      <c r="BE73" s="359"/>
      <c r="BF73" s="358" t="str">
        <f>+BF71</f>
        <v>Um/A</v>
      </c>
      <c r="BG73" s="359"/>
      <c r="BH73" s="358" t="str">
        <f>+BH71</f>
        <v>CmO</v>
      </c>
      <c r="BI73" s="359"/>
      <c r="BJ73" s="845"/>
      <c r="BL73" s="842"/>
      <c r="BM73" s="358" t="str">
        <f>BM65</f>
        <v xml:space="preserve">B </v>
      </c>
      <c r="BN73" s="359"/>
      <c r="BO73" s="358" t="str">
        <f>BO65</f>
        <v>A</v>
      </c>
      <c r="BP73" s="359"/>
      <c r="BQ73" s="359"/>
      <c r="BR73" s="358" t="str">
        <f>+BR71</f>
        <v>Um/A</v>
      </c>
      <c r="BS73" s="359"/>
      <c r="BT73" s="358" t="str">
        <f>+BT71</f>
        <v>BmO</v>
      </c>
      <c r="BU73" s="359"/>
      <c r="BV73" s="845"/>
    </row>
    <row r="74" spans="2:74" ht="21" x14ac:dyDescent="0.25">
      <c r="B74" s="889"/>
      <c r="C74" s="894"/>
      <c r="D74" s="842"/>
      <c r="E74" s="340">
        <f>+Q74+AC74+AO74</f>
        <v>44483.4</v>
      </c>
      <c r="F74" s="355" t="s">
        <v>44</v>
      </c>
      <c r="G74" s="341">
        <f>'% Occupation'!L19</f>
        <v>1800</v>
      </c>
      <c r="H74" s="355" t="s">
        <v>45</v>
      </c>
      <c r="I74" s="355" t="s">
        <v>46</v>
      </c>
      <c r="J74" s="342">
        <f>+V74+AH74+AT74</f>
        <v>2.2200000000000002</v>
      </c>
      <c r="K74" s="355" t="s">
        <v>45</v>
      </c>
      <c r="L74" s="343">
        <f>E74/G74/J74</f>
        <v>11.131981981981982</v>
      </c>
      <c r="M74" s="355" t="s">
        <v>49</v>
      </c>
      <c r="N74" s="845"/>
      <c r="P74" s="842"/>
      <c r="Q74" s="340">
        <f>+S74*(V74*X74)</f>
        <v>31860.000000000004</v>
      </c>
      <c r="R74" s="355" t="s">
        <v>44</v>
      </c>
      <c r="S74" s="341">
        <f>G74</f>
        <v>1800</v>
      </c>
      <c r="T74" s="355" t="s">
        <v>45</v>
      </c>
      <c r="U74" s="355" t="s">
        <v>46</v>
      </c>
      <c r="V74" s="378">
        <v>1.5</v>
      </c>
      <c r="W74" s="355" t="s">
        <v>45</v>
      </c>
      <c r="X74" s="379">
        <v>11.8</v>
      </c>
      <c r="Y74" s="355" t="s">
        <v>49</v>
      </c>
      <c r="Z74" s="845"/>
      <c r="AB74" s="842"/>
      <c r="AC74" s="340">
        <f>+AE74*(AH74*AJ74)</f>
        <v>11554.199999999999</v>
      </c>
      <c r="AD74" s="355" t="s">
        <v>44</v>
      </c>
      <c r="AE74" s="341">
        <f>S74</f>
        <v>1800</v>
      </c>
      <c r="AF74" s="355" t="s">
        <v>45</v>
      </c>
      <c r="AG74" s="355" t="s">
        <v>46</v>
      </c>
      <c r="AH74" s="378">
        <v>0.7</v>
      </c>
      <c r="AI74" s="355" t="s">
        <v>45</v>
      </c>
      <c r="AJ74" s="379">
        <v>9.17</v>
      </c>
      <c r="AK74" s="355" t="s">
        <v>49</v>
      </c>
      <c r="AL74" s="845"/>
      <c r="AN74" s="842"/>
      <c r="AO74" s="340">
        <f>+AQ74*(AT74*AV74)</f>
        <v>1069.2</v>
      </c>
      <c r="AP74" s="355" t="s">
        <v>44</v>
      </c>
      <c r="AQ74" s="341">
        <f>AE74</f>
        <v>1800</v>
      </c>
      <c r="AR74" s="355" t="s">
        <v>45</v>
      </c>
      <c r="AS74" s="355" t="s">
        <v>46</v>
      </c>
      <c r="AT74" s="378">
        <v>0.02</v>
      </c>
      <c r="AU74" s="355" t="s">
        <v>45</v>
      </c>
      <c r="AV74" s="379">
        <v>29.7</v>
      </c>
      <c r="AW74" s="355" t="s">
        <v>49</v>
      </c>
      <c r="AX74" s="845"/>
      <c r="AZ74" s="842"/>
      <c r="BA74" s="340">
        <f>'État des Résultats'!AC14-'État des Résultats'!AC45</f>
        <v>37473.3599486741</v>
      </c>
      <c r="BB74" s="355" t="s">
        <v>44</v>
      </c>
      <c r="BC74" s="341">
        <f>G74</f>
        <v>1800</v>
      </c>
      <c r="BD74" s="355" t="s">
        <v>45</v>
      </c>
      <c r="BE74" s="355" t="s">
        <v>46</v>
      </c>
      <c r="BF74" s="342">
        <f>J74</f>
        <v>2.2200000000000002</v>
      </c>
      <c r="BG74" s="355" t="s">
        <v>45</v>
      </c>
      <c r="BH74" s="343">
        <f>BA74/BC74/BF74</f>
        <v>9.3777177048733975</v>
      </c>
      <c r="BI74" s="355" t="s">
        <v>49</v>
      </c>
      <c r="BJ74" s="845"/>
      <c r="BL74" s="842"/>
      <c r="BM74" s="340">
        <f>'État des Résultats'!AC45</f>
        <v>7010.0400513259046</v>
      </c>
      <c r="BN74" s="355" t="s">
        <v>44</v>
      </c>
      <c r="BO74" s="341">
        <f>G74</f>
        <v>1800</v>
      </c>
      <c r="BP74" s="355" t="s">
        <v>45</v>
      </c>
      <c r="BQ74" s="355" t="s">
        <v>46</v>
      </c>
      <c r="BR74" s="342">
        <f>J74</f>
        <v>2.2200000000000002</v>
      </c>
      <c r="BS74" s="355" t="s">
        <v>45</v>
      </c>
      <c r="BT74" s="343">
        <f>BM74/BO74/BR74</f>
        <v>1.7542642771085846</v>
      </c>
      <c r="BU74" s="355" t="s">
        <v>49</v>
      </c>
      <c r="BV74" s="845"/>
    </row>
    <row r="75" spans="2:74" ht="17" thickBot="1" x14ac:dyDescent="0.25">
      <c r="B75" s="889"/>
      <c r="C75" s="894"/>
      <c r="D75" s="843"/>
      <c r="E75" s="360"/>
      <c r="F75" s="360"/>
      <c r="G75" s="360"/>
      <c r="H75" s="360"/>
      <c r="I75" s="360"/>
      <c r="J75" s="360"/>
      <c r="K75" s="360"/>
      <c r="L75" s="360"/>
      <c r="M75" s="360"/>
      <c r="N75" s="846"/>
      <c r="P75" s="843"/>
      <c r="Q75" s="360"/>
      <c r="R75" s="360"/>
      <c r="S75" s="360"/>
      <c r="T75" s="360"/>
      <c r="U75" s="360"/>
      <c r="V75" s="360"/>
      <c r="W75" s="360"/>
      <c r="X75" s="360"/>
      <c r="Y75" s="360"/>
      <c r="Z75" s="846"/>
      <c r="AB75" s="843"/>
      <c r="AC75" s="360"/>
      <c r="AD75" s="360"/>
      <c r="AE75" s="360"/>
      <c r="AF75" s="360"/>
      <c r="AG75" s="360"/>
      <c r="AH75" s="360"/>
      <c r="AI75" s="360"/>
      <c r="AJ75" s="360"/>
      <c r="AK75" s="360"/>
      <c r="AL75" s="846"/>
      <c r="AN75" s="843"/>
      <c r="AO75" s="360"/>
      <c r="AP75" s="360"/>
      <c r="AQ75" s="360"/>
      <c r="AR75" s="360"/>
      <c r="AS75" s="360"/>
      <c r="AT75" s="360"/>
      <c r="AU75" s="360"/>
      <c r="AV75" s="360"/>
      <c r="AW75" s="360"/>
      <c r="AX75" s="846"/>
      <c r="AZ75" s="843"/>
      <c r="BA75" s="360"/>
      <c r="BB75" s="360"/>
      <c r="BC75" s="360"/>
      <c r="BD75" s="360"/>
      <c r="BE75" s="360"/>
      <c r="BF75" s="360"/>
      <c r="BG75" s="360"/>
      <c r="BH75" s="360"/>
      <c r="BI75" s="360"/>
      <c r="BJ75" s="846"/>
      <c r="BL75" s="843"/>
      <c r="BM75" s="360"/>
      <c r="BN75" s="360"/>
      <c r="BO75" s="360"/>
      <c r="BP75" s="360"/>
      <c r="BQ75" s="360"/>
      <c r="BR75" s="360"/>
      <c r="BS75" s="360"/>
      <c r="BT75" s="360"/>
      <c r="BU75" s="360"/>
      <c r="BV75" s="846"/>
    </row>
    <row r="76" spans="2:74" ht="10" customHeight="1" thickTop="1" thickBot="1" x14ac:dyDescent="0.2">
      <c r="C76" s="210"/>
    </row>
    <row r="77" spans="2:74" ht="17" thickTop="1" x14ac:dyDescent="0.2">
      <c r="B77" s="890">
        <v>4</v>
      </c>
      <c r="C77" s="893"/>
      <c r="D77" s="835" t="s">
        <v>42</v>
      </c>
      <c r="E77" s="361"/>
      <c r="F77" s="361"/>
      <c r="G77" s="361"/>
      <c r="H77" s="361"/>
      <c r="I77" s="361"/>
      <c r="J77" s="361"/>
      <c r="K77" s="361"/>
      <c r="L77" s="361"/>
      <c r="M77" s="361"/>
      <c r="N77" s="838" t="s">
        <v>43</v>
      </c>
      <c r="P77" s="835" t="s">
        <v>42</v>
      </c>
      <c r="Q77" s="361"/>
      <c r="R77" s="361"/>
      <c r="S77" s="361"/>
      <c r="T77" s="361"/>
      <c r="U77" s="361"/>
      <c r="V77" s="361"/>
      <c r="W77" s="361"/>
      <c r="X77" s="361"/>
      <c r="Y77" s="361"/>
      <c r="Z77" s="838" t="s">
        <v>43</v>
      </c>
      <c r="AB77" s="835" t="s">
        <v>42</v>
      </c>
      <c r="AC77" s="361"/>
      <c r="AD77" s="361"/>
      <c r="AE77" s="361"/>
      <c r="AF77" s="361"/>
      <c r="AG77" s="361"/>
      <c r="AH77" s="361"/>
      <c r="AI77" s="361"/>
      <c r="AJ77" s="361"/>
      <c r="AK77" s="361"/>
      <c r="AL77" s="838" t="s">
        <v>43</v>
      </c>
      <c r="AN77" s="835" t="s">
        <v>42</v>
      </c>
      <c r="AO77" s="361"/>
      <c r="AP77" s="361"/>
      <c r="AQ77" s="361"/>
      <c r="AR77" s="361"/>
      <c r="AS77" s="361"/>
      <c r="AT77" s="361"/>
      <c r="AU77" s="361"/>
      <c r="AV77" s="361"/>
      <c r="AW77" s="361"/>
      <c r="AX77" s="838" t="s">
        <v>43</v>
      </c>
      <c r="AZ77" s="835" t="s">
        <v>42</v>
      </c>
      <c r="BA77" s="361"/>
      <c r="BB77" s="361"/>
      <c r="BC77" s="361"/>
      <c r="BD77" s="361"/>
      <c r="BE77" s="361"/>
      <c r="BF77" s="361"/>
      <c r="BG77" s="361"/>
      <c r="BH77" s="361"/>
      <c r="BI77" s="361"/>
      <c r="BJ77" s="838" t="s">
        <v>43</v>
      </c>
      <c r="BL77" s="835" t="s">
        <v>42</v>
      </c>
      <c r="BM77" s="361"/>
      <c r="BN77" s="361"/>
      <c r="BO77" s="361"/>
      <c r="BP77" s="361"/>
      <c r="BQ77" s="361"/>
      <c r="BR77" s="361"/>
      <c r="BS77" s="361"/>
      <c r="BT77" s="361"/>
      <c r="BU77" s="361"/>
      <c r="BV77" s="838" t="s">
        <v>43</v>
      </c>
    </row>
    <row r="78" spans="2:74" ht="16" x14ac:dyDescent="0.2">
      <c r="B78" s="891"/>
      <c r="C78" s="893"/>
      <c r="D78" s="836"/>
      <c r="E78" s="362"/>
      <c r="F78" s="362"/>
      <c r="G78" s="362"/>
      <c r="H78" s="362"/>
      <c r="I78" s="362"/>
      <c r="J78" s="362"/>
      <c r="K78" s="362"/>
      <c r="L78" s="362"/>
      <c r="M78" s="362"/>
      <c r="N78" s="839"/>
      <c r="P78" s="836"/>
      <c r="Q78" s="362"/>
      <c r="R78" s="362"/>
      <c r="S78" s="362"/>
      <c r="T78" s="362"/>
      <c r="U78" s="362"/>
      <c r="V78" s="362"/>
      <c r="W78" s="362"/>
      <c r="X78" s="362"/>
      <c r="Y78" s="362"/>
      <c r="Z78" s="839"/>
      <c r="AB78" s="836"/>
      <c r="AC78" s="362"/>
      <c r="AD78" s="362"/>
      <c r="AE78" s="362"/>
      <c r="AF78" s="362"/>
      <c r="AG78" s="362"/>
      <c r="AH78" s="362"/>
      <c r="AI78" s="362"/>
      <c r="AJ78" s="362"/>
      <c r="AK78" s="362"/>
      <c r="AL78" s="839"/>
      <c r="AN78" s="836"/>
      <c r="AO78" s="362"/>
      <c r="AP78" s="362"/>
      <c r="AQ78" s="362"/>
      <c r="AR78" s="362"/>
      <c r="AS78" s="362"/>
      <c r="AT78" s="362"/>
      <c r="AU78" s="362"/>
      <c r="AV78" s="362"/>
      <c r="AW78" s="362"/>
      <c r="AX78" s="839"/>
      <c r="AZ78" s="836"/>
      <c r="BA78" s="362"/>
      <c r="BB78" s="362"/>
      <c r="BC78" s="362"/>
      <c r="BD78" s="362"/>
      <c r="BE78" s="362"/>
      <c r="BF78" s="362"/>
      <c r="BG78" s="362"/>
      <c r="BH78" s="362"/>
      <c r="BI78" s="362"/>
      <c r="BJ78" s="839"/>
      <c r="BL78" s="836"/>
      <c r="BM78" s="362"/>
      <c r="BN78" s="362"/>
      <c r="BO78" s="362"/>
      <c r="BP78" s="362"/>
      <c r="BQ78" s="362"/>
      <c r="BR78" s="362"/>
      <c r="BS78" s="362"/>
      <c r="BT78" s="362"/>
      <c r="BU78" s="362"/>
      <c r="BV78" s="839"/>
    </row>
    <row r="79" spans="2:74" ht="21" x14ac:dyDescent="0.25">
      <c r="B79" s="891"/>
      <c r="C79" s="893"/>
      <c r="D79" s="836"/>
      <c r="E79" s="363" t="str">
        <f>E71</f>
        <v>Demande mensuelle</v>
      </c>
      <c r="F79" s="363" t="s">
        <v>44</v>
      </c>
      <c r="G79" s="363" t="str">
        <f>G71</f>
        <v>Achalandage mensuel</v>
      </c>
      <c r="H79" s="363" t="s">
        <v>45</v>
      </c>
      <c r="I79" s="363" t="s">
        <v>46</v>
      </c>
      <c r="J79" s="363" t="str">
        <f>J71</f>
        <v>Um/A</v>
      </c>
      <c r="K79" s="363" t="s">
        <v>45</v>
      </c>
      <c r="L79" s="363" t="str">
        <f>L71</f>
        <v>PmO</v>
      </c>
      <c r="M79" s="363" t="s">
        <v>49</v>
      </c>
      <c r="N79" s="839"/>
      <c r="P79" s="836"/>
      <c r="Q79" s="363" t="str">
        <f>Q71</f>
        <v>Demande mensuelle</v>
      </c>
      <c r="R79" s="363" t="s">
        <v>44</v>
      </c>
      <c r="S79" s="363" t="str">
        <f>S71</f>
        <v>Achalandage mensuel</v>
      </c>
      <c r="T79" s="363" t="s">
        <v>45</v>
      </c>
      <c r="U79" s="363" t="s">
        <v>46</v>
      </c>
      <c r="V79" s="363" t="str">
        <f>V71</f>
        <v>Um/A</v>
      </c>
      <c r="W79" s="363" t="s">
        <v>45</v>
      </c>
      <c r="X79" s="363" t="str">
        <f>X71</f>
        <v>PmO</v>
      </c>
      <c r="Y79" s="363" t="s">
        <v>49</v>
      </c>
      <c r="Z79" s="839"/>
      <c r="AB79" s="836"/>
      <c r="AC79" s="363" t="str">
        <f>AC71</f>
        <v>Demande mensuelle</v>
      </c>
      <c r="AD79" s="363" t="s">
        <v>44</v>
      </c>
      <c r="AE79" s="363" t="str">
        <f>AE71</f>
        <v>Achalandage mensuel</v>
      </c>
      <c r="AF79" s="363" t="s">
        <v>45</v>
      </c>
      <c r="AG79" s="363" t="s">
        <v>46</v>
      </c>
      <c r="AH79" s="363" t="str">
        <f>AH71</f>
        <v>Um/A</v>
      </c>
      <c r="AI79" s="363" t="s">
        <v>45</v>
      </c>
      <c r="AJ79" s="363" t="str">
        <f>AJ71</f>
        <v>PmO</v>
      </c>
      <c r="AK79" s="363" t="s">
        <v>49</v>
      </c>
      <c r="AL79" s="839"/>
      <c r="AN79" s="836"/>
      <c r="AO79" s="363" t="str">
        <f>AO71</f>
        <v>Demande mensuelle</v>
      </c>
      <c r="AP79" s="363" t="s">
        <v>44</v>
      </c>
      <c r="AQ79" s="363" t="str">
        <f>AQ71</f>
        <v>Achalandage mensuel</v>
      </c>
      <c r="AR79" s="363" t="s">
        <v>45</v>
      </c>
      <c r="AS79" s="363" t="s">
        <v>46</v>
      </c>
      <c r="AT79" s="363" t="str">
        <f>AT71</f>
        <v>Um/A</v>
      </c>
      <c r="AU79" s="363" t="s">
        <v>45</v>
      </c>
      <c r="AV79" s="363" t="str">
        <f>AV71</f>
        <v>PmO</v>
      </c>
      <c r="AW79" s="363" t="s">
        <v>49</v>
      </c>
      <c r="AX79" s="839"/>
      <c r="AZ79" s="836"/>
      <c r="BA79" s="363" t="str">
        <f>BA71</f>
        <v>Coût mensuel</v>
      </c>
      <c r="BB79" s="363" t="s">
        <v>44</v>
      </c>
      <c r="BC79" s="363" t="str">
        <f>BC71</f>
        <v>Achalandage mensuel</v>
      </c>
      <c r="BD79" s="363" t="s">
        <v>45</v>
      </c>
      <c r="BE79" s="363" t="s">
        <v>46</v>
      </c>
      <c r="BF79" s="363" t="str">
        <f>BF71</f>
        <v>Um/A</v>
      </c>
      <c r="BG79" s="363" t="s">
        <v>45</v>
      </c>
      <c r="BH79" s="363" t="str">
        <f>BH71</f>
        <v>CmO</v>
      </c>
      <c r="BI79" s="363" t="s">
        <v>49</v>
      </c>
      <c r="BJ79" s="839"/>
      <c r="BL79" s="836"/>
      <c r="BM79" s="363" t="str">
        <f>BM71</f>
        <v>Bénéfice mensuel</v>
      </c>
      <c r="BN79" s="363" t="s">
        <v>44</v>
      </c>
      <c r="BO79" s="363" t="str">
        <f>BO71</f>
        <v>Achalandage mensuel</v>
      </c>
      <c r="BP79" s="363" t="s">
        <v>45</v>
      </c>
      <c r="BQ79" s="363" t="s">
        <v>46</v>
      </c>
      <c r="BR79" s="363" t="str">
        <f>BR71</f>
        <v>Um/A</v>
      </c>
      <c r="BS79" s="363" t="s">
        <v>45</v>
      </c>
      <c r="BT79" s="363" t="str">
        <f>BT71</f>
        <v>BmO</v>
      </c>
      <c r="BU79" s="363" t="s">
        <v>49</v>
      </c>
      <c r="BV79" s="839"/>
    </row>
    <row r="80" spans="2:74" ht="19" x14ac:dyDescent="0.25">
      <c r="B80" s="891"/>
      <c r="C80" s="893"/>
      <c r="D80" s="836"/>
      <c r="E80" s="364" t="s">
        <v>2</v>
      </c>
      <c r="F80" s="365"/>
      <c r="G80" s="364"/>
      <c r="H80" s="365"/>
      <c r="I80" s="365"/>
      <c r="J80" s="365"/>
      <c r="K80" s="365"/>
      <c r="L80" s="365"/>
      <c r="M80" s="365"/>
      <c r="N80" s="839"/>
      <c r="P80" s="836"/>
      <c r="Q80" s="364" t="s">
        <v>2</v>
      </c>
      <c r="R80" s="365"/>
      <c r="S80" s="364"/>
      <c r="T80" s="365"/>
      <c r="U80" s="365"/>
      <c r="V80" s="365"/>
      <c r="W80" s="365"/>
      <c r="X80" s="365"/>
      <c r="Y80" s="365"/>
      <c r="Z80" s="839"/>
      <c r="AB80" s="836"/>
      <c r="AC80" s="364" t="s">
        <v>2</v>
      </c>
      <c r="AD80" s="365"/>
      <c r="AE80" s="364"/>
      <c r="AF80" s="365"/>
      <c r="AG80" s="365"/>
      <c r="AH80" s="365"/>
      <c r="AI80" s="365"/>
      <c r="AJ80" s="365"/>
      <c r="AK80" s="365"/>
      <c r="AL80" s="839"/>
      <c r="AN80" s="836"/>
      <c r="AO80" s="364" t="s">
        <v>2</v>
      </c>
      <c r="AP80" s="365"/>
      <c r="AQ80" s="364"/>
      <c r="AR80" s="365"/>
      <c r="AS80" s="365"/>
      <c r="AT80" s="365"/>
      <c r="AU80" s="365"/>
      <c r="AV80" s="365"/>
      <c r="AW80" s="365"/>
      <c r="AX80" s="839"/>
      <c r="AZ80" s="836"/>
      <c r="BA80" s="364" t="s">
        <v>2</v>
      </c>
      <c r="BB80" s="365"/>
      <c r="BC80" s="364"/>
      <c r="BD80" s="365"/>
      <c r="BE80" s="365"/>
      <c r="BF80" s="365"/>
      <c r="BG80" s="365"/>
      <c r="BH80" s="365"/>
      <c r="BI80" s="365"/>
      <c r="BJ80" s="839"/>
      <c r="BL80" s="836"/>
      <c r="BM80" s="364" t="s">
        <v>2</v>
      </c>
      <c r="BN80" s="365"/>
      <c r="BO80" s="364"/>
      <c r="BP80" s="365"/>
      <c r="BQ80" s="365"/>
      <c r="BR80" s="365"/>
      <c r="BS80" s="365"/>
      <c r="BT80" s="365"/>
      <c r="BU80" s="365"/>
      <c r="BV80" s="839"/>
    </row>
    <row r="81" spans="2:74" ht="26" x14ac:dyDescent="0.3">
      <c r="B81" s="891"/>
      <c r="C81" s="893"/>
      <c r="D81" s="836"/>
      <c r="E81" s="366" t="str">
        <f>E73</f>
        <v>D</v>
      </c>
      <c r="F81" s="367"/>
      <c r="G81" s="366" t="str">
        <f>G73</f>
        <v>A</v>
      </c>
      <c r="H81" s="367"/>
      <c r="I81" s="367"/>
      <c r="J81" s="366" t="str">
        <f>+J79</f>
        <v>Um/A</v>
      </c>
      <c r="K81" s="367"/>
      <c r="L81" s="366" t="str">
        <f>+L79</f>
        <v>PmO</v>
      </c>
      <c r="M81" s="367"/>
      <c r="N81" s="839"/>
      <c r="P81" s="836"/>
      <c r="Q81" s="366" t="str">
        <f>Q73</f>
        <v>D</v>
      </c>
      <c r="R81" s="367"/>
      <c r="S81" s="366" t="str">
        <f>S73</f>
        <v>A</v>
      </c>
      <c r="T81" s="367"/>
      <c r="U81" s="367"/>
      <c r="V81" s="366" t="str">
        <f>+V79</f>
        <v>Um/A</v>
      </c>
      <c r="W81" s="367"/>
      <c r="X81" s="366" t="str">
        <f>+X79</f>
        <v>PmO</v>
      </c>
      <c r="Y81" s="367"/>
      <c r="Z81" s="839"/>
      <c r="AB81" s="836"/>
      <c r="AC81" s="366" t="str">
        <f>AC73</f>
        <v>D</v>
      </c>
      <c r="AD81" s="367"/>
      <c r="AE81" s="366" t="str">
        <f>AE73</f>
        <v>A</v>
      </c>
      <c r="AF81" s="367"/>
      <c r="AG81" s="367"/>
      <c r="AH81" s="366" t="str">
        <f>+AH79</f>
        <v>Um/A</v>
      </c>
      <c r="AI81" s="367"/>
      <c r="AJ81" s="366" t="str">
        <f>+AJ79</f>
        <v>PmO</v>
      </c>
      <c r="AK81" s="367"/>
      <c r="AL81" s="839"/>
      <c r="AN81" s="836"/>
      <c r="AO81" s="366" t="str">
        <f>AO73</f>
        <v>D</v>
      </c>
      <c r="AP81" s="367"/>
      <c r="AQ81" s="366" t="str">
        <f>AQ73</f>
        <v>A</v>
      </c>
      <c r="AR81" s="367"/>
      <c r="AS81" s="367"/>
      <c r="AT81" s="366" t="str">
        <f>+AT79</f>
        <v>Um/A</v>
      </c>
      <c r="AU81" s="367"/>
      <c r="AV81" s="366" t="str">
        <f>+AV79</f>
        <v>PmO</v>
      </c>
      <c r="AW81" s="367"/>
      <c r="AX81" s="839"/>
      <c r="AZ81" s="836"/>
      <c r="BA81" s="366" t="str">
        <f>BA73</f>
        <v xml:space="preserve">C </v>
      </c>
      <c r="BB81" s="367"/>
      <c r="BC81" s="366" t="str">
        <f>BC73</f>
        <v>A</v>
      </c>
      <c r="BD81" s="367"/>
      <c r="BE81" s="367"/>
      <c r="BF81" s="366" t="str">
        <f>+BF79</f>
        <v>Um/A</v>
      </c>
      <c r="BG81" s="367"/>
      <c r="BH81" s="366" t="str">
        <f>+BH79</f>
        <v>CmO</v>
      </c>
      <c r="BI81" s="367"/>
      <c r="BJ81" s="839"/>
      <c r="BL81" s="836"/>
      <c r="BM81" s="366" t="str">
        <f>BM73</f>
        <v xml:space="preserve">B </v>
      </c>
      <c r="BN81" s="367"/>
      <c r="BO81" s="366" t="str">
        <f>BO73</f>
        <v>A</v>
      </c>
      <c r="BP81" s="367"/>
      <c r="BQ81" s="367"/>
      <c r="BR81" s="366" t="str">
        <f>+BR79</f>
        <v>Um/A</v>
      </c>
      <c r="BS81" s="367"/>
      <c r="BT81" s="366" t="str">
        <f>+BT79</f>
        <v>BmO</v>
      </c>
      <c r="BU81" s="367"/>
      <c r="BV81" s="839"/>
    </row>
    <row r="82" spans="2:74" ht="21" x14ac:dyDescent="0.25">
      <c r="B82" s="891"/>
      <c r="C82" s="893"/>
      <c r="D82" s="836"/>
      <c r="E82" s="340">
        <f>+Q82+AC82+AO82</f>
        <v>42135.665000000001</v>
      </c>
      <c r="F82" s="363" t="s">
        <v>44</v>
      </c>
      <c r="G82" s="341">
        <f>'% Occupation'!M19</f>
        <v>1705</v>
      </c>
      <c r="H82" s="363" t="s">
        <v>45</v>
      </c>
      <c r="I82" s="363" t="s">
        <v>46</v>
      </c>
      <c r="J82" s="342">
        <f>+V82+AH82+AT82</f>
        <v>2.2200000000000002</v>
      </c>
      <c r="K82" s="363" t="s">
        <v>45</v>
      </c>
      <c r="L82" s="343">
        <f>E82/G82/J82</f>
        <v>11.131981981981982</v>
      </c>
      <c r="M82" s="363" t="s">
        <v>49</v>
      </c>
      <c r="N82" s="839"/>
      <c r="P82" s="836"/>
      <c r="Q82" s="340">
        <f>+S82*(V82*X82)</f>
        <v>30178.500000000004</v>
      </c>
      <c r="R82" s="363" t="s">
        <v>44</v>
      </c>
      <c r="S82" s="341">
        <f>G82</f>
        <v>1705</v>
      </c>
      <c r="T82" s="363" t="s">
        <v>45</v>
      </c>
      <c r="U82" s="363" t="s">
        <v>46</v>
      </c>
      <c r="V82" s="378">
        <v>1.5</v>
      </c>
      <c r="W82" s="363" t="s">
        <v>45</v>
      </c>
      <c r="X82" s="379">
        <v>11.8</v>
      </c>
      <c r="Y82" s="363" t="s">
        <v>49</v>
      </c>
      <c r="Z82" s="839"/>
      <c r="AB82" s="836"/>
      <c r="AC82" s="340">
        <f>+AE82*(AH82*AJ82)</f>
        <v>10944.394999999999</v>
      </c>
      <c r="AD82" s="363" t="s">
        <v>44</v>
      </c>
      <c r="AE82" s="341">
        <f>S82</f>
        <v>1705</v>
      </c>
      <c r="AF82" s="363" t="s">
        <v>45</v>
      </c>
      <c r="AG82" s="363" t="s">
        <v>46</v>
      </c>
      <c r="AH82" s="378">
        <v>0.7</v>
      </c>
      <c r="AI82" s="363" t="s">
        <v>45</v>
      </c>
      <c r="AJ82" s="379">
        <v>9.17</v>
      </c>
      <c r="AK82" s="363" t="s">
        <v>49</v>
      </c>
      <c r="AL82" s="839"/>
      <c r="AN82" s="836"/>
      <c r="AO82" s="340">
        <f>+AQ82*(AT82*AV82)</f>
        <v>1012.77</v>
      </c>
      <c r="AP82" s="363" t="s">
        <v>44</v>
      </c>
      <c r="AQ82" s="341">
        <f>AE82</f>
        <v>1705</v>
      </c>
      <c r="AR82" s="363" t="s">
        <v>45</v>
      </c>
      <c r="AS82" s="363" t="s">
        <v>46</v>
      </c>
      <c r="AT82" s="378">
        <v>0.02</v>
      </c>
      <c r="AU82" s="363" t="s">
        <v>45</v>
      </c>
      <c r="AV82" s="379">
        <v>29.7</v>
      </c>
      <c r="AW82" s="363" t="s">
        <v>49</v>
      </c>
      <c r="AX82" s="839"/>
      <c r="AZ82" s="836"/>
      <c r="BA82" s="340">
        <f>'État des Résultats'!AF14-'État des Résultats'!AF45</f>
        <v>36323.71956249408</v>
      </c>
      <c r="BB82" s="363" t="s">
        <v>44</v>
      </c>
      <c r="BC82" s="341">
        <f>G82</f>
        <v>1705</v>
      </c>
      <c r="BD82" s="363" t="s">
        <v>45</v>
      </c>
      <c r="BE82" s="363" t="s">
        <v>46</v>
      </c>
      <c r="BF82" s="342">
        <f>J82</f>
        <v>2.2200000000000002</v>
      </c>
      <c r="BG82" s="363" t="s">
        <v>45</v>
      </c>
      <c r="BH82" s="343">
        <f>BA82/BC82/BF82</f>
        <v>9.5965019583350699</v>
      </c>
      <c r="BI82" s="363" t="s">
        <v>49</v>
      </c>
      <c r="BJ82" s="839"/>
      <c r="BL82" s="836"/>
      <c r="BM82" s="340">
        <f>'État des Résultats'!AF45</f>
        <v>5811.9454375059231</v>
      </c>
      <c r="BN82" s="363" t="s">
        <v>44</v>
      </c>
      <c r="BO82" s="341">
        <f>G82</f>
        <v>1705</v>
      </c>
      <c r="BP82" s="363" t="s">
        <v>45</v>
      </c>
      <c r="BQ82" s="363" t="s">
        <v>46</v>
      </c>
      <c r="BR82" s="342">
        <f>J82</f>
        <v>2.2200000000000002</v>
      </c>
      <c r="BS82" s="363" t="s">
        <v>45</v>
      </c>
      <c r="BT82" s="343">
        <f>BM82/BO82/BR82</f>
        <v>1.5354800236469111</v>
      </c>
      <c r="BU82" s="363" t="s">
        <v>49</v>
      </c>
      <c r="BV82" s="839"/>
    </row>
    <row r="83" spans="2:74" ht="17" thickBot="1" x14ac:dyDescent="0.25">
      <c r="B83" s="891"/>
      <c r="C83" s="893"/>
      <c r="D83" s="837"/>
      <c r="E83" s="368"/>
      <c r="F83" s="368"/>
      <c r="G83" s="368"/>
      <c r="H83" s="368"/>
      <c r="I83" s="368"/>
      <c r="J83" s="368"/>
      <c r="K83" s="368"/>
      <c r="L83" s="368"/>
      <c r="M83" s="368"/>
      <c r="N83" s="840"/>
      <c r="P83" s="837"/>
      <c r="Q83" s="368"/>
      <c r="R83" s="368"/>
      <c r="S83" s="368"/>
      <c r="T83" s="368"/>
      <c r="U83" s="368"/>
      <c r="V83" s="368"/>
      <c r="W83" s="368"/>
      <c r="X83" s="368"/>
      <c r="Y83" s="368"/>
      <c r="Z83" s="840"/>
      <c r="AB83" s="837"/>
      <c r="AC83" s="368"/>
      <c r="AD83" s="368"/>
      <c r="AE83" s="368"/>
      <c r="AF83" s="368"/>
      <c r="AG83" s="368"/>
      <c r="AH83" s="368"/>
      <c r="AI83" s="368"/>
      <c r="AJ83" s="368"/>
      <c r="AK83" s="368"/>
      <c r="AL83" s="840"/>
      <c r="AN83" s="837"/>
      <c r="AO83" s="368"/>
      <c r="AP83" s="368"/>
      <c r="AQ83" s="368"/>
      <c r="AR83" s="368"/>
      <c r="AS83" s="368"/>
      <c r="AT83" s="368"/>
      <c r="AU83" s="368"/>
      <c r="AV83" s="368"/>
      <c r="AW83" s="368"/>
      <c r="AX83" s="840"/>
      <c r="AZ83" s="837"/>
      <c r="BA83" s="368"/>
      <c r="BB83" s="368"/>
      <c r="BC83" s="368"/>
      <c r="BD83" s="368"/>
      <c r="BE83" s="368"/>
      <c r="BF83" s="368"/>
      <c r="BG83" s="368"/>
      <c r="BH83" s="368"/>
      <c r="BI83" s="368"/>
      <c r="BJ83" s="840"/>
      <c r="BL83" s="837"/>
      <c r="BM83" s="368"/>
      <c r="BN83" s="368"/>
      <c r="BO83" s="368"/>
      <c r="BP83" s="368"/>
      <c r="BQ83" s="368"/>
      <c r="BR83" s="368"/>
      <c r="BS83" s="368"/>
      <c r="BT83" s="368"/>
      <c r="BU83" s="368"/>
      <c r="BV83" s="840"/>
    </row>
    <row r="84" spans="2:74" ht="5" customHeight="1" thickTop="1" thickBot="1" x14ac:dyDescent="0.2">
      <c r="B84" s="891"/>
      <c r="C84" s="210"/>
    </row>
    <row r="85" spans="2:74" ht="17" thickTop="1" x14ac:dyDescent="0.2">
      <c r="B85" s="891"/>
      <c r="C85" s="893"/>
      <c r="D85" s="835" t="s">
        <v>42</v>
      </c>
      <c r="E85" s="361"/>
      <c r="F85" s="361"/>
      <c r="G85" s="361"/>
      <c r="H85" s="361"/>
      <c r="I85" s="361"/>
      <c r="J85" s="361"/>
      <c r="K85" s="361"/>
      <c r="L85" s="361"/>
      <c r="M85" s="361"/>
      <c r="N85" s="838" t="s">
        <v>43</v>
      </c>
      <c r="P85" s="835" t="s">
        <v>42</v>
      </c>
      <c r="Q85" s="361"/>
      <c r="R85" s="361"/>
      <c r="S85" s="361"/>
      <c r="T85" s="361"/>
      <c r="U85" s="361"/>
      <c r="V85" s="361"/>
      <c r="W85" s="361"/>
      <c r="X85" s="361"/>
      <c r="Y85" s="361"/>
      <c r="Z85" s="838" t="s">
        <v>43</v>
      </c>
      <c r="AB85" s="835" t="s">
        <v>42</v>
      </c>
      <c r="AC85" s="361"/>
      <c r="AD85" s="361"/>
      <c r="AE85" s="361"/>
      <c r="AF85" s="361"/>
      <c r="AG85" s="361"/>
      <c r="AH85" s="361"/>
      <c r="AI85" s="361"/>
      <c r="AJ85" s="361"/>
      <c r="AK85" s="361"/>
      <c r="AL85" s="838" t="s">
        <v>43</v>
      </c>
      <c r="AN85" s="835" t="s">
        <v>42</v>
      </c>
      <c r="AO85" s="361"/>
      <c r="AP85" s="361"/>
      <c r="AQ85" s="361"/>
      <c r="AR85" s="361"/>
      <c r="AS85" s="361"/>
      <c r="AT85" s="361"/>
      <c r="AU85" s="361"/>
      <c r="AV85" s="361"/>
      <c r="AW85" s="361"/>
      <c r="AX85" s="838" t="s">
        <v>43</v>
      </c>
      <c r="AZ85" s="835" t="s">
        <v>42</v>
      </c>
      <c r="BA85" s="361"/>
      <c r="BB85" s="361"/>
      <c r="BC85" s="361"/>
      <c r="BD85" s="361"/>
      <c r="BE85" s="361"/>
      <c r="BF85" s="361"/>
      <c r="BG85" s="361"/>
      <c r="BH85" s="361"/>
      <c r="BI85" s="361"/>
      <c r="BJ85" s="838" t="s">
        <v>43</v>
      </c>
      <c r="BL85" s="835" t="s">
        <v>42</v>
      </c>
      <c r="BM85" s="361"/>
      <c r="BN85" s="361"/>
      <c r="BO85" s="361"/>
      <c r="BP85" s="361"/>
      <c r="BQ85" s="361"/>
      <c r="BR85" s="361"/>
      <c r="BS85" s="361"/>
      <c r="BT85" s="361"/>
      <c r="BU85" s="361"/>
      <c r="BV85" s="838" t="s">
        <v>43</v>
      </c>
    </row>
    <row r="86" spans="2:74" ht="16" x14ac:dyDescent="0.2">
      <c r="B86" s="891"/>
      <c r="C86" s="893"/>
      <c r="D86" s="836"/>
      <c r="E86" s="362"/>
      <c r="F86" s="362"/>
      <c r="G86" s="362"/>
      <c r="H86" s="362"/>
      <c r="I86" s="362"/>
      <c r="J86" s="362"/>
      <c r="K86" s="362"/>
      <c r="L86" s="362"/>
      <c r="M86" s="362"/>
      <c r="N86" s="839"/>
      <c r="P86" s="836"/>
      <c r="Q86" s="362"/>
      <c r="R86" s="362"/>
      <c r="S86" s="362"/>
      <c r="T86" s="362"/>
      <c r="U86" s="362"/>
      <c r="V86" s="362"/>
      <c r="W86" s="362"/>
      <c r="X86" s="362"/>
      <c r="Y86" s="362"/>
      <c r="Z86" s="839"/>
      <c r="AB86" s="836"/>
      <c r="AC86" s="362"/>
      <c r="AD86" s="362"/>
      <c r="AE86" s="362"/>
      <c r="AF86" s="362"/>
      <c r="AG86" s="362"/>
      <c r="AH86" s="362"/>
      <c r="AI86" s="362"/>
      <c r="AJ86" s="362"/>
      <c r="AK86" s="362"/>
      <c r="AL86" s="839"/>
      <c r="AN86" s="836"/>
      <c r="AO86" s="362"/>
      <c r="AP86" s="362"/>
      <c r="AQ86" s="362"/>
      <c r="AR86" s="362"/>
      <c r="AS86" s="362"/>
      <c r="AT86" s="362"/>
      <c r="AU86" s="362"/>
      <c r="AV86" s="362"/>
      <c r="AW86" s="362"/>
      <c r="AX86" s="839"/>
      <c r="AZ86" s="836"/>
      <c r="BA86" s="362"/>
      <c r="BB86" s="362"/>
      <c r="BC86" s="362"/>
      <c r="BD86" s="362"/>
      <c r="BE86" s="362"/>
      <c r="BF86" s="362"/>
      <c r="BG86" s="362"/>
      <c r="BH86" s="362"/>
      <c r="BI86" s="362"/>
      <c r="BJ86" s="839"/>
      <c r="BL86" s="836"/>
      <c r="BM86" s="362"/>
      <c r="BN86" s="362"/>
      <c r="BO86" s="362"/>
      <c r="BP86" s="362"/>
      <c r="BQ86" s="362"/>
      <c r="BR86" s="362"/>
      <c r="BS86" s="362"/>
      <c r="BT86" s="362"/>
      <c r="BU86" s="362"/>
      <c r="BV86" s="839"/>
    </row>
    <row r="87" spans="2:74" ht="21" x14ac:dyDescent="0.25">
      <c r="B87" s="891"/>
      <c r="C87" s="893"/>
      <c r="D87" s="836"/>
      <c r="E87" s="363" t="str">
        <f>E79</f>
        <v>Demande mensuelle</v>
      </c>
      <c r="F87" s="363" t="s">
        <v>44</v>
      </c>
      <c r="G87" s="363" t="str">
        <f>G79</f>
        <v>Achalandage mensuel</v>
      </c>
      <c r="H87" s="363" t="s">
        <v>45</v>
      </c>
      <c r="I87" s="363" t="s">
        <v>46</v>
      </c>
      <c r="J87" s="363" t="str">
        <f>J79</f>
        <v>Um/A</v>
      </c>
      <c r="K87" s="363" t="s">
        <v>45</v>
      </c>
      <c r="L87" s="363" t="str">
        <f>L79</f>
        <v>PmO</v>
      </c>
      <c r="M87" s="363" t="s">
        <v>49</v>
      </c>
      <c r="N87" s="839"/>
      <c r="P87" s="836"/>
      <c r="Q87" s="363" t="str">
        <f>Q79</f>
        <v>Demande mensuelle</v>
      </c>
      <c r="R87" s="363" t="s">
        <v>44</v>
      </c>
      <c r="S87" s="363" t="str">
        <f>S79</f>
        <v>Achalandage mensuel</v>
      </c>
      <c r="T87" s="363" t="s">
        <v>45</v>
      </c>
      <c r="U87" s="363" t="s">
        <v>46</v>
      </c>
      <c r="V87" s="363" t="str">
        <f>V79</f>
        <v>Um/A</v>
      </c>
      <c r="W87" s="363" t="s">
        <v>45</v>
      </c>
      <c r="X87" s="363" t="str">
        <f>X79</f>
        <v>PmO</v>
      </c>
      <c r="Y87" s="363" t="s">
        <v>49</v>
      </c>
      <c r="Z87" s="839"/>
      <c r="AB87" s="836"/>
      <c r="AC87" s="363" t="str">
        <f>AC79</f>
        <v>Demande mensuelle</v>
      </c>
      <c r="AD87" s="363" t="s">
        <v>44</v>
      </c>
      <c r="AE87" s="363" t="str">
        <f>AE79</f>
        <v>Achalandage mensuel</v>
      </c>
      <c r="AF87" s="363" t="s">
        <v>45</v>
      </c>
      <c r="AG87" s="363" t="s">
        <v>46</v>
      </c>
      <c r="AH87" s="363" t="str">
        <f>AH79</f>
        <v>Um/A</v>
      </c>
      <c r="AI87" s="363" t="s">
        <v>45</v>
      </c>
      <c r="AJ87" s="363" t="str">
        <f>AJ79</f>
        <v>PmO</v>
      </c>
      <c r="AK87" s="363" t="s">
        <v>49</v>
      </c>
      <c r="AL87" s="839"/>
      <c r="AN87" s="836"/>
      <c r="AO87" s="363" t="str">
        <f>AO79</f>
        <v>Demande mensuelle</v>
      </c>
      <c r="AP87" s="363" t="s">
        <v>44</v>
      </c>
      <c r="AQ87" s="363" t="str">
        <f>AQ79</f>
        <v>Achalandage mensuel</v>
      </c>
      <c r="AR87" s="363" t="s">
        <v>45</v>
      </c>
      <c r="AS87" s="363" t="s">
        <v>46</v>
      </c>
      <c r="AT87" s="363" t="str">
        <f>AT79</f>
        <v>Um/A</v>
      </c>
      <c r="AU87" s="363" t="s">
        <v>45</v>
      </c>
      <c r="AV87" s="363" t="str">
        <f>AV79</f>
        <v>PmO</v>
      </c>
      <c r="AW87" s="363" t="s">
        <v>49</v>
      </c>
      <c r="AX87" s="839"/>
      <c r="AZ87" s="836"/>
      <c r="BA87" s="363" t="str">
        <f>BA79</f>
        <v>Coût mensuel</v>
      </c>
      <c r="BB87" s="363" t="s">
        <v>44</v>
      </c>
      <c r="BC87" s="363" t="str">
        <f>BC79</f>
        <v>Achalandage mensuel</v>
      </c>
      <c r="BD87" s="363" t="s">
        <v>45</v>
      </c>
      <c r="BE87" s="363" t="s">
        <v>46</v>
      </c>
      <c r="BF87" s="363" t="str">
        <f>BF79</f>
        <v>Um/A</v>
      </c>
      <c r="BG87" s="363" t="s">
        <v>45</v>
      </c>
      <c r="BH87" s="363" t="str">
        <f>BH79</f>
        <v>CmO</v>
      </c>
      <c r="BI87" s="363" t="s">
        <v>49</v>
      </c>
      <c r="BJ87" s="839"/>
      <c r="BL87" s="836"/>
      <c r="BM87" s="363" t="str">
        <f>BM79</f>
        <v>Bénéfice mensuel</v>
      </c>
      <c r="BN87" s="363" t="s">
        <v>44</v>
      </c>
      <c r="BO87" s="363" t="str">
        <f>BO79</f>
        <v>Achalandage mensuel</v>
      </c>
      <c r="BP87" s="363" t="s">
        <v>45</v>
      </c>
      <c r="BQ87" s="363" t="s">
        <v>46</v>
      </c>
      <c r="BR87" s="363" t="str">
        <f>BR79</f>
        <v>Um/A</v>
      </c>
      <c r="BS87" s="363" t="s">
        <v>45</v>
      </c>
      <c r="BT87" s="363" t="str">
        <f>BT79</f>
        <v>BmO</v>
      </c>
      <c r="BU87" s="363" t="s">
        <v>49</v>
      </c>
      <c r="BV87" s="839"/>
    </row>
    <row r="88" spans="2:74" ht="19" x14ac:dyDescent="0.25">
      <c r="B88" s="891"/>
      <c r="C88" s="893"/>
      <c r="D88" s="836"/>
      <c r="E88" s="364" t="s">
        <v>2</v>
      </c>
      <c r="F88" s="365"/>
      <c r="G88" s="364"/>
      <c r="H88" s="365"/>
      <c r="I88" s="365"/>
      <c r="J88" s="365"/>
      <c r="K88" s="365"/>
      <c r="L88" s="365"/>
      <c r="M88" s="365"/>
      <c r="N88" s="839"/>
      <c r="P88" s="836"/>
      <c r="Q88" s="364" t="s">
        <v>2</v>
      </c>
      <c r="R88" s="365"/>
      <c r="S88" s="364"/>
      <c r="T88" s="365"/>
      <c r="U88" s="365"/>
      <c r="V88" s="365"/>
      <c r="W88" s="365"/>
      <c r="X88" s="365"/>
      <c r="Y88" s="365"/>
      <c r="Z88" s="839"/>
      <c r="AB88" s="836"/>
      <c r="AC88" s="364" t="s">
        <v>2</v>
      </c>
      <c r="AD88" s="365"/>
      <c r="AE88" s="364"/>
      <c r="AF88" s="365"/>
      <c r="AG88" s="365"/>
      <c r="AH88" s="365"/>
      <c r="AI88" s="365"/>
      <c r="AJ88" s="365"/>
      <c r="AK88" s="365"/>
      <c r="AL88" s="839"/>
      <c r="AN88" s="836"/>
      <c r="AO88" s="364" t="s">
        <v>2</v>
      </c>
      <c r="AP88" s="365"/>
      <c r="AQ88" s="364"/>
      <c r="AR88" s="365"/>
      <c r="AS88" s="365"/>
      <c r="AT88" s="365"/>
      <c r="AU88" s="365"/>
      <c r="AV88" s="365"/>
      <c r="AW88" s="365"/>
      <c r="AX88" s="839"/>
      <c r="AZ88" s="836"/>
      <c r="BA88" s="364" t="s">
        <v>2</v>
      </c>
      <c r="BB88" s="365"/>
      <c r="BC88" s="364"/>
      <c r="BD88" s="365"/>
      <c r="BE88" s="365"/>
      <c r="BF88" s="365"/>
      <c r="BG88" s="365"/>
      <c r="BH88" s="365"/>
      <c r="BI88" s="365"/>
      <c r="BJ88" s="839"/>
      <c r="BL88" s="836"/>
      <c r="BM88" s="364" t="s">
        <v>2</v>
      </c>
      <c r="BN88" s="365"/>
      <c r="BO88" s="364"/>
      <c r="BP88" s="365"/>
      <c r="BQ88" s="365"/>
      <c r="BR88" s="365"/>
      <c r="BS88" s="365"/>
      <c r="BT88" s="365"/>
      <c r="BU88" s="365"/>
      <c r="BV88" s="839"/>
    </row>
    <row r="89" spans="2:74" ht="26" x14ac:dyDescent="0.3">
      <c r="B89" s="891"/>
      <c r="C89" s="893"/>
      <c r="D89" s="836"/>
      <c r="E89" s="366" t="str">
        <f>E81</f>
        <v>D</v>
      </c>
      <c r="F89" s="367"/>
      <c r="G89" s="366" t="str">
        <f>G81</f>
        <v>A</v>
      </c>
      <c r="H89" s="367"/>
      <c r="I89" s="367"/>
      <c r="J89" s="366" t="str">
        <f>+J87</f>
        <v>Um/A</v>
      </c>
      <c r="K89" s="367"/>
      <c r="L89" s="366" t="str">
        <f>+L87</f>
        <v>PmO</v>
      </c>
      <c r="M89" s="367"/>
      <c r="N89" s="839"/>
      <c r="P89" s="836"/>
      <c r="Q89" s="366" t="str">
        <f>Q81</f>
        <v>D</v>
      </c>
      <c r="R89" s="367"/>
      <c r="S89" s="366" t="str">
        <f>S81</f>
        <v>A</v>
      </c>
      <c r="T89" s="367"/>
      <c r="U89" s="367"/>
      <c r="V89" s="366" t="str">
        <f>+V87</f>
        <v>Um/A</v>
      </c>
      <c r="W89" s="367"/>
      <c r="X89" s="366" t="str">
        <f>+X87</f>
        <v>PmO</v>
      </c>
      <c r="Y89" s="367"/>
      <c r="Z89" s="839"/>
      <c r="AB89" s="836"/>
      <c r="AC89" s="366" t="str">
        <f>AC81</f>
        <v>D</v>
      </c>
      <c r="AD89" s="367"/>
      <c r="AE89" s="366" t="str">
        <f>AE81</f>
        <v>A</v>
      </c>
      <c r="AF89" s="367"/>
      <c r="AG89" s="367"/>
      <c r="AH89" s="366" t="str">
        <f>+AH87</f>
        <v>Um/A</v>
      </c>
      <c r="AI89" s="367"/>
      <c r="AJ89" s="366" t="str">
        <f>+AJ87</f>
        <v>PmO</v>
      </c>
      <c r="AK89" s="367"/>
      <c r="AL89" s="839"/>
      <c r="AN89" s="836"/>
      <c r="AO89" s="366" t="str">
        <f>AO81</f>
        <v>D</v>
      </c>
      <c r="AP89" s="367"/>
      <c r="AQ89" s="366" t="str">
        <f>AQ81</f>
        <v>A</v>
      </c>
      <c r="AR89" s="367"/>
      <c r="AS89" s="367"/>
      <c r="AT89" s="366" t="str">
        <f>+AT87</f>
        <v>Um/A</v>
      </c>
      <c r="AU89" s="367"/>
      <c r="AV89" s="366" t="str">
        <f>+AV87</f>
        <v>PmO</v>
      </c>
      <c r="AW89" s="367"/>
      <c r="AX89" s="839"/>
      <c r="AZ89" s="836"/>
      <c r="BA89" s="366" t="str">
        <f>BA81</f>
        <v xml:space="preserve">C </v>
      </c>
      <c r="BB89" s="367"/>
      <c r="BC89" s="366" t="str">
        <f>BC81</f>
        <v>A</v>
      </c>
      <c r="BD89" s="367"/>
      <c r="BE89" s="367"/>
      <c r="BF89" s="366" t="str">
        <f>+BF87</f>
        <v>Um/A</v>
      </c>
      <c r="BG89" s="367"/>
      <c r="BH89" s="366" t="str">
        <f>+BH87</f>
        <v>CmO</v>
      </c>
      <c r="BI89" s="367"/>
      <c r="BJ89" s="839"/>
      <c r="BL89" s="836"/>
      <c r="BM89" s="366" t="str">
        <f>BM81</f>
        <v xml:space="preserve">B </v>
      </c>
      <c r="BN89" s="367"/>
      <c r="BO89" s="366" t="str">
        <f>BO81</f>
        <v>A</v>
      </c>
      <c r="BP89" s="367"/>
      <c r="BQ89" s="367"/>
      <c r="BR89" s="366" t="str">
        <f>+BR87</f>
        <v>Um/A</v>
      </c>
      <c r="BS89" s="367"/>
      <c r="BT89" s="366" t="str">
        <f>+BT87</f>
        <v>BmO</v>
      </c>
      <c r="BU89" s="367"/>
      <c r="BV89" s="839"/>
    </row>
    <row r="90" spans="2:74" ht="21" x14ac:dyDescent="0.25">
      <c r="B90" s="891"/>
      <c r="C90" s="893"/>
      <c r="D90" s="836"/>
      <c r="E90" s="340">
        <f>+Q90+AC90+AO90</f>
        <v>37069.5</v>
      </c>
      <c r="F90" s="363" t="s">
        <v>44</v>
      </c>
      <c r="G90" s="341">
        <f>'% Occupation'!N19</f>
        <v>1500</v>
      </c>
      <c r="H90" s="363" t="s">
        <v>45</v>
      </c>
      <c r="I90" s="363" t="s">
        <v>46</v>
      </c>
      <c r="J90" s="342">
        <f>+V90+AH90+AT90</f>
        <v>2.2200000000000002</v>
      </c>
      <c r="K90" s="363" t="s">
        <v>45</v>
      </c>
      <c r="L90" s="343">
        <f>E90/G90/J90</f>
        <v>11.131981981981982</v>
      </c>
      <c r="M90" s="363" t="s">
        <v>49</v>
      </c>
      <c r="N90" s="839"/>
      <c r="P90" s="836"/>
      <c r="Q90" s="340">
        <f>+S90*(V90*X90)</f>
        <v>26550.000000000004</v>
      </c>
      <c r="R90" s="363" t="s">
        <v>44</v>
      </c>
      <c r="S90" s="341">
        <f>G90</f>
        <v>1500</v>
      </c>
      <c r="T90" s="363" t="s">
        <v>45</v>
      </c>
      <c r="U90" s="363" t="s">
        <v>46</v>
      </c>
      <c r="V90" s="378">
        <v>1.5</v>
      </c>
      <c r="W90" s="363" t="s">
        <v>45</v>
      </c>
      <c r="X90" s="379">
        <v>11.8</v>
      </c>
      <c r="Y90" s="363" t="s">
        <v>49</v>
      </c>
      <c r="Z90" s="839"/>
      <c r="AB90" s="836"/>
      <c r="AC90" s="340">
        <f>+AE90*(AH90*AJ90)</f>
        <v>9628.5</v>
      </c>
      <c r="AD90" s="363" t="s">
        <v>44</v>
      </c>
      <c r="AE90" s="341">
        <f>S90</f>
        <v>1500</v>
      </c>
      <c r="AF90" s="363" t="s">
        <v>45</v>
      </c>
      <c r="AG90" s="363" t="s">
        <v>46</v>
      </c>
      <c r="AH90" s="378">
        <v>0.7</v>
      </c>
      <c r="AI90" s="363" t="s">
        <v>45</v>
      </c>
      <c r="AJ90" s="379">
        <v>9.17</v>
      </c>
      <c r="AK90" s="363" t="s">
        <v>49</v>
      </c>
      <c r="AL90" s="839"/>
      <c r="AN90" s="836"/>
      <c r="AO90" s="340">
        <f>+AQ90*(AT90*AV90)</f>
        <v>891</v>
      </c>
      <c r="AP90" s="363" t="s">
        <v>44</v>
      </c>
      <c r="AQ90" s="341">
        <f>AE90</f>
        <v>1500</v>
      </c>
      <c r="AR90" s="363" t="s">
        <v>45</v>
      </c>
      <c r="AS90" s="363" t="s">
        <v>46</v>
      </c>
      <c r="AT90" s="378">
        <v>0.02</v>
      </c>
      <c r="AU90" s="363" t="s">
        <v>45</v>
      </c>
      <c r="AV90" s="379">
        <v>29.7</v>
      </c>
      <c r="AW90" s="363" t="s">
        <v>49</v>
      </c>
      <c r="AX90" s="839"/>
      <c r="AZ90" s="836"/>
      <c r="BA90" s="340">
        <f>'État des Résultats'!AI14-'État des Résultats'!AI45</f>
        <v>34373.671307960656</v>
      </c>
      <c r="BB90" s="363" t="s">
        <v>44</v>
      </c>
      <c r="BC90" s="341">
        <f>G90</f>
        <v>1500</v>
      </c>
      <c r="BD90" s="363" t="s">
        <v>45</v>
      </c>
      <c r="BE90" s="363" t="s">
        <v>46</v>
      </c>
      <c r="BF90" s="342">
        <f>J90</f>
        <v>2.2200000000000002</v>
      </c>
      <c r="BG90" s="363" t="s">
        <v>45</v>
      </c>
      <c r="BH90" s="343">
        <f>BA90/BC90/BF90</f>
        <v>10.322423816204399</v>
      </c>
      <c r="BI90" s="363" t="s">
        <v>49</v>
      </c>
      <c r="BJ90" s="839"/>
      <c r="BL90" s="836"/>
      <c r="BM90" s="340">
        <f>'État des Résultats'!AI45</f>
        <v>2695.8286920393425</v>
      </c>
      <c r="BN90" s="363" t="s">
        <v>44</v>
      </c>
      <c r="BO90" s="341">
        <f>G90</f>
        <v>1500</v>
      </c>
      <c r="BP90" s="363" t="s">
        <v>45</v>
      </c>
      <c r="BQ90" s="363" t="s">
        <v>46</v>
      </c>
      <c r="BR90" s="342">
        <f>J90</f>
        <v>2.2200000000000002</v>
      </c>
      <c r="BS90" s="363" t="s">
        <v>45</v>
      </c>
      <c r="BT90" s="343">
        <f>BM90/BO90/BR90</f>
        <v>0.80955816577758033</v>
      </c>
      <c r="BU90" s="363" t="s">
        <v>49</v>
      </c>
      <c r="BV90" s="839"/>
    </row>
    <row r="91" spans="2:74" ht="17" thickBot="1" x14ac:dyDescent="0.25">
      <c r="B91" s="891"/>
      <c r="C91" s="893"/>
      <c r="D91" s="837"/>
      <c r="E91" s="368"/>
      <c r="F91" s="368"/>
      <c r="G91" s="368"/>
      <c r="H91" s="368"/>
      <c r="I91" s="368"/>
      <c r="J91" s="368"/>
      <c r="K91" s="368"/>
      <c r="L91" s="368"/>
      <c r="M91" s="368"/>
      <c r="N91" s="840"/>
      <c r="P91" s="837"/>
      <c r="Q91" s="368"/>
      <c r="R91" s="368"/>
      <c r="S91" s="368"/>
      <c r="T91" s="368"/>
      <c r="U91" s="368"/>
      <c r="V91" s="368"/>
      <c r="W91" s="368"/>
      <c r="X91" s="368"/>
      <c r="Y91" s="368"/>
      <c r="Z91" s="840"/>
      <c r="AB91" s="837"/>
      <c r="AC91" s="368"/>
      <c r="AD91" s="368"/>
      <c r="AE91" s="368"/>
      <c r="AF91" s="368"/>
      <c r="AG91" s="368"/>
      <c r="AH91" s="368"/>
      <c r="AI91" s="368"/>
      <c r="AJ91" s="368"/>
      <c r="AK91" s="368"/>
      <c r="AL91" s="840"/>
      <c r="AN91" s="837"/>
      <c r="AO91" s="368"/>
      <c r="AP91" s="368"/>
      <c r="AQ91" s="368"/>
      <c r="AR91" s="368"/>
      <c r="AS91" s="368"/>
      <c r="AT91" s="368"/>
      <c r="AU91" s="368"/>
      <c r="AV91" s="368"/>
      <c r="AW91" s="368"/>
      <c r="AX91" s="840"/>
      <c r="AZ91" s="837"/>
      <c r="BA91" s="368"/>
      <c r="BB91" s="368"/>
      <c r="BC91" s="368"/>
      <c r="BD91" s="368"/>
      <c r="BE91" s="368"/>
      <c r="BF91" s="368"/>
      <c r="BG91" s="368"/>
      <c r="BH91" s="368"/>
      <c r="BI91" s="368"/>
      <c r="BJ91" s="840"/>
      <c r="BL91" s="837"/>
      <c r="BM91" s="368"/>
      <c r="BN91" s="368"/>
      <c r="BO91" s="368"/>
      <c r="BP91" s="368"/>
      <c r="BQ91" s="368"/>
      <c r="BR91" s="368"/>
      <c r="BS91" s="368"/>
      <c r="BT91" s="368"/>
      <c r="BU91" s="368"/>
      <c r="BV91" s="840"/>
    </row>
    <row r="92" spans="2:74" ht="5" customHeight="1" thickTop="1" thickBot="1" x14ac:dyDescent="0.2">
      <c r="B92" s="891"/>
      <c r="C92" s="210"/>
    </row>
    <row r="93" spans="2:74" ht="17" thickTop="1" x14ac:dyDescent="0.2">
      <c r="B93" s="891"/>
      <c r="C93" s="893"/>
      <c r="D93" s="835" t="s">
        <v>42</v>
      </c>
      <c r="E93" s="361"/>
      <c r="F93" s="361"/>
      <c r="G93" s="361"/>
      <c r="H93" s="361"/>
      <c r="I93" s="361"/>
      <c r="J93" s="361"/>
      <c r="K93" s="361"/>
      <c r="L93" s="361"/>
      <c r="M93" s="361"/>
      <c r="N93" s="838" t="s">
        <v>43</v>
      </c>
      <c r="P93" s="835" t="s">
        <v>42</v>
      </c>
      <c r="Q93" s="361"/>
      <c r="R93" s="361"/>
      <c r="S93" s="361"/>
      <c r="T93" s="361"/>
      <c r="U93" s="361"/>
      <c r="V93" s="361"/>
      <c r="W93" s="361"/>
      <c r="X93" s="361"/>
      <c r="Y93" s="361"/>
      <c r="Z93" s="838" t="s">
        <v>43</v>
      </c>
      <c r="AB93" s="835" t="s">
        <v>42</v>
      </c>
      <c r="AC93" s="361"/>
      <c r="AD93" s="361"/>
      <c r="AE93" s="361"/>
      <c r="AF93" s="361"/>
      <c r="AG93" s="361"/>
      <c r="AH93" s="361"/>
      <c r="AI93" s="361"/>
      <c r="AJ93" s="361"/>
      <c r="AK93" s="361"/>
      <c r="AL93" s="838" t="s">
        <v>43</v>
      </c>
      <c r="AN93" s="835" t="s">
        <v>42</v>
      </c>
      <c r="AO93" s="361"/>
      <c r="AP93" s="361"/>
      <c r="AQ93" s="361"/>
      <c r="AR93" s="361"/>
      <c r="AS93" s="361"/>
      <c r="AT93" s="361"/>
      <c r="AU93" s="361"/>
      <c r="AV93" s="361"/>
      <c r="AW93" s="361"/>
      <c r="AX93" s="838" t="s">
        <v>43</v>
      </c>
      <c r="AZ93" s="835" t="s">
        <v>42</v>
      </c>
      <c r="BA93" s="361"/>
      <c r="BB93" s="361"/>
      <c r="BC93" s="361"/>
      <c r="BD93" s="361"/>
      <c r="BE93" s="361"/>
      <c r="BF93" s="361"/>
      <c r="BG93" s="361"/>
      <c r="BH93" s="361"/>
      <c r="BI93" s="361"/>
      <c r="BJ93" s="838" t="s">
        <v>43</v>
      </c>
      <c r="BL93" s="835" t="s">
        <v>42</v>
      </c>
      <c r="BM93" s="361"/>
      <c r="BN93" s="361"/>
      <c r="BO93" s="361"/>
      <c r="BP93" s="361"/>
      <c r="BQ93" s="361"/>
      <c r="BR93" s="361"/>
      <c r="BS93" s="361"/>
      <c r="BT93" s="361"/>
      <c r="BU93" s="361"/>
      <c r="BV93" s="838" t="s">
        <v>43</v>
      </c>
    </row>
    <row r="94" spans="2:74" ht="16" x14ac:dyDescent="0.2">
      <c r="B94" s="891"/>
      <c r="C94" s="893"/>
      <c r="D94" s="836"/>
      <c r="E94" s="362"/>
      <c r="F94" s="362"/>
      <c r="G94" s="362"/>
      <c r="H94" s="362"/>
      <c r="I94" s="362"/>
      <c r="J94" s="362"/>
      <c r="K94" s="362"/>
      <c r="L94" s="362"/>
      <c r="M94" s="362"/>
      <c r="N94" s="839"/>
      <c r="P94" s="836"/>
      <c r="Q94" s="362"/>
      <c r="R94" s="362"/>
      <c r="S94" s="362"/>
      <c r="T94" s="362"/>
      <c r="U94" s="362"/>
      <c r="V94" s="362"/>
      <c r="W94" s="362"/>
      <c r="X94" s="362"/>
      <c r="Y94" s="362"/>
      <c r="Z94" s="839"/>
      <c r="AB94" s="836"/>
      <c r="AC94" s="362"/>
      <c r="AD94" s="362"/>
      <c r="AE94" s="362"/>
      <c r="AF94" s="362"/>
      <c r="AG94" s="362"/>
      <c r="AH94" s="362"/>
      <c r="AI94" s="362"/>
      <c r="AJ94" s="362"/>
      <c r="AK94" s="362"/>
      <c r="AL94" s="839"/>
      <c r="AN94" s="836"/>
      <c r="AO94" s="362"/>
      <c r="AP94" s="362"/>
      <c r="AQ94" s="362"/>
      <c r="AR94" s="362"/>
      <c r="AS94" s="362"/>
      <c r="AT94" s="362"/>
      <c r="AU94" s="362"/>
      <c r="AV94" s="362"/>
      <c r="AW94" s="362"/>
      <c r="AX94" s="839"/>
      <c r="AZ94" s="836"/>
      <c r="BA94" s="362"/>
      <c r="BB94" s="362"/>
      <c r="BC94" s="362"/>
      <c r="BD94" s="362"/>
      <c r="BE94" s="362"/>
      <c r="BF94" s="362"/>
      <c r="BG94" s="362"/>
      <c r="BH94" s="362"/>
      <c r="BI94" s="362"/>
      <c r="BJ94" s="839"/>
      <c r="BL94" s="836"/>
      <c r="BM94" s="362"/>
      <c r="BN94" s="362"/>
      <c r="BO94" s="362"/>
      <c r="BP94" s="362"/>
      <c r="BQ94" s="362"/>
      <c r="BR94" s="362"/>
      <c r="BS94" s="362"/>
      <c r="BT94" s="362"/>
      <c r="BU94" s="362"/>
      <c r="BV94" s="839"/>
    </row>
    <row r="95" spans="2:74" ht="21" x14ac:dyDescent="0.25">
      <c r="B95" s="891"/>
      <c r="C95" s="893"/>
      <c r="D95" s="836"/>
      <c r="E95" s="363" t="str">
        <f>E87</f>
        <v>Demande mensuelle</v>
      </c>
      <c r="F95" s="363" t="s">
        <v>44</v>
      </c>
      <c r="G95" s="363" t="str">
        <f>G87</f>
        <v>Achalandage mensuel</v>
      </c>
      <c r="H95" s="363" t="s">
        <v>45</v>
      </c>
      <c r="I95" s="363" t="s">
        <v>46</v>
      </c>
      <c r="J95" s="363" t="str">
        <f>J87</f>
        <v>Um/A</v>
      </c>
      <c r="K95" s="363" t="s">
        <v>45</v>
      </c>
      <c r="L95" s="363" t="str">
        <f>L87</f>
        <v>PmO</v>
      </c>
      <c r="M95" s="363" t="s">
        <v>49</v>
      </c>
      <c r="N95" s="839"/>
      <c r="P95" s="836"/>
      <c r="Q95" s="363" t="str">
        <f>Q87</f>
        <v>Demande mensuelle</v>
      </c>
      <c r="R95" s="363" t="s">
        <v>44</v>
      </c>
      <c r="S95" s="363" t="str">
        <f>S87</f>
        <v>Achalandage mensuel</v>
      </c>
      <c r="T95" s="363" t="s">
        <v>45</v>
      </c>
      <c r="U95" s="363" t="s">
        <v>46</v>
      </c>
      <c r="V95" s="363" t="str">
        <f>V87</f>
        <v>Um/A</v>
      </c>
      <c r="W95" s="363" t="s">
        <v>45</v>
      </c>
      <c r="X95" s="363" t="str">
        <f>X87</f>
        <v>PmO</v>
      </c>
      <c r="Y95" s="363" t="s">
        <v>49</v>
      </c>
      <c r="Z95" s="839"/>
      <c r="AB95" s="836"/>
      <c r="AC95" s="363" t="str">
        <f>AC87</f>
        <v>Demande mensuelle</v>
      </c>
      <c r="AD95" s="363" t="s">
        <v>44</v>
      </c>
      <c r="AE95" s="363" t="str">
        <f>AE87</f>
        <v>Achalandage mensuel</v>
      </c>
      <c r="AF95" s="363" t="s">
        <v>45</v>
      </c>
      <c r="AG95" s="363" t="s">
        <v>46</v>
      </c>
      <c r="AH95" s="363" t="str">
        <f>AH87</f>
        <v>Um/A</v>
      </c>
      <c r="AI95" s="363" t="s">
        <v>45</v>
      </c>
      <c r="AJ95" s="363" t="str">
        <f>AJ87</f>
        <v>PmO</v>
      </c>
      <c r="AK95" s="363" t="s">
        <v>49</v>
      </c>
      <c r="AL95" s="839"/>
      <c r="AN95" s="836"/>
      <c r="AO95" s="363" t="str">
        <f>AO87</f>
        <v>Demande mensuelle</v>
      </c>
      <c r="AP95" s="363" t="s">
        <v>44</v>
      </c>
      <c r="AQ95" s="363" t="str">
        <f>AQ87</f>
        <v>Achalandage mensuel</v>
      </c>
      <c r="AR95" s="363" t="s">
        <v>45</v>
      </c>
      <c r="AS95" s="363" t="s">
        <v>46</v>
      </c>
      <c r="AT95" s="363" t="str">
        <f>AT87</f>
        <v>Um/A</v>
      </c>
      <c r="AU95" s="363" t="s">
        <v>45</v>
      </c>
      <c r="AV95" s="363" t="str">
        <f>AV87</f>
        <v>PmO</v>
      </c>
      <c r="AW95" s="363" t="s">
        <v>49</v>
      </c>
      <c r="AX95" s="839"/>
      <c r="AZ95" s="836"/>
      <c r="BA95" s="363" t="str">
        <f>BA87</f>
        <v>Coût mensuel</v>
      </c>
      <c r="BB95" s="363" t="s">
        <v>44</v>
      </c>
      <c r="BC95" s="363" t="str">
        <f>BC87</f>
        <v>Achalandage mensuel</v>
      </c>
      <c r="BD95" s="363" t="s">
        <v>45</v>
      </c>
      <c r="BE95" s="363" t="s">
        <v>46</v>
      </c>
      <c r="BF95" s="363" t="str">
        <f>BF87</f>
        <v>Um/A</v>
      </c>
      <c r="BG95" s="363" t="s">
        <v>45</v>
      </c>
      <c r="BH95" s="363" t="str">
        <f>BH87</f>
        <v>CmO</v>
      </c>
      <c r="BI95" s="363" t="s">
        <v>49</v>
      </c>
      <c r="BJ95" s="839"/>
      <c r="BL95" s="836"/>
      <c r="BM95" s="363" t="str">
        <f>BM87</f>
        <v>Bénéfice mensuel</v>
      </c>
      <c r="BN95" s="363" t="s">
        <v>44</v>
      </c>
      <c r="BO95" s="363" t="str">
        <f>BO87</f>
        <v>Achalandage mensuel</v>
      </c>
      <c r="BP95" s="363" t="s">
        <v>45</v>
      </c>
      <c r="BQ95" s="363" t="s">
        <v>46</v>
      </c>
      <c r="BR95" s="363" t="str">
        <f>BR87</f>
        <v>Um/A</v>
      </c>
      <c r="BS95" s="363" t="s">
        <v>45</v>
      </c>
      <c r="BT95" s="363" t="str">
        <f>BT87</f>
        <v>BmO</v>
      </c>
      <c r="BU95" s="363" t="s">
        <v>49</v>
      </c>
      <c r="BV95" s="839"/>
    </row>
    <row r="96" spans="2:74" ht="19" x14ac:dyDescent="0.25">
      <c r="B96" s="891"/>
      <c r="C96" s="893"/>
      <c r="D96" s="836"/>
      <c r="E96" s="364" t="s">
        <v>2</v>
      </c>
      <c r="F96" s="365"/>
      <c r="G96" s="364"/>
      <c r="H96" s="365"/>
      <c r="I96" s="365"/>
      <c r="J96" s="365"/>
      <c r="K96" s="365"/>
      <c r="L96" s="365"/>
      <c r="M96" s="365"/>
      <c r="N96" s="839"/>
      <c r="P96" s="836"/>
      <c r="Q96" s="364" t="s">
        <v>2</v>
      </c>
      <c r="R96" s="365"/>
      <c r="S96" s="364"/>
      <c r="T96" s="365"/>
      <c r="U96" s="365"/>
      <c r="V96" s="365"/>
      <c r="W96" s="365"/>
      <c r="X96" s="365"/>
      <c r="Y96" s="365"/>
      <c r="Z96" s="839"/>
      <c r="AB96" s="836"/>
      <c r="AC96" s="364" t="s">
        <v>2</v>
      </c>
      <c r="AD96" s="365"/>
      <c r="AE96" s="364"/>
      <c r="AF96" s="365"/>
      <c r="AG96" s="365"/>
      <c r="AH96" s="365"/>
      <c r="AI96" s="365"/>
      <c r="AJ96" s="365"/>
      <c r="AK96" s="365"/>
      <c r="AL96" s="839"/>
      <c r="AN96" s="836"/>
      <c r="AO96" s="364" t="s">
        <v>2</v>
      </c>
      <c r="AP96" s="365"/>
      <c r="AQ96" s="364"/>
      <c r="AR96" s="365"/>
      <c r="AS96" s="365"/>
      <c r="AT96" s="365"/>
      <c r="AU96" s="365"/>
      <c r="AV96" s="365"/>
      <c r="AW96" s="365"/>
      <c r="AX96" s="839"/>
      <c r="AZ96" s="836"/>
      <c r="BA96" s="364" t="s">
        <v>2</v>
      </c>
      <c r="BB96" s="365"/>
      <c r="BC96" s="364"/>
      <c r="BD96" s="365"/>
      <c r="BE96" s="365"/>
      <c r="BF96" s="365"/>
      <c r="BG96" s="365"/>
      <c r="BH96" s="365"/>
      <c r="BI96" s="365"/>
      <c r="BJ96" s="839"/>
      <c r="BL96" s="836"/>
      <c r="BM96" s="364" t="s">
        <v>2</v>
      </c>
      <c r="BN96" s="365"/>
      <c r="BO96" s="364"/>
      <c r="BP96" s="365"/>
      <c r="BQ96" s="365"/>
      <c r="BR96" s="365"/>
      <c r="BS96" s="365"/>
      <c r="BT96" s="365"/>
      <c r="BU96" s="365"/>
      <c r="BV96" s="839"/>
    </row>
    <row r="97" spans="2:74" ht="26" x14ac:dyDescent="0.3">
      <c r="B97" s="891"/>
      <c r="C97" s="893"/>
      <c r="D97" s="836"/>
      <c r="E97" s="366" t="str">
        <f>E89</f>
        <v>D</v>
      </c>
      <c r="F97" s="367"/>
      <c r="G97" s="366" t="str">
        <f>G89</f>
        <v>A</v>
      </c>
      <c r="H97" s="367"/>
      <c r="I97" s="367"/>
      <c r="J97" s="366" t="str">
        <f>+J95</f>
        <v>Um/A</v>
      </c>
      <c r="K97" s="367"/>
      <c r="L97" s="366" t="str">
        <f>+L95</f>
        <v>PmO</v>
      </c>
      <c r="M97" s="367"/>
      <c r="N97" s="839"/>
      <c r="P97" s="836"/>
      <c r="Q97" s="366" t="str">
        <f>Q89</f>
        <v>D</v>
      </c>
      <c r="R97" s="367"/>
      <c r="S97" s="366" t="str">
        <f>S89</f>
        <v>A</v>
      </c>
      <c r="T97" s="367"/>
      <c r="U97" s="367"/>
      <c r="V97" s="366" t="str">
        <f>+V95</f>
        <v>Um/A</v>
      </c>
      <c r="W97" s="367"/>
      <c r="X97" s="366" t="str">
        <f>+X95</f>
        <v>PmO</v>
      </c>
      <c r="Y97" s="367"/>
      <c r="Z97" s="839"/>
      <c r="AB97" s="836"/>
      <c r="AC97" s="366" t="str">
        <f>AC89</f>
        <v>D</v>
      </c>
      <c r="AD97" s="367"/>
      <c r="AE97" s="366" t="str">
        <f>AE89</f>
        <v>A</v>
      </c>
      <c r="AF97" s="367"/>
      <c r="AG97" s="367"/>
      <c r="AH97" s="366" t="str">
        <f>+AH95</f>
        <v>Um/A</v>
      </c>
      <c r="AI97" s="367"/>
      <c r="AJ97" s="366" t="str">
        <f>+AJ95</f>
        <v>PmO</v>
      </c>
      <c r="AK97" s="367"/>
      <c r="AL97" s="839"/>
      <c r="AN97" s="836"/>
      <c r="AO97" s="366" t="str">
        <f>AO89</f>
        <v>D</v>
      </c>
      <c r="AP97" s="367"/>
      <c r="AQ97" s="366" t="str">
        <f>AQ89</f>
        <v>A</v>
      </c>
      <c r="AR97" s="367"/>
      <c r="AS97" s="367"/>
      <c r="AT97" s="366" t="str">
        <f>+AT95</f>
        <v>Um/A</v>
      </c>
      <c r="AU97" s="367"/>
      <c r="AV97" s="366" t="str">
        <f>+AV95</f>
        <v>PmO</v>
      </c>
      <c r="AW97" s="367"/>
      <c r="AX97" s="839"/>
      <c r="AZ97" s="836"/>
      <c r="BA97" s="366" t="str">
        <f>BA89</f>
        <v xml:space="preserve">C </v>
      </c>
      <c r="BB97" s="367"/>
      <c r="BC97" s="366" t="str">
        <f>BC89</f>
        <v>A</v>
      </c>
      <c r="BD97" s="367"/>
      <c r="BE97" s="367"/>
      <c r="BF97" s="366" t="str">
        <f>+BF95</f>
        <v>Um/A</v>
      </c>
      <c r="BG97" s="367"/>
      <c r="BH97" s="366" t="str">
        <f>+BH95</f>
        <v>CmO</v>
      </c>
      <c r="BI97" s="367"/>
      <c r="BJ97" s="839"/>
      <c r="BL97" s="836"/>
      <c r="BM97" s="366" t="str">
        <f>BM89</f>
        <v xml:space="preserve">B </v>
      </c>
      <c r="BN97" s="367"/>
      <c r="BO97" s="366" t="str">
        <f>BO89</f>
        <v>A</v>
      </c>
      <c r="BP97" s="367"/>
      <c r="BQ97" s="367"/>
      <c r="BR97" s="366" t="str">
        <f>+BR95</f>
        <v>Um/A</v>
      </c>
      <c r="BS97" s="367"/>
      <c r="BT97" s="366" t="str">
        <f>+BT95</f>
        <v>BmO</v>
      </c>
      <c r="BU97" s="367"/>
      <c r="BV97" s="839"/>
    </row>
    <row r="98" spans="2:74" ht="21" x14ac:dyDescent="0.25">
      <c r="B98" s="891"/>
      <c r="C98" s="893"/>
      <c r="D98" s="836"/>
      <c r="E98" s="340">
        <f>+Q98+AC98+AO98</f>
        <v>45966.180000000008</v>
      </c>
      <c r="F98" s="363" t="s">
        <v>44</v>
      </c>
      <c r="G98" s="341">
        <f>'% Occupation'!O19</f>
        <v>1860</v>
      </c>
      <c r="H98" s="363" t="s">
        <v>45</v>
      </c>
      <c r="I98" s="363" t="s">
        <v>46</v>
      </c>
      <c r="J98" s="342">
        <f>+V98+AH98+AT98</f>
        <v>2.2200000000000002</v>
      </c>
      <c r="K98" s="363" t="s">
        <v>45</v>
      </c>
      <c r="L98" s="343">
        <f>E98/G98/J98</f>
        <v>11.131981981981983</v>
      </c>
      <c r="M98" s="363" t="s">
        <v>49</v>
      </c>
      <c r="N98" s="839"/>
      <c r="P98" s="836"/>
      <c r="Q98" s="340">
        <f>+S98*(V98*X98)</f>
        <v>32922.000000000007</v>
      </c>
      <c r="R98" s="363" t="s">
        <v>44</v>
      </c>
      <c r="S98" s="341">
        <f>G98</f>
        <v>1860</v>
      </c>
      <c r="T98" s="363" t="s">
        <v>45</v>
      </c>
      <c r="U98" s="363" t="s">
        <v>46</v>
      </c>
      <c r="V98" s="378">
        <v>1.5</v>
      </c>
      <c r="W98" s="363" t="s">
        <v>45</v>
      </c>
      <c r="X98" s="379">
        <v>11.8</v>
      </c>
      <c r="Y98" s="363" t="s">
        <v>49</v>
      </c>
      <c r="Z98" s="839"/>
      <c r="AB98" s="836"/>
      <c r="AC98" s="340">
        <f>+AE98*(AH98*AJ98)</f>
        <v>11939.34</v>
      </c>
      <c r="AD98" s="363" t="s">
        <v>44</v>
      </c>
      <c r="AE98" s="341">
        <f>S98</f>
        <v>1860</v>
      </c>
      <c r="AF98" s="363" t="s">
        <v>45</v>
      </c>
      <c r="AG98" s="363" t="s">
        <v>46</v>
      </c>
      <c r="AH98" s="378">
        <v>0.7</v>
      </c>
      <c r="AI98" s="363" t="s">
        <v>45</v>
      </c>
      <c r="AJ98" s="379">
        <v>9.17</v>
      </c>
      <c r="AK98" s="363" t="s">
        <v>49</v>
      </c>
      <c r="AL98" s="839"/>
      <c r="AN98" s="836"/>
      <c r="AO98" s="340">
        <f>+AQ98*(AT98*AV98)</f>
        <v>1104.8399999999999</v>
      </c>
      <c r="AP98" s="363" t="s">
        <v>44</v>
      </c>
      <c r="AQ98" s="341">
        <f>AE98</f>
        <v>1860</v>
      </c>
      <c r="AR98" s="363" t="s">
        <v>45</v>
      </c>
      <c r="AS98" s="363" t="s">
        <v>46</v>
      </c>
      <c r="AT98" s="378">
        <v>0.02</v>
      </c>
      <c r="AU98" s="363" t="s">
        <v>45</v>
      </c>
      <c r="AV98" s="379">
        <v>29.7</v>
      </c>
      <c r="AW98" s="363" t="s">
        <v>49</v>
      </c>
      <c r="AX98" s="839"/>
      <c r="AZ98" s="836"/>
      <c r="BA98" s="340">
        <f>'État des Résultats'!AL14-'État des Résultats'!AL45</f>
        <v>38199.448613629909</v>
      </c>
      <c r="BB98" s="363" t="s">
        <v>44</v>
      </c>
      <c r="BC98" s="341">
        <f>G98</f>
        <v>1860</v>
      </c>
      <c r="BD98" s="363" t="s">
        <v>45</v>
      </c>
      <c r="BE98" s="363" t="s">
        <v>46</v>
      </c>
      <c r="BF98" s="342">
        <f>J98</f>
        <v>2.2200000000000002</v>
      </c>
      <c r="BG98" s="363" t="s">
        <v>45</v>
      </c>
      <c r="BH98" s="343">
        <f>BA98/BC98/BF98</f>
        <v>9.2510531370797988</v>
      </c>
      <c r="BI98" s="363" t="s">
        <v>49</v>
      </c>
      <c r="BJ98" s="839"/>
      <c r="BL98" s="836"/>
      <c r="BM98" s="340">
        <f>'État des Résultats'!AL45</f>
        <v>7766.731386370102</v>
      </c>
      <c r="BN98" s="363" t="s">
        <v>44</v>
      </c>
      <c r="BO98" s="341">
        <f>G98</f>
        <v>1860</v>
      </c>
      <c r="BP98" s="363" t="s">
        <v>45</v>
      </c>
      <c r="BQ98" s="363" t="s">
        <v>46</v>
      </c>
      <c r="BR98" s="342">
        <f>J98</f>
        <v>2.2200000000000002</v>
      </c>
      <c r="BS98" s="363" t="s">
        <v>45</v>
      </c>
      <c r="BT98" s="343">
        <f>BM98/BO98/BR98</f>
        <v>1.8809288449021848</v>
      </c>
      <c r="BU98" s="363" t="s">
        <v>49</v>
      </c>
      <c r="BV98" s="839"/>
    </row>
    <row r="99" spans="2:74" ht="17" thickBot="1" x14ac:dyDescent="0.25">
      <c r="B99" s="892"/>
      <c r="C99" s="893"/>
      <c r="D99" s="837"/>
      <c r="E99" s="368"/>
      <c r="F99" s="368"/>
      <c r="G99" s="368"/>
      <c r="H99" s="368"/>
      <c r="I99" s="368"/>
      <c r="J99" s="368"/>
      <c r="K99" s="368"/>
      <c r="L99" s="368"/>
      <c r="M99" s="368"/>
      <c r="N99" s="840"/>
      <c r="P99" s="837"/>
      <c r="Q99" s="368"/>
      <c r="R99" s="368"/>
      <c r="S99" s="368"/>
      <c r="T99" s="368"/>
      <c r="U99" s="368"/>
      <c r="V99" s="368"/>
      <c r="W99" s="368"/>
      <c r="X99" s="368"/>
      <c r="Y99" s="368"/>
      <c r="Z99" s="840"/>
      <c r="AB99" s="837"/>
      <c r="AC99" s="368"/>
      <c r="AD99" s="368"/>
      <c r="AE99" s="368"/>
      <c r="AF99" s="368"/>
      <c r="AG99" s="368"/>
      <c r="AH99" s="368"/>
      <c r="AI99" s="368"/>
      <c r="AJ99" s="368"/>
      <c r="AK99" s="368"/>
      <c r="AL99" s="840"/>
      <c r="AN99" s="837"/>
      <c r="AO99" s="368"/>
      <c r="AP99" s="368"/>
      <c r="AQ99" s="368"/>
      <c r="AR99" s="368"/>
      <c r="AS99" s="368"/>
      <c r="AT99" s="368"/>
      <c r="AU99" s="368"/>
      <c r="AV99" s="368"/>
      <c r="AW99" s="368"/>
      <c r="AX99" s="840"/>
      <c r="AZ99" s="837"/>
      <c r="BA99" s="368"/>
      <c r="BB99" s="368"/>
      <c r="BC99" s="368"/>
      <c r="BD99" s="368"/>
      <c r="BE99" s="368"/>
      <c r="BF99" s="368"/>
      <c r="BG99" s="368"/>
      <c r="BH99" s="368"/>
      <c r="BI99" s="368"/>
      <c r="BJ99" s="840"/>
      <c r="BL99" s="837"/>
      <c r="BM99" s="368"/>
      <c r="BN99" s="368"/>
      <c r="BO99" s="368"/>
      <c r="BP99" s="368"/>
      <c r="BQ99" s="368"/>
      <c r="BR99" s="368"/>
      <c r="BS99" s="368"/>
      <c r="BT99" s="368"/>
      <c r="BU99" s="368"/>
      <c r="BV99" s="840"/>
    </row>
    <row r="100" spans="2:74" ht="10" customHeight="1" thickBot="1" x14ac:dyDescent="0.2">
      <c r="C100" s="210"/>
    </row>
    <row r="101" spans="2:74" ht="17" thickTop="1" x14ac:dyDescent="0.2">
      <c r="B101" s="876" t="s">
        <v>196</v>
      </c>
      <c r="C101" s="882"/>
      <c r="D101" s="859" t="s">
        <v>42</v>
      </c>
      <c r="E101" s="369"/>
      <c r="F101" s="369"/>
      <c r="G101" s="369"/>
      <c r="H101" s="369"/>
      <c r="I101" s="369"/>
      <c r="J101" s="369"/>
      <c r="K101" s="369"/>
      <c r="L101" s="369"/>
      <c r="M101" s="369"/>
      <c r="N101" s="862" t="s">
        <v>43</v>
      </c>
      <c r="P101" s="859" t="s">
        <v>42</v>
      </c>
      <c r="Q101" s="369"/>
      <c r="R101" s="369"/>
      <c r="S101" s="369"/>
      <c r="T101" s="369"/>
      <c r="U101" s="369"/>
      <c r="V101" s="369"/>
      <c r="W101" s="369"/>
      <c r="X101" s="369"/>
      <c r="Y101" s="369"/>
      <c r="Z101" s="862" t="s">
        <v>43</v>
      </c>
      <c r="AB101" s="859" t="s">
        <v>42</v>
      </c>
      <c r="AC101" s="369"/>
      <c r="AD101" s="369"/>
      <c r="AE101" s="369"/>
      <c r="AF101" s="369"/>
      <c r="AG101" s="369"/>
      <c r="AH101" s="369"/>
      <c r="AI101" s="369"/>
      <c r="AJ101" s="369"/>
      <c r="AK101" s="369"/>
      <c r="AL101" s="862" t="s">
        <v>43</v>
      </c>
      <c r="AN101" s="859" t="s">
        <v>42</v>
      </c>
      <c r="AO101" s="369"/>
      <c r="AP101" s="369"/>
      <c r="AQ101" s="369"/>
      <c r="AR101" s="369"/>
      <c r="AS101" s="369"/>
      <c r="AT101" s="369"/>
      <c r="AU101" s="369"/>
      <c r="AV101" s="369"/>
      <c r="AW101" s="369"/>
      <c r="AX101" s="862" t="s">
        <v>43</v>
      </c>
      <c r="AZ101" s="859" t="s">
        <v>42</v>
      </c>
      <c r="BA101" s="369"/>
      <c r="BB101" s="369"/>
      <c r="BC101" s="369"/>
      <c r="BD101" s="369"/>
      <c r="BE101" s="369"/>
      <c r="BF101" s="369"/>
      <c r="BG101" s="369"/>
      <c r="BH101" s="369"/>
      <c r="BI101" s="369"/>
      <c r="BJ101" s="862" t="s">
        <v>43</v>
      </c>
      <c r="BL101" s="859" t="s">
        <v>42</v>
      </c>
      <c r="BM101" s="369"/>
      <c r="BN101" s="369"/>
      <c r="BO101" s="369"/>
      <c r="BP101" s="369"/>
      <c r="BQ101" s="369"/>
      <c r="BR101" s="369"/>
      <c r="BS101" s="369"/>
      <c r="BT101" s="369"/>
      <c r="BU101" s="369"/>
      <c r="BV101" s="862" t="s">
        <v>43</v>
      </c>
    </row>
    <row r="102" spans="2:74" ht="16" x14ac:dyDescent="0.2">
      <c r="B102" s="877"/>
      <c r="C102" s="882"/>
      <c r="D102" s="860"/>
      <c r="E102" s="370"/>
      <c r="F102" s="370"/>
      <c r="G102" s="370"/>
      <c r="H102" s="370"/>
      <c r="I102" s="370"/>
      <c r="J102" s="370"/>
      <c r="K102" s="370"/>
      <c r="L102" s="370"/>
      <c r="M102" s="370"/>
      <c r="N102" s="863"/>
      <c r="P102" s="860"/>
      <c r="Q102" s="370"/>
      <c r="R102" s="370"/>
      <c r="S102" s="370"/>
      <c r="T102" s="370"/>
      <c r="U102" s="370"/>
      <c r="V102" s="370"/>
      <c r="W102" s="370"/>
      <c r="X102" s="370"/>
      <c r="Y102" s="370"/>
      <c r="Z102" s="863"/>
      <c r="AB102" s="860"/>
      <c r="AC102" s="370"/>
      <c r="AD102" s="370"/>
      <c r="AE102" s="370"/>
      <c r="AF102" s="370"/>
      <c r="AG102" s="370"/>
      <c r="AH102" s="370"/>
      <c r="AI102" s="370"/>
      <c r="AJ102" s="370"/>
      <c r="AK102" s="370"/>
      <c r="AL102" s="863"/>
      <c r="AN102" s="860"/>
      <c r="AO102" s="370"/>
      <c r="AP102" s="370"/>
      <c r="AQ102" s="370"/>
      <c r="AR102" s="370"/>
      <c r="AS102" s="370"/>
      <c r="AT102" s="370"/>
      <c r="AU102" s="370"/>
      <c r="AV102" s="370"/>
      <c r="AW102" s="370"/>
      <c r="AX102" s="863"/>
      <c r="AZ102" s="860"/>
      <c r="BA102" s="370"/>
      <c r="BB102" s="370"/>
      <c r="BC102" s="370"/>
      <c r="BD102" s="370"/>
      <c r="BE102" s="370"/>
      <c r="BF102" s="370"/>
      <c r="BG102" s="370"/>
      <c r="BH102" s="370"/>
      <c r="BI102" s="370"/>
      <c r="BJ102" s="863"/>
      <c r="BL102" s="860"/>
      <c r="BM102" s="370"/>
      <c r="BN102" s="370"/>
      <c r="BO102" s="370"/>
      <c r="BP102" s="370"/>
      <c r="BQ102" s="370"/>
      <c r="BR102" s="370"/>
      <c r="BS102" s="370"/>
      <c r="BT102" s="370"/>
      <c r="BU102" s="370"/>
      <c r="BV102" s="863"/>
    </row>
    <row r="103" spans="2:74" ht="21" x14ac:dyDescent="0.25">
      <c r="B103" s="877"/>
      <c r="C103" s="882"/>
      <c r="D103" s="860"/>
      <c r="E103" s="371" t="str">
        <f>E95</f>
        <v>Demande mensuelle</v>
      </c>
      <c r="F103" s="371" t="s">
        <v>44</v>
      </c>
      <c r="G103" s="371" t="s">
        <v>167</v>
      </c>
      <c r="H103" s="371" t="s">
        <v>45</v>
      </c>
      <c r="I103" s="371" t="s">
        <v>46</v>
      </c>
      <c r="J103" s="371" t="str">
        <f>J95</f>
        <v>Um/A</v>
      </c>
      <c r="K103" s="371" t="s">
        <v>45</v>
      </c>
      <c r="L103" s="371" t="str">
        <f>L95</f>
        <v>PmO</v>
      </c>
      <c r="M103" s="371" t="s">
        <v>49</v>
      </c>
      <c r="N103" s="863"/>
      <c r="P103" s="860"/>
      <c r="Q103" s="371" t="str">
        <f>E103</f>
        <v>Demande mensuelle</v>
      </c>
      <c r="R103" s="371" t="s">
        <v>44</v>
      </c>
      <c r="S103" s="371" t="str">
        <f>G103</f>
        <v>Achalandage annuelle</v>
      </c>
      <c r="T103" s="371" t="s">
        <v>45</v>
      </c>
      <c r="U103" s="371" t="s">
        <v>46</v>
      </c>
      <c r="V103" s="371" t="str">
        <f>J103</f>
        <v>Um/A</v>
      </c>
      <c r="W103" s="371" t="s">
        <v>45</v>
      </c>
      <c r="X103" s="371" t="str">
        <f>L103</f>
        <v>PmO</v>
      </c>
      <c r="Y103" s="371" t="s">
        <v>49</v>
      </c>
      <c r="Z103" s="863"/>
      <c r="AB103" s="860"/>
      <c r="AC103" s="371" t="str">
        <f>AC95</f>
        <v>Demande mensuelle</v>
      </c>
      <c r="AD103" s="371" t="s">
        <v>44</v>
      </c>
      <c r="AE103" s="371" t="str">
        <f>S103</f>
        <v>Achalandage annuelle</v>
      </c>
      <c r="AF103" s="371" t="s">
        <v>45</v>
      </c>
      <c r="AG103" s="371" t="s">
        <v>46</v>
      </c>
      <c r="AH103" s="371" t="str">
        <f>V103</f>
        <v>Um/A</v>
      </c>
      <c r="AI103" s="371" t="s">
        <v>45</v>
      </c>
      <c r="AJ103" s="371" t="str">
        <f>X103</f>
        <v>PmO</v>
      </c>
      <c r="AK103" s="371" t="s">
        <v>49</v>
      </c>
      <c r="AL103" s="863"/>
      <c r="AN103" s="860"/>
      <c r="AO103" s="371" t="str">
        <f>AC103</f>
        <v>Demande mensuelle</v>
      </c>
      <c r="AP103" s="371" t="s">
        <v>44</v>
      </c>
      <c r="AQ103" s="371" t="str">
        <f>AE103</f>
        <v>Achalandage annuelle</v>
      </c>
      <c r="AR103" s="371" t="s">
        <v>45</v>
      </c>
      <c r="AS103" s="371" t="s">
        <v>46</v>
      </c>
      <c r="AT103" s="371" t="str">
        <f>AH103</f>
        <v>Um/A</v>
      </c>
      <c r="AU103" s="371" t="s">
        <v>45</v>
      </c>
      <c r="AV103" s="371" t="str">
        <f>AJ103</f>
        <v>PmO</v>
      </c>
      <c r="AW103" s="371" t="s">
        <v>49</v>
      </c>
      <c r="AX103" s="863"/>
      <c r="AZ103" s="860"/>
      <c r="BA103" s="371" t="s">
        <v>233</v>
      </c>
      <c r="BB103" s="371" t="s">
        <v>44</v>
      </c>
      <c r="BC103" s="371" t="s">
        <v>167</v>
      </c>
      <c r="BD103" s="371" t="s">
        <v>45</v>
      </c>
      <c r="BE103" s="371" t="s">
        <v>46</v>
      </c>
      <c r="BF103" s="371" t="str">
        <f>AT103</f>
        <v>Um/A</v>
      </c>
      <c r="BG103" s="371" t="s">
        <v>45</v>
      </c>
      <c r="BH103" s="371" t="s">
        <v>235</v>
      </c>
      <c r="BI103" s="371" t="s">
        <v>49</v>
      </c>
      <c r="BJ103" s="863"/>
      <c r="BL103" s="860"/>
      <c r="BM103" s="371" t="s">
        <v>238</v>
      </c>
      <c r="BN103" s="371" t="s">
        <v>44</v>
      </c>
      <c r="BO103" s="371" t="str">
        <f>BC103</f>
        <v>Achalandage annuelle</v>
      </c>
      <c r="BP103" s="371" t="s">
        <v>45</v>
      </c>
      <c r="BQ103" s="371" t="s">
        <v>46</v>
      </c>
      <c r="BR103" s="371" t="str">
        <f>BF103</f>
        <v>Um/A</v>
      </c>
      <c r="BS103" s="371" t="s">
        <v>45</v>
      </c>
      <c r="BT103" s="371" t="s">
        <v>239</v>
      </c>
      <c r="BU103" s="371" t="s">
        <v>49</v>
      </c>
      <c r="BV103" s="863"/>
    </row>
    <row r="104" spans="2:74" ht="19" x14ac:dyDescent="0.25">
      <c r="B104" s="877"/>
      <c r="C104" s="882"/>
      <c r="D104" s="860"/>
      <c r="E104" s="372" t="s">
        <v>2</v>
      </c>
      <c r="F104" s="373"/>
      <c r="G104" s="372"/>
      <c r="H104" s="373"/>
      <c r="I104" s="373"/>
      <c r="J104" s="373"/>
      <c r="K104" s="373"/>
      <c r="L104" s="373"/>
      <c r="M104" s="373"/>
      <c r="N104" s="863"/>
      <c r="P104" s="860"/>
      <c r="Q104" s="372" t="s">
        <v>2</v>
      </c>
      <c r="R104" s="373"/>
      <c r="S104" s="372"/>
      <c r="T104" s="373"/>
      <c r="U104" s="373"/>
      <c r="V104" s="373"/>
      <c r="W104" s="373"/>
      <c r="X104" s="373"/>
      <c r="Y104" s="373"/>
      <c r="Z104" s="863"/>
      <c r="AB104" s="860"/>
      <c r="AC104" s="372" t="s">
        <v>2</v>
      </c>
      <c r="AD104" s="373"/>
      <c r="AE104" s="372"/>
      <c r="AF104" s="373"/>
      <c r="AG104" s="373"/>
      <c r="AH104" s="373"/>
      <c r="AI104" s="373"/>
      <c r="AJ104" s="373"/>
      <c r="AK104" s="373"/>
      <c r="AL104" s="863"/>
      <c r="AN104" s="860"/>
      <c r="AO104" s="372" t="s">
        <v>2</v>
      </c>
      <c r="AP104" s="373"/>
      <c r="AQ104" s="372"/>
      <c r="AR104" s="373"/>
      <c r="AS104" s="373"/>
      <c r="AT104" s="373"/>
      <c r="AU104" s="373"/>
      <c r="AV104" s="373"/>
      <c r="AW104" s="373"/>
      <c r="AX104" s="863"/>
      <c r="AZ104" s="860"/>
      <c r="BA104" s="372" t="s">
        <v>2</v>
      </c>
      <c r="BB104" s="373"/>
      <c r="BC104" s="372"/>
      <c r="BD104" s="373"/>
      <c r="BE104" s="373"/>
      <c r="BF104" s="373"/>
      <c r="BG104" s="373"/>
      <c r="BH104" s="373"/>
      <c r="BI104" s="373"/>
      <c r="BJ104" s="863"/>
      <c r="BL104" s="860"/>
      <c r="BM104" s="372" t="s">
        <v>2</v>
      </c>
      <c r="BN104" s="373"/>
      <c r="BO104" s="372"/>
      <c r="BP104" s="373"/>
      <c r="BQ104" s="373"/>
      <c r="BR104" s="373"/>
      <c r="BS104" s="373"/>
      <c r="BT104" s="373"/>
      <c r="BU104" s="373"/>
      <c r="BV104" s="863"/>
    </row>
    <row r="105" spans="2:74" ht="26" x14ac:dyDescent="0.3">
      <c r="B105" s="877"/>
      <c r="C105" s="882"/>
      <c r="D105" s="860"/>
      <c r="E105" s="374" t="str">
        <f>E97</f>
        <v>D</v>
      </c>
      <c r="F105" s="375"/>
      <c r="G105" s="374" t="str">
        <f>G97</f>
        <v>A</v>
      </c>
      <c r="H105" s="375"/>
      <c r="I105" s="375"/>
      <c r="J105" s="374" t="str">
        <f>J103</f>
        <v>Um/A</v>
      </c>
      <c r="K105" s="375"/>
      <c r="L105" s="374" t="str">
        <f>L103</f>
        <v>PmO</v>
      </c>
      <c r="M105" s="375"/>
      <c r="N105" s="863"/>
      <c r="P105" s="860"/>
      <c r="Q105" s="374" t="str">
        <f>E105</f>
        <v>D</v>
      </c>
      <c r="R105" s="375"/>
      <c r="S105" s="374" t="str">
        <f>G105</f>
        <v>A</v>
      </c>
      <c r="T105" s="375"/>
      <c r="U105" s="375"/>
      <c r="V105" s="374" t="str">
        <f>V103</f>
        <v>Um/A</v>
      </c>
      <c r="W105" s="375"/>
      <c r="X105" s="374" t="str">
        <f>X103</f>
        <v>PmO</v>
      </c>
      <c r="Y105" s="375"/>
      <c r="Z105" s="863"/>
      <c r="AB105" s="860"/>
      <c r="AC105" s="374" t="str">
        <f>AC97</f>
        <v>D</v>
      </c>
      <c r="AD105" s="375"/>
      <c r="AE105" s="374" t="str">
        <f>S105</f>
        <v>A</v>
      </c>
      <c r="AF105" s="375"/>
      <c r="AG105" s="375"/>
      <c r="AH105" s="374" t="str">
        <f>AH103</f>
        <v>Um/A</v>
      </c>
      <c r="AI105" s="375"/>
      <c r="AJ105" s="374" t="str">
        <f>AJ103</f>
        <v>PmO</v>
      </c>
      <c r="AK105" s="375"/>
      <c r="AL105" s="863"/>
      <c r="AN105" s="860"/>
      <c r="AO105" s="374" t="str">
        <f>AC105</f>
        <v>D</v>
      </c>
      <c r="AP105" s="375"/>
      <c r="AQ105" s="374" t="str">
        <f>AE105</f>
        <v>A</v>
      </c>
      <c r="AR105" s="375"/>
      <c r="AS105" s="375"/>
      <c r="AT105" s="374" t="str">
        <f>AT103</f>
        <v>Um/A</v>
      </c>
      <c r="AU105" s="375"/>
      <c r="AV105" s="374" t="str">
        <f>AV103</f>
        <v>PmO</v>
      </c>
      <c r="AW105" s="375"/>
      <c r="AX105" s="863"/>
      <c r="AZ105" s="860"/>
      <c r="BA105" s="374" t="s">
        <v>236</v>
      </c>
      <c r="BB105" s="375"/>
      <c r="BC105" s="374" t="s">
        <v>50</v>
      </c>
      <c r="BD105" s="375"/>
      <c r="BE105" s="375"/>
      <c r="BF105" s="374" t="str">
        <f>BF103</f>
        <v>Um/A</v>
      </c>
      <c r="BG105" s="375"/>
      <c r="BH105" s="374" t="str">
        <f>+BH103</f>
        <v>CmO</v>
      </c>
      <c r="BI105" s="375"/>
      <c r="BJ105" s="863"/>
      <c r="BL105" s="860"/>
      <c r="BM105" s="374" t="s">
        <v>237</v>
      </c>
      <c r="BN105" s="375"/>
      <c r="BO105" s="374" t="str">
        <f>BC105</f>
        <v>A</v>
      </c>
      <c r="BP105" s="375"/>
      <c r="BQ105" s="375"/>
      <c r="BR105" s="374" t="str">
        <f>BR103</f>
        <v>Um/A</v>
      </c>
      <c r="BS105" s="375"/>
      <c r="BT105" s="374" t="str">
        <f>+BT103</f>
        <v>BmO</v>
      </c>
      <c r="BU105" s="375"/>
      <c r="BV105" s="863"/>
    </row>
    <row r="106" spans="2:74" ht="21" x14ac:dyDescent="0.25">
      <c r="B106" s="877"/>
      <c r="C106" s="882"/>
      <c r="D106" s="860"/>
      <c r="E106" s="340">
        <f>+Q106+AC106+AO106</f>
        <v>565309.875</v>
      </c>
      <c r="F106" s="371" t="s">
        <v>44</v>
      </c>
      <c r="G106" s="341">
        <f>+G10+G18+G26+G34+G42+G50+G58+G66+G74+G82+G90+G98</f>
        <v>22875</v>
      </c>
      <c r="H106" s="371" t="s">
        <v>45</v>
      </c>
      <c r="I106" s="371" t="s">
        <v>46</v>
      </c>
      <c r="J106" s="342">
        <f>+V106+AH106+AT106</f>
        <v>2.2200000000000002</v>
      </c>
      <c r="K106" s="371" t="s">
        <v>45</v>
      </c>
      <c r="L106" s="343">
        <f>E106/G106/J106</f>
        <v>11.131981981981982</v>
      </c>
      <c r="M106" s="371" t="s">
        <v>49</v>
      </c>
      <c r="N106" s="863"/>
      <c r="P106" s="860"/>
      <c r="Q106" s="380">
        <f>+Q10+Q18+Q26+Q34+Q42+Q50+Q58+Q66+Q74+Q82+Q90+Q98</f>
        <v>404887.50000000006</v>
      </c>
      <c r="R106" s="371" t="s">
        <v>44</v>
      </c>
      <c r="S106" s="341">
        <f>+S10+S18+S26+S34+S42+S50+S58+S66+S74+S82+S90+S98</f>
        <v>22875</v>
      </c>
      <c r="T106" s="371" t="s">
        <v>45</v>
      </c>
      <c r="U106" s="371" t="s">
        <v>46</v>
      </c>
      <c r="V106" s="342">
        <f>+(V10+V18+V26+V34+V42+V50+V58+V66+V74+V82+V90+V98)/12</f>
        <v>1.5</v>
      </c>
      <c r="W106" s="371" t="s">
        <v>45</v>
      </c>
      <c r="X106" s="343">
        <f>Q106/S106/V106</f>
        <v>11.800000000000002</v>
      </c>
      <c r="Y106" s="371" t="s">
        <v>49</v>
      </c>
      <c r="Z106" s="863"/>
      <c r="AB106" s="860"/>
      <c r="AC106" s="380">
        <f>+AC10+AC18+AC26+AC34+AC42+AC50+AC58+AC66+AC74+AC82+AC90+AC98</f>
        <v>146834.62499999997</v>
      </c>
      <c r="AD106" s="371" t="s">
        <v>44</v>
      </c>
      <c r="AE106" s="341">
        <f>+AE10+AE18+AE26+AE34+AE42+AE50+AE58+AE66+AE74+AE82+AE90+AE98</f>
        <v>22875</v>
      </c>
      <c r="AF106" s="371" t="s">
        <v>45</v>
      </c>
      <c r="AG106" s="371" t="s">
        <v>46</v>
      </c>
      <c r="AH106" s="342">
        <f>+(AH10+AH18+AH26+AH34+AH42+AH50+AH58+AH66+AH74+AH82+AH90+AH98)/12</f>
        <v>0.70000000000000007</v>
      </c>
      <c r="AI106" s="371" t="s">
        <v>45</v>
      </c>
      <c r="AJ106" s="343">
        <f>AC106/AE106/AH106</f>
        <v>9.1699999999999982</v>
      </c>
      <c r="AK106" s="371" t="s">
        <v>49</v>
      </c>
      <c r="AL106" s="863"/>
      <c r="AN106" s="860"/>
      <c r="AO106" s="380">
        <f>+AO10+AO18+AO26+AO34+AO42+AO50+AO58+AO66+AO74+AO82+AO90+AO98</f>
        <v>13587.75</v>
      </c>
      <c r="AP106" s="371" t="s">
        <v>44</v>
      </c>
      <c r="AQ106" s="341">
        <f>+AQ10+AQ18+AQ26+AQ34+AQ42+AQ50+AQ58+AQ66+AQ74+AQ82+AQ90+AQ98</f>
        <v>22875</v>
      </c>
      <c r="AR106" s="371" t="s">
        <v>45</v>
      </c>
      <c r="AS106" s="371" t="s">
        <v>46</v>
      </c>
      <c r="AT106" s="342">
        <f>+(AT10+AT18+AT26+AT34+AT42+AT50+AT58+AT66+AT74+AT82+AT90+AT98)/12</f>
        <v>1.9999999999999997E-2</v>
      </c>
      <c r="AU106" s="371" t="s">
        <v>45</v>
      </c>
      <c r="AV106" s="343">
        <f>AO106/AQ106/AT106</f>
        <v>29.700000000000003</v>
      </c>
      <c r="AW106" s="371" t="s">
        <v>49</v>
      </c>
      <c r="AX106" s="863"/>
      <c r="AZ106" s="860"/>
      <c r="BA106" s="380">
        <f>+('État des Résultats'!AP14-'État des Résultats'!AP45)</f>
        <v>469766.17995846557</v>
      </c>
      <c r="BB106" s="371" t="s">
        <v>44</v>
      </c>
      <c r="BC106" s="341">
        <f>G106</f>
        <v>22875</v>
      </c>
      <c r="BD106" s="371" t="s">
        <v>45</v>
      </c>
      <c r="BE106" s="371" t="s">
        <v>46</v>
      </c>
      <c r="BF106" s="342">
        <f>J106</f>
        <v>2.2200000000000002</v>
      </c>
      <c r="BG106" s="371" t="s">
        <v>45</v>
      </c>
      <c r="BH106" s="343">
        <f>BA106/BC106/BF106</f>
        <v>9.2505524532755476</v>
      </c>
      <c r="BI106" s="371" t="s">
        <v>49</v>
      </c>
      <c r="BJ106" s="863"/>
      <c r="BL106" s="860"/>
      <c r="BM106" s="380">
        <f>'État des Résultats'!AP45</f>
        <v>95543.695041534447</v>
      </c>
      <c r="BN106" s="371" t="s">
        <v>44</v>
      </c>
      <c r="BO106" s="341">
        <f>S106</f>
        <v>22875</v>
      </c>
      <c r="BP106" s="371" t="s">
        <v>45</v>
      </c>
      <c r="BQ106" s="371" t="s">
        <v>46</v>
      </c>
      <c r="BR106" s="342">
        <f>J106</f>
        <v>2.2200000000000002</v>
      </c>
      <c r="BS106" s="371" t="s">
        <v>45</v>
      </c>
      <c r="BT106" s="343">
        <f>BM106/BO106/BR106</f>
        <v>1.8814295287064331</v>
      </c>
      <c r="BU106" s="371" t="s">
        <v>49</v>
      </c>
      <c r="BV106" s="863"/>
    </row>
    <row r="107" spans="2:74" ht="17" thickBot="1" x14ac:dyDescent="0.25">
      <c r="B107" s="877"/>
      <c r="C107" s="882"/>
      <c r="D107" s="861"/>
      <c r="E107" s="376"/>
      <c r="F107" s="376"/>
      <c r="G107" s="376"/>
      <c r="H107" s="376"/>
      <c r="I107" s="376"/>
      <c r="J107" s="376"/>
      <c r="K107" s="376"/>
      <c r="L107" s="376"/>
      <c r="M107" s="376"/>
      <c r="N107" s="864"/>
      <c r="P107" s="861"/>
      <c r="Q107" s="376"/>
      <c r="R107" s="376"/>
      <c r="S107" s="376"/>
      <c r="T107" s="376"/>
      <c r="U107" s="376"/>
      <c r="V107" s="376"/>
      <c r="W107" s="376"/>
      <c r="X107" s="376"/>
      <c r="Y107" s="376"/>
      <c r="Z107" s="864"/>
      <c r="AB107" s="861"/>
      <c r="AC107" s="376"/>
      <c r="AD107" s="376"/>
      <c r="AE107" s="376"/>
      <c r="AF107" s="376"/>
      <c r="AG107" s="376"/>
      <c r="AH107" s="376"/>
      <c r="AI107" s="376"/>
      <c r="AJ107" s="376"/>
      <c r="AK107" s="376"/>
      <c r="AL107" s="864"/>
      <c r="AN107" s="861"/>
      <c r="AO107" s="376"/>
      <c r="AP107" s="376"/>
      <c r="AQ107" s="376"/>
      <c r="AR107" s="376"/>
      <c r="AS107" s="376"/>
      <c r="AT107" s="376"/>
      <c r="AU107" s="376"/>
      <c r="AV107" s="376"/>
      <c r="AW107" s="376"/>
      <c r="AX107" s="864"/>
      <c r="AZ107" s="861"/>
      <c r="BA107" s="376"/>
      <c r="BB107" s="376"/>
      <c r="BC107" s="376"/>
      <c r="BD107" s="376"/>
      <c r="BE107" s="376"/>
      <c r="BF107" s="376"/>
      <c r="BG107" s="376"/>
      <c r="BH107" s="376"/>
      <c r="BI107" s="376"/>
      <c r="BJ107" s="864"/>
      <c r="BL107" s="861"/>
      <c r="BM107" s="376"/>
      <c r="BN107" s="376"/>
      <c r="BO107" s="376"/>
      <c r="BP107" s="376"/>
      <c r="BQ107" s="376"/>
      <c r="BR107" s="376"/>
      <c r="BS107" s="376"/>
      <c r="BT107" s="376"/>
      <c r="BU107" s="376"/>
      <c r="BV107" s="864"/>
    </row>
    <row r="108" spans="2:74" ht="5" customHeight="1" thickTop="1" thickBot="1" x14ac:dyDescent="0.2">
      <c r="B108" s="877"/>
      <c r="C108" s="210"/>
    </row>
    <row r="109" spans="2:74" ht="17" thickTop="1" x14ac:dyDescent="0.2">
      <c r="B109" s="877"/>
      <c r="C109" s="882"/>
      <c r="D109" s="859" t="s">
        <v>42</v>
      </c>
      <c r="E109" s="369"/>
      <c r="F109" s="369"/>
      <c r="G109" s="369"/>
      <c r="H109" s="369"/>
      <c r="I109" s="369"/>
      <c r="J109" s="369"/>
      <c r="K109" s="369"/>
      <c r="L109" s="369"/>
      <c r="M109" s="369"/>
      <c r="N109" s="862" t="s">
        <v>43</v>
      </c>
      <c r="P109" s="859" t="s">
        <v>42</v>
      </c>
      <c r="Q109" s="369"/>
      <c r="R109" s="369"/>
      <c r="S109" s="369"/>
      <c r="T109" s="369"/>
      <c r="U109" s="369"/>
      <c r="V109" s="369"/>
      <c r="W109" s="369"/>
      <c r="X109" s="369"/>
      <c r="Y109" s="369"/>
      <c r="Z109" s="862" t="s">
        <v>43</v>
      </c>
      <c r="AB109" s="859" t="s">
        <v>42</v>
      </c>
      <c r="AC109" s="369"/>
      <c r="AD109" s="369"/>
      <c r="AE109" s="369"/>
      <c r="AF109" s="369"/>
      <c r="AG109" s="369"/>
      <c r="AH109" s="369"/>
      <c r="AI109" s="369"/>
      <c r="AJ109" s="369"/>
      <c r="AK109" s="369"/>
      <c r="AL109" s="862" t="s">
        <v>43</v>
      </c>
      <c r="AN109" s="859" t="s">
        <v>42</v>
      </c>
      <c r="AO109" s="369"/>
      <c r="AP109" s="369"/>
      <c r="AQ109" s="369"/>
      <c r="AR109" s="369"/>
      <c r="AS109" s="369"/>
      <c r="AT109" s="369"/>
      <c r="AU109" s="369"/>
      <c r="AV109" s="369"/>
      <c r="AW109" s="369"/>
      <c r="AX109" s="862" t="s">
        <v>43</v>
      </c>
      <c r="AZ109" s="859" t="s">
        <v>42</v>
      </c>
      <c r="BA109" s="369"/>
      <c r="BB109" s="369"/>
      <c r="BC109" s="369"/>
      <c r="BD109" s="369"/>
      <c r="BE109" s="369"/>
      <c r="BF109" s="369"/>
      <c r="BG109" s="369"/>
      <c r="BH109" s="369"/>
      <c r="BI109" s="369"/>
      <c r="BJ109" s="862" t="s">
        <v>43</v>
      </c>
      <c r="BL109" s="859" t="s">
        <v>42</v>
      </c>
      <c r="BM109" s="369"/>
      <c r="BN109" s="369"/>
      <c r="BO109" s="369"/>
      <c r="BP109" s="369"/>
      <c r="BQ109" s="369"/>
      <c r="BR109" s="369"/>
      <c r="BS109" s="369"/>
      <c r="BT109" s="369"/>
      <c r="BU109" s="369"/>
      <c r="BV109" s="862" t="s">
        <v>43</v>
      </c>
    </row>
    <row r="110" spans="2:74" ht="16" x14ac:dyDescent="0.2">
      <c r="B110" s="877"/>
      <c r="C110" s="882"/>
      <c r="D110" s="860"/>
      <c r="E110" s="370"/>
      <c r="F110" s="370"/>
      <c r="G110" s="370"/>
      <c r="H110" s="370"/>
      <c r="I110" s="370"/>
      <c r="J110" s="370"/>
      <c r="K110" s="370"/>
      <c r="L110" s="370"/>
      <c r="M110" s="370"/>
      <c r="N110" s="863"/>
      <c r="P110" s="860"/>
      <c r="Q110" s="370"/>
      <c r="R110" s="370"/>
      <c r="S110" s="370"/>
      <c r="T110" s="370"/>
      <c r="U110" s="370"/>
      <c r="V110" s="370"/>
      <c r="W110" s="370"/>
      <c r="X110" s="370"/>
      <c r="Y110" s="370"/>
      <c r="Z110" s="863"/>
      <c r="AB110" s="860"/>
      <c r="AC110" s="370"/>
      <c r="AD110" s="370"/>
      <c r="AE110" s="370"/>
      <c r="AF110" s="370"/>
      <c r="AG110" s="370"/>
      <c r="AH110" s="370"/>
      <c r="AI110" s="370"/>
      <c r="AJ110" s="370"/>
      <c r="AK110" s="370"/>
      <c r="AL110" s="863"/>
      <c r="AN110" s="860"/>
      <c r="AO110" s="370"/>
      <c r="AP110" s="370"/>
      <c r="AQ110" s="370"/>
      <c r="AR110" s="370"/>
      <c r="AS110" s="370"/>
      <c r="AT110" s="370"/>
      <c r="AU110" s="370"/>
      <c r="AV110" s="370"/>
      <c r="AW110" s="370"/>
      <c r="AX110" s="863"/>
      <c r="AZ110" s="860"/>
      <c r="BA110" s="370"/>
      <c r="BB110" s="370"/>
      <c r="BC110" s="370"/>
      <c r="BD110" s="370"/>
      <c r="BE110" s="370"/>
      <c r="BF110" s="370"/>
      <c r="BG110" s="370"/>
      <c r="BH110" s="370"/>
      <c r="BI110" s="370"/>
      <c r="BJ110" s="863"/>
      <c r="BL110" s="860"/>
      <c r="BM110" s="370"/>
      <c r="BN110" s="370"/>
      <c r="BO110" s="370"/>
      <c r="BP110" s="370"/>
      <c r="BQ110" s="370"/>
      <c r="BR110" s="370"/>
      <c r="BS110" s="370"/>
      <c r="BT110" s="370"/>
      <c r="BU110" s="370"/>
      <c r="BV110" s="863"/>
    </row>
    <row r="111" spans="2:74" ht="21" x14ac:dyDescent="0.25">
      <c r="B111" s="877"/>
      <c r="C111" s="882"/>
      <c r="D111" s="860"/>
      <c r="E111" s="371" t="str">
        <f>E103</f>
        <v>Demande mensuelle</v>
      </c>
      <c r="F111" s="371" t="s">
        <v>44</v>
      </c>
      <c r="G111" s="371" t="str">
        <f>G103</f>
        <v>Achalandage annuelle</v>
      </c>
      <c r="H111" s="371" t="s">
        <v>45</v>
      </c>
      <c r="I111" s="371" t="s">
        <v>46</v>
      </c>
      <c r="J111" s="865" t="s">
        <v>132</v>
      </c>
      <c r="K111" s="866"/>
      <c r="L111" s="866"/>
      <c r="M111" s="371" t="s">
        <v>49</v>
      </c>
      <c r="N111" s="863"/>
      <c r="P111" s="860"/>
      <c r="Q111" s="371" t="str">
        <f>Q103</f>
        <v>Demande mensuelle</v>
      </c>
      <c r="R111" s="371" t="s">
        <v>44</v>
      </c>
      <c r="S111" s="371" t="str">
        <f>S103</f>
        <v>Achalandage annuelle</v>
      </c>
      <c r="T111" s="371" t="s">
        <v>45</v>
      </c>
      <c r="U111" s="371" t="s">
        <v>46</v>
      </c>
      <c r="V111" s="865" t="str">
        <f>J111</f>
        <v>Dm/A</v>
      </c>
      <c r="W111" s="866"/>
      <c r="X111" s="866"/>
      <c r="Y111" s="371" t="s">
        <v>49</v>
      </c>
      <c r="Z111" s="863"/>
      <c r="AB111" s="860"/>
      <c r="AC111" s="371" t="str">
        <f>AC103</f>
        <v>Demande mensuelle</v>
      </c>
      <c r="AD111" s="371" t="s">
        <v>44</v>
      </c>
      <c r="AE111" s="371" t="str">
        <f>AE103</f>
        <v>Achalandage annuelle</v>
      </c>
      <c r="AF111" s="371" t="s">
        <v>45</v>
      </c>
      <c r="AG111" s="371" t="s">
        <v>46</v>
      </c>
      <c r="AH111" s="865" t="str">
        <f>V111</f>
        <v>Dm/A</v>
      </c>
      <c r="AI111" s="866"/>
      <c r="AJ111" s="866"/>
      <c r="AK111" s="371" t="s">
        <v>49</v>
      </c>
      <c r="AL111" s="863"/>
      <c r="AN111" s="860"/>
      <c r="AO111" s="371" t="str">
        <f>AO103</f>
        <v>Demande mensuelle</v>
      </c>
      <c r="AP111" s="371" t="s">
        <v>44</v>
      </c>
      <c r="AQ111" s="371" t="str">
        <f>AQ103</f>
        <v>Achalandage annuelle</v>
      </c>
      <c r="AR111" s="371" t="s">
        <v>45</v>
      </c>
      <c r="AS111" s="371" t="s">
        <v>46</v>
      </c>
      <c r="AT111" s="865" t="str">
        <f>AH111</f>
        <v>Dm/A</v>
      </c>
      <c r="AU111" s="866"/>
      <c r="AV111" s="866"/>
      <c r="AW111" s="371" t="s">
        <v>49</v>
      </c>
      <c r="AX111" s="863"/>
      <c r="AZ111" s="860"/>
      <c r="BA111" s="371" t="str">
        <f>BA103</f>
        <v>Coût annuel</v>
      </c>
      <c r="BB111" s="371" t="s">
        <v>44</v>
      </c>
      <c r="BC111" s="371" t="str">
        <f>BC103</f>
        <v>Achalandage annuelle</v>
      </c>
      <c r="BD111" s="371" t="s">
        <v>45</v>
      </c>
      <c r="BE111" s="371" t="s">
        <v>46</v>
      </c>
      <c r="BF111" s="865" t="s">
        <v>242</v>
      </c>
      <c r="BG111" s="866"/>
      <c r="BH111" s="866"/>
      <c r="BI111" s="371" t="s">
        <v>49</v>
      </c>
      <c r="BJ111" s="863"/>
      <c r="BL111" s="860"/>
      <c r="BM111" s="371" t="str">
        <f>BM103</f>
        <v>Bénéfice annuel</v>
      </c>
      <c r="BN111" s="371" t="s">
        <v>44</v>
      </c>
      <c r="BO111" s="371" t="str">
        <f>BO103</f>
        <v>Achalandage annuelle</v>
      </c>
      <c r="BP111" s="371" t="s">
        <v>45</v>
      </c>
      <c r="BQ111" s="371" t="s">
        <v>46</v>
      </c>
      <c r="BR111" s="865" t="s">
        <v>243</v>
      </c>
      <c r="BS111" s="866"/>
      <c r="BT111" s="866"/>
      <c r="BU111" s="371" t="s">
        <v>49</v>
      </c>
      <c r="BV111" s="863"/>
    </row>
    <row r="112" spans="2:74" ht="19" x14ac:dyDescent="0.25">
      <c r="B112" s="877"/>
      <c r="C112" s="882"/>
      <c r="D112" s="860"/>
      <c r="E112" s="372" t="s">
        <v>2</v>
      </c>
      <c r="F112" s="373"/>
      <c r="G112" s="372"/>
      <c r="H112" s="373"/>
      <c r="I112" s="373"/>
      <c r="J112" s="373"/>
      <c r="K112" s="373"/>
      <c r="L112" s="373"/>
      <c r="M112" s="373"/>
      <c r="N112" s="863"/>
      <c r="P112" s="860"/>
      <c r="Q112" s="372" t="s">
        <v>2</v>
      </c>
      <c r="R112" s="373"/>
      <c r="S112" s="372"/>
      <c r="T112" s="373"/>
      <c r="U112" s="373"/>
      <c r="V112" s="373"/>
      <c r="W112" s="373"/>
      <c r="X112" s="373"/>
      <c r="Y112" s="373"/>
      <c r="Z112" s="863"/>
      <c r="AB112" s="860"/>
      <c r="AC112" s="372" t="s">
        <v>2</v>
      </c>
      <c r="AD112" s="373"/>
      <c r="AE112" s="372"/>
      <c r="AF112" s="373"/>
      <c r="AG112" s="373"/>
      <c r="AH112" s="373"/>
      <c r="AI112" s="373"/>
      <c r="AJ112" s="373"/>
      <c r="AK112" s="373"/>
      <c r="AL112" s="863"/>
      <c r="AN112" s="860"/>
      <c r="AO112" s="372" t="s">
        <v>2</v>
      </c>
      <c r="AP112" s="373"/>
      <c r="AQ112" s="372"/>
      <c r="AR112" s="373"/>
      <c r="AS112" s="373"/>
      <c r="AT112" s="373"/>
      <c r="AU112" s="373"/>
      <c r="AV112" s="373"/>
      <c r="AW112" s="373"/>
      <c r="AX112" s="863"/>
      <c r="AZ112" s="860"/>
      <c r="BA112" s="372" t="s">
        <v>2</v>
      </c>
      <c r="BB112" s="373"/>
      <c r="BC112" s="372"/>
      <c r="BD112" s="373"/>
      <c r="BE112" s="373"/>
      <c r="BF112" s="373"/>
      <c r="BG112" s="373"/>
      <c r="BH112" s="373"/>
      <c r="BI112" s="373"/>
      <c r="BJ112" s="863"/>
      <c r="BL112" s="860"/>
      <c r="BM112" s="372" t="s">
        <v>2</v>
      </c>
      <c r="BN112" s="373"/>
      <c r="BO112" s="372"/>
      <c r="BP112" s="373"/>
      <c r="BQ112" s="373"/>
      <c r="BR112" s="373"/>
      <c r="BS112" s="373"/>
      <c r="BT112" s="373"/>
      <c r="BU112" s="373"/>
      <c r="BV112" s="863"/>
    </row>
    <row r="113" spans="2:74" ht="26" x14ac:dyDescent="0.3">
      <c r="B113" s="877"/>
      <c r="C113" s="882"/>
      <c r="D113" s="860"/>
      <c r="E113" s="374" t="str">
        <f>E105</f>
        <v>D</v>
      </c>
      <c r="F113" s="375"/>
      <c r="G113" s="374" t="str">
        <f>G105</f>
        <v>A</v>
      </c>
      <c r="H113" s="375"/>
      <c r="I113" s="375"/>
      <c r="J113" s="867" t="str">
        <f>J111</f>
        <v>Dm/A</v>
      </c>
      <c r="K113" s="866"/>
      <c r="L113" s="866"/>
      <c r="M113" s="375"/>
      <c r="N113" s="863"/>
      <c r="P113" s="860"/>
      <c r="Q113" s="374" t="str">
        <f>E113</f>
        <v>D</v>
      </c>
      <c r="R113" s="375"/>
      <c r="S113" s="374" t="str">
        <f>G113</f>
        <v>A</v>
      </c>
      <c r="T113" s="375"/>
      <c r="U113" s="375"/>
      <c r="V113" s="867" t="str">
        <f>V111</f>
        <v>Dm/A</v>
      </c>
      <c r="W113" s="866"/>
      <c r="X113" s="866"/>
      <c r="Y113" s="375"/>
      <c r="Z113" s="863"/>
      <c r="AB113" s="860"/>
      <c r="AC113" s="374" t="str">
        <f>AC105</f>
        <v>D</v>
      </c>
      <c r="AD113" s="375"/>
      <c r="AE113" s="374" t="str">
        <f>AE105</f>
        <v>A</v>
      </c>
      <c r="AF113" s="375"/>
      <c r="AG113" s="375"/>
      <c r="AH113" s="867" t="str">
        <f>AH111</f>
        <v>Dm/A</v>
      </c>
      <c r="AI113" s="866"/>
      <c r="AJ113" s="866"/>
      <c r="AK113" s="375"/>
      <c r="AL113" s="863"/>
      <c r="AN113" s="860"/>
      <c r="AO113" s="374" t="str">
        <f>AO105</f>
        <v>D</v>
      </c>
      <c r="AP113" s="375"/>
      <c r="AQ113" s="374" t="str">
        <f>AQ105</f>
        <v>A</v>
      </c>
      <c r="AR113" s="375"/>
      <c r="AS113" s="375"/>
      <c r="AT113" s="867" t="str">
        <f>AT111</f>
        <v>Dm/A</v>
      </c>
      <c r="AU113" s="866"/>
      <c r="AV113" s="866"/>
      <c r="AW113" s="375"/>
      <c r="AX113" s="863"/>
      <c r="AZ113" s="860"/>
      <c r="BA113" s="374" t="str">
        <f>BA105</f>
        <v xml:space="preserve">C </v>
      </c>
      <c r="BB113" s="375"/>
      <c r="BC113" s="374" t="s">
        <v>50</v>
      </c>
      <c r="BD113" s="375"/>
      <c r="BE113" s="375"/>
      <c r="BF113" s="867" t="str">
        <f>+BF111</f>
        <v>Cm/A</v>
      </c>
      <c r="BG113" s="866"/>
      <c r="BH113" s="866"/>
      <c r="BI113" s="375"/>
      <c r="BJ113" s="863"/>
      <c r="BL113" s="860"/>
      <c r="BM113" s="374" t="str">
        <f>BM105</f>
        <v xml:space="preserve">B </v>
      </c>
      <c r="BN113" s="375"/>
      <c r="BO113" s="374" t="str">
        <f>BO105</f>
        <v>A</v>
      </c>
      <c r="BP113" s="375"/>
      <c r="BQ113" s="375"/>
      <c r="BR113" s="867" t="str">
        <f>+BR111</f>
        <v>Bm/A</v>
      </c>
      <c r="BS113" s="866"/>
      <c r="BT113" s="866"/>
      <c r="BU113" s="375"/>
      <c r="BV113" s="863"/>
    </row>
    <row r="114" spans="2:74" ht="21" x14ac:dyDescent="0.25">
      <c r="B114" s="877"/>
      <c r="C114" s="882"/>
      <c r="D114" s="860"/>
      <c r="E114" s="340">
        <f>+Q114+AC114+AO114</f>
        <v>565309.875</v>
      </c>
      <c r="F114" s="371" t="s">
        <v>44</v>
      </c>
      <c r="G114" s="341">
        <f>+G106</f>
        <v>22875</v>
      </c>
      <c r="H114" s="371" t="s">
        <v>45</v>
      </c>
      <c r="I114" s="371" t="s">
        <v>46</v>
      </c>
      <c r="J114" s="868">
        <f>+E114/G114</f>
        <v>24.713000000000001</v>
      </c>
      <c r="K114" s="869"/>
      <c r="L114" s="869"/>
      <c r="M114" s="371" t="s">
        <v>49</v>
      </c>
      <c r="N114" s="863"/>
      <c r="P114" s="860"/>
      <c r="Q114" s="380">
        <f>+Q106</f>
        <v>404887.50000000006</v>
      </c>
      <c r="R114" s="371" t="s">
        <v>44</v>
      </c>
      <c r="S114" s="341">
        <f>+S106</f>
        <v>22875</v>
      </c>
      <c r="T114" s="371" t="s">
        <v>45</v>
      </c>
      <c r="U114" s="371" t="s">
        <v>46</v>
      </c>
      <c r="V114" s="868">
        <f>Q114/S114</f>
        <v>17.700000000000003</v>
      </c>
      <c r="W114" s="869"/>
      <c r="X114" s="869"/>
      <c r="Y114" s="371" t="s">
        <v>49</v>
      </c>
      <c r="Z114" s="863"/>
      <c r="AB114" s="860"/>
      <c r="AC114" s="380">
        <f>+AC106</f>
        <v>146834.62499999997</v>
      </c>
      <c r="AD114" s="371" t="s">
        <v>44</v>
      </c>
      <c r="AE114" s="341">
        <f>+AE106</f>
        <v>22875</v>
      </c>
      <c r="AF114" s="371" t="s">
        <v>45</v>
      </c>
      <c r="AG114" s="371" t="s">
        <v>46</v>
      </c>
      <c r="AH114" s="868">
        <f>AC114/AE114</f>
        <v>6.4189999999999987</v>
      </c>
      <c r="AI114" s="869"/>
      <c r="AJ114" s="869"/>
      <c r="AK114" s="371" t="s">
        <v>49</v>
      </c>
      <c r="AL114" s="863"/>
      <c r="AN114" s="860"/>
      <c r="AO114" s="380">
        <f>+AO106</f>
        <v>13587.75</v>
      </c>
      <c r="AP114" s="371" t="s">
        <v>44</v>
      </c>
      <c r="AQ114" s="341">
        <f>+AQ106</f>
        <v>22875</v>
      </c>
      <c r="AR114" s="371" t="s">
        <v>45</v>
      </c>
      <c r="AS114" s="371" t="s">
        <v>46</v>
      </c>
      <c r="AT114" s="868">
        <f>AO114/AQ114</f>
        <v>0.59399999999999997</v>
      </c>
      <c r="AU114" s="869"/>
      <c r="AV114" s="869"/>
      <c r="AW114" s="371" t="s">
        <v>49</v>
      </c>
      <c r="AX114" s="863"/>
      <c r="AZ114" s="860"/>
      <c r="BA114" s="380">
        <f>+BA106</f>
        <v>469766.17995846557</v>
      </c>
      <c r="BB114" s="371" t="s">
        <v>44</v>
      </c>
      <c r="BC114" s="341">
        <f>G114</f>
        <v>22875</v>
      </c>
      <c r="BD114" s="371" t="s">
        <v>45</v>
      </c>
      <c r="BE114" s="371" t="s">
        <v>46</v>
      </c>
      <c r="BF114" s="868">
        <f>BA114/BC114</f>
        <v>20.536226446271719</v>
      </c>
      <c r="BG114" s="869"/>
      <c r="BH114" s="869"/>
      <c r="BI114" s="371" t="s">
        <v>49</v>
      </c>
      <c r="BJ114" s="863"/>
      <c r="BL114" s="860"/>
      <c r="BM114" s="380">
        <f>+BM106</f>
        <v>95543.695041534447</v>
      </c>
      <c r="BN114" s="371" t="s">
        <v>44</v>
      </c>
      <c r="BO114" s="341">
        <f>S114</f>
        <v>22875</v>
      </c>
      <c r="BP114" s="371" t="s">
        <v>45</v>
      </c>
      <c r="BQ114" s="371" t="s">
        <v>46</v>
      </c>
      <c r="BR114" s="868">
        <f>BM114/BO114</f>
        <v>4.1767735537282817</v>
      </c>
      <c r="BS114" s="869"/>
      <c r="BT114" s="869"/>
      <c r="BU114" s="371" t="s">
        <v>49</v>
      </c>
      <c r="BV114" s="863"/>
    </row>
    <row r="115" spans="2:74" ht="17" thickBot="1" x14ac:dyDescent="0.25">
      <c r="B115" s="878"/>
      <c r="C115" s="882"/>
      <c r="D115" s="861"/>
      <c r="E115" s="376"/>
      <c r="F115" s="376"/>
      <c r="G115" s="376"/>
      <c r="H115" s="376"/>
      <c r="I115" s="376"/>
      <c r="J115" s="376"/>
      <c r="K115" s="376"/>
      <c r="L115" s="376"/>
      <c r="M115" s="376"/>
      <c r="N115" s="864"/>
      <c r="P115" s="861"/>
      <c r="Q115" s="376"/>
      <c r="R115" s="376"/>
      <c r="S115" s="376"/>
      <c r="T115" s="376"/>
      <c r="U115" s="376"/>
      <c r="V115" s="376"/>
      <c r="W115" s="376"/>
      <c r="X115" s="376"/>
      <c r="Y115" s="376"/>
      <c r="Z115" s="864"/>
      <c r="AB115" s="861"/>
      <c r="AC115" s="376"/>
      <c r="AD115" s="376"/>
      <c r="AE115" s="376"/>
      <c r="AF115" s="376"/>
      <c r="AG115" s="376"/>
      <c r="AH115" s="376"/>
      <c r="AI115" s="376"/>
      <c r="AJ115" s="376"/>
      <c r="AK115" s="376"/>
      <c r="AL115" s="864"/>
      <c r="AN115" s="861"/>
      <c r="AO115" s="376"/>
      <c r="AP115" s="376"/>
      <c r="AQ115" s="376"/>
      <c r="AR115" s="376"/>
      <c r="AS115" s="376"/>
      <c r="AT115" s="376"/>
      <c r="AU115" s="376"/>
      <c r="AV115" s="376"/>
      <c r="AW115" s="376"/>
      <c r="AX115" s="864"/>
      <c r="AZ115" s="861"/>
      <c r="BA115" s="376"/>
      <c r="BB115" s="376"/>
      <c r="BC115" s="376"/>
      <c r="BD115" s="376"/>
      <c r="BE115" s="376"/>
      <c r="BF115" s="376"/>
      <c r="BG115" s="376"/>
      <c r="BH115" s="376"/>
      <c r="BI115" s="376"/>
      <c r="BJ115" s="864"/>
      <c r="BL115" s="861"/>
      <c r="BM115" s="376"/>
      <c r="BN115" s="376"/>
      <c r="BO115" s="376"/>
      <c r="BP115" s="376"/>
      <c r="BQ115" s="376"/>
      <c r="BR115" s="376"/>
      <c r="BS115" s="376"/>
      <c r="BT115" s="376"/>
      <c r="BU115" s="376"/>
      <c r="BV115" s="864"/>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169</v>
      </c>
      <c r="E123" s="164"/>
      <c r="F123" s="163"/>
      <c r="G123" s="163"/>
      <c r="H123" s="163"/>
      <c r="I123" s="163"/>
    </row>
  </sheetData>
  <sheetProtection algorithmName="SHA-512" hashValue="B+X9Dz+zXyC1PnzXAH6SLCjLb54Oy+/DxBCD862lnvnleAdGsiH3zRlpwXkpBvDNXMfNR97NI0o2CxnV5ldleA==" saltValue="rfb1USgBrXfuWITS4WA1kw=="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tabSelected="1" zoomScale="150" zoomScaleNormal="150" zoomScalePageLayoutView="150" workbookViewId="0">
      <pane xSplit="3" ySplit="9" topLeftCell="D10" activePane="bottomRight" state="frozen"/>
      <selection pane="topRight" activeCell="C1" sqref="C1"/>
      <selection pane="bottomLeft" activeCell="A10" sqref="A10"/>
      <selection pane="bottomRight" activeCell="C1" sqref="C1"/>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80" t="s">
        <v>386</v>
      </c>
      <c r="E2" s="161" t="s">
        <v>2</v>
      </c>
      <c r="F2" s="161" t="s">
        <v>2</v>
      </c>
      <c r="AL2" s="161" t="s">
        <v>2</v>
      </c>
      <c r="BB2" s="898" t="s">
        <v>42</v>
      </c>
      <c r="BC2" s="369"/>
      <c r="BD2" s="369"/>
      <c r="BE2" s="369"/>
      <c r="BF2" s="369"/>
      <c r="BG2" s="369"/>
      <c r="BH2" s="369"/>
      <c r="BI2" s="369"/>
      <c r="BJ2" s="369"/>
      <c r="BK2" s="369"/>
      <c r="BL2" s="901" t="s">
        <v>43</v>
      </c>
    </row>
    <row r="3" spans="2:64" ht="20" customHeight="1" x14ac:dyDescent="0.2">
      <c r="C3" s="681" t="s">
        <v>164</v>
      </c>
      <c r="E3" s="161" t="s">
        <v>2</v>
      </c>
      <c r="AL3" s="161" t="s">
        <v>2</v>
      </c>
      <c r="BB3" s="899"/>
      <c r="BC3" s="370"/>
      <c r="BD3" s="370"/>
      <c r="BE3" s="370"/>
      <c r="BF3" s="370"/>
      <c r="BG3" s="370"/>
      <c r="BH3" s="370"/>
      <c r="BI3" s="370"/>
      <c r="BJ3" s="370"/>
      <c r="BK3" s="370"/>
      <c r="BL3" s="902"/>
    </row>
    <row r="4" spans="2:64" ht="20" customHeight="1" thickBot="1" x14ac:dyDescent="0.3">
      <c r="C4" s="682" t="s">
        <v>165</v>
      </c>
      <c r="BB4" s="899"/>
      <c r="BC4" s="371" t="str">
        <f>'Formule pour le calcul D'!BM103</f>
        <v>Bénéfice annuel</v>
      </c>
      <c r="BD4" s="371" t="s">
        <v>44</v>
      </c>
      <c r="BE4" s="371" t="str">
        <f>'Formule pour le calcul D'!BO103</f>
        <v>Achalandage annuelle</v>
      </c>
      <c r="BF4" s="371" t="s">
        <v>45</v>
      </c>
      <c r="BG4" s="371" t="s">
        <v>46</v>
      </c>
      <c r="BH4" s="371" t="str">
        <f>'Formule pour le calcul D'!BR103</f>
        <v>Um/A</v>
      </c>
      <c r="BI4" s="371" t="s">
        <v>45</v>
      </c>
      <c r="BJ4" s="371" t="str">
        <f>'Formule pour le calcul D'!BT103</f>
        <v>BmO</v>
      </c>
      <c r="BK4" s="371" t="s">
        <v>49</v>
      </c>
      <c r="BL4" s="902"/>
    </row>
    <row r="5" spans="2:64" ht="21" thickTop="1" thickBot="1" x14ac:dyDescent="0.3">
      <c r="C5" s="166"/>
      <c r="G5" s="161" t="s">
        <v>2</v>
      </c>
      <c r="BB5" s="899"/>
      <c r="BC5" s="372" t="s">
        <v>2</v>
      </c>
      <c r="BD5" s="373"/>
      <c r="BE5" s="372"/>
      <c r="BF5" s="373"/>
      <c r="BG5" s="373"/>
      <c r="BH5" s="373"/>
      <c r="BI5" s="373"/>
      <c r="BJ5" s="373"/>
      <c r="BK5" s="373"/>
      <c r="BL5" s="902"/>
    </row>
    <row r="6" spans="2:64" ht="27" thickTop="1" x14ac:dyDescent="0.3">
      <c r="C6" s="167" t="s">
        <v>134</v>
      </c>
      <c r="D6" s="161" t="s">
        <v>2</v>
      </c>
      <c r="E6" s="608" t="s">
        <v>135</v>
      </c>
      <c r="F6" s="169">
        <f>E14/$C$7/'Calendrier 2021'!D8</f>
        <v>24.713000000000001</v>
      </c>
      <c r="G6" s="170" t="s">
        <v>2</v>
      </c>
      <c r="H6" s="608" t="str">
        <f>E6</f>
        <v>Rev. / place / jour</v>
      </c>
      <c r="I6" s="169">
        <f>H14/$C$7/'Calendrier 2021'!E8</f>
        <v>22.241700000000002</v>
      </c>
      <c r="J6" s="170"/>
      <c r="K6" s="608" t="str">
        <f>H6</f>
        <v>Rev. / place / jour</v>
      </c>
      <c r="L6" s="169">
        <f>K14/$C$7/'Calendrier 2021'!F8</f>
        <v>24.713000000000001</v>
      </c>
      <c r="M6" s="170"/>
      <c r="N6" s="168" t="str">
        <f>K6</f>
        <v>Rev. / place / jour</v>
      </c>
      <c r="O6" s="169">
        <f>N14/$C$7/'Calendrier 2021'!G8</f>
        <v>27.184300000000004</v>
      </c>
      <c r="P6" s="171"/>
      <c r="Q6" s="608" t="str">
        <f>N6</f>
        <v>Rev. / place / jour</v>
      </c>
      <c r="R6" s="169">
        <f>Q14/$C$7/'Calendrier 2021'!H8</f>
        <v>29.655600000000007</v>
      </c>
      <c r="S6" s="170"/>
      <c r="T6" s="608" t="str">
        <f>Q6</f>
        <v>Rev. / place / jour</v>
      </c>
      <c r="U6" s="169">
        <f>T14/$C$7/'Calendrier 2021'!I8</f>
        <v>37.069499999999998</v>
      </c>
      <c r="V6" s="170" t="s">
        <v>2</v>
      </c>
      <c r="W6" s="608" t="str">
        <f>T6</f>
        <v>Rev. / place / jour</v>
      </c>
      <c r="X6" s="169">
        <f>W14/$C$7/'Calendrier 2021'!J8</f>
        <v>49.426000000000002</v>
      </c>
      <c r="Y6" s="170"/>
      <c r="Z6" s="608" t="str">
        <f>W6</f>
        <v>Rev. / place / jour</v>
      </c>
      <c r="AA6" s="169">
        <f>Z14/$C$7/'Calendrier 2021'!K8</f>
        <v>44.483400000000003</v>
      </c>
      <c r="AB6" s="170"/>
      <c r="AC6" s="608" t="str">
        <f>Z6</f>
        <v>Rev. / place / jour</v>
      </c>
      <c r="AD6" s="169">
        <f>AC14/$C$7/'Calendrier 2021'!L8</f>
        <v>29.6556</v>
      </c>
      <c r="AE6" s="170"/>
      <c r="AF6" s="608" t="str">
        <f>AC6</f>
        <v>Rev. / place / jour</v>
      </c>
      <c r="AG6" s="169">
        <f>AF14/$C$7/'Calendrier 2021'!M8</f>
        <v>27.1843</v>
      </c>
      <c r="AH6" s="170"/>
      <c r="AI6" s="608" t="str">
        <f>AF6</f>
        <v>Rev. / place / jour</v>
      </c>
      <c r="AJ6" s="169">
        <f>AI14/$C$7/'Calendrier 2021'!N8</f>
        <v>24.713000000000001</v>
      </c>
      <c r="AK6" s="170"/>
      <c r="AL6" s="608" t="str">
        <f>AI6</f>
        <v>Rev. / place / jour</v>
      </c>
      <c r="AM6" s="169">
        <f>AL14/$C$7/'Calendrier 2021'!O8</f>
        <v>29.655600000000007</v>
      </c>
      <c r="AN6" s="170"/>
      <c r="AO6" s="170"/>
      <c r="AP6" s="608" t="str">
        <f>AL6</f>
        <v>Rev. / place / jour</v>
      </c>
      <c r="AQ6" s="169">
        <f>+AP14/C7/'% Occupation'!P9</f>
        <v>30.975883561643837</v>
      </c>
      <c r="AR6" s="170"/>
      <c r="AS6" s="629" t="str">
        <f>+AP6</f>
        <v>Rev. / place / jour</v>
      </c>
      <c r="AT6" s="172">
        <f>AS14/C7/'% Occupation'!P8</f>
        <v>27.043130410958902</v>
      </c>
      <c r="AU6" s="170"/>
      <c r="AV6" s="170"/>
      <c r="AW6" s="170"/>
      <c r="AY6" s="896" t="s">
        <v>136</v>
      </c>
      <c r="AZ6" s="896"/>
      <c r="BB6" s="899"/>
      <c r="BC6" s="683" t="str">
        <f>'Formule pour le calcul D'!BM105</f>
        <v xml:space="preserve">B </v>
      </c>
      <c r="BD6" s="375"/>
      <c r="BE6" s="374" t="str">
        <f>'Formule pour le calcul D'!BO105</f>
        <v>A</v>
      </c>
      <c r="BF6" s="375"/>
      <c r="BG6" s="375"/>
      <c r="BH6" s="374" t="str">
        <f>BH4</f>
        <v>Um/A</v>
      </c>
      <c r="BI6" s="375"/>
      <c r="BJ6" s="374" t="str">
        <f>BJ4</f>
        <v>BmO</v>
      </c>
      <c r="BK6" s="375"/>
      <c r="BL6" s="902"/>
    </row>
    <row r="7" spans="2:64" ht="21" x14ac:dyDescent="0.25">
      <c r="C7" s="297">
        <f>'Calendrier 2021'!D7</f>
        <v>50</v>
      </c>
      <c r="D7" s="161" t="s">
        <v>2</v>
      </c>
      <c r="E7" s="296">
        <f>E14/$AP$14</f>
        <v>6.7759562841530063E-2</v>
      </c>
      <c r="F7" s="177"/>
      <c r="G7" s="175" t="s">
        <v>2</v>
      </c>
      <c r="H7" s="296">
        <f>H14/$AP$14</f>
        <v>5.5081967213114758E-2</v>
      </c>
      <c r="I7" s="177"/>
      <c r="J7" s="175"/>
      <c r="K7" s="296">
        <f>K14/$AP$14</f>
        <v>6.7759562841530063E-2</v>
      </c>
      <c r="L7" s="177"/>
      <c r="M7" s="175"/>
      <c r="N7" s="173">
        <f>N14/$AP$14</f>
        <v>7.2131147540983612E-2</v>
      </c>
      <c r="O7" s="174"/>
      <c r="P7" s="176"/>
      <c r="Q7" s="296">
        <f>Q14/$AP$14</f>
        <v>8.1311475409836076E-2</v>
      </c>
      <c r="R7" s="177"/>
      <c r="S7" s="175"/>
      <c r="T7" s="296">
        <f>T14/$AP$14</f>
        <v>9.836065573770493E-2</v>
      </c>
      <c r="U7" s="177"/>
      <c r="V7" s="175"/>
      <c r="W7" s="296">
        <f>W14/$AP$14</f>
        <v>0.13551912568306013</v>
      </c>
      <c r="X7" s="177"/>
      <c r="Y7" s="175"/>
      <c r="Z7" s="296">
        <f>Z14/$AP$14</f>
        <v>0.1219672131147541</v>
      </c>
      <c r="AA7" s="177"/>
      <c r="AB7" s="175"/>
      <c r="AC7" s="296">
        <f>AC14/$AP$14</f>
        <v>7.8688524590163941E-2</v>
      </c>
      <c r="AD7" s="177"/>
      <c r="AE7" s="175"/>
      <c r="AF7" s="296">
        <f>AF14/$AP$14</f>
        <v>7.4535519125683056E-2</v>
      </c>
      <c r="AG7" s="177"/>
      <c r="AH7" s="175"/>
      <c r="AI7" s="296">
        <f>AI14/$AP$14</f>
        <v>6.5573770491803282E-2</v>
      </c>
      <c r="AJ7" s="177"/>
      <c r="AK7" s="175"/>
      <c r="AL7" s="296">
        <f>AL14/$AP$14</f>
        <v>8.1311475409836076E-2</v>
      </c>
      <c r="AM7" s="614"/>
      <c r="AN7" s="170"/>
      <c r="AO7" s="170"/>
      <c r="AP7" s="296">
        <f>+E7+H7+K7+N7+Q7+T7+W7+Z7+AC7+AF7+AI7+AL7</f>
        <v>1</v>
      </c>
      <c r="AQ7" s="624" t="s">
        <v>137</v>
      </c>
      <c r="AR7" s="170"/>
      <c r="AS7" s="179">
        <f>AP7</f>
        <v>1</v>
      </c>
      <c r="AT7" s="630" t="str">
        <f>+AQ7</f>
        <v>365 jours</v>
      </c>
      <c r="AU7" s="170"/>
      <c r="AV7" s="170"/>
      <c r="AW7" s="170"/>
      <c r="AY7" s="896"/>
      <c r="AZ7" s="896"/>
      <c r="BB7" s="899"/>
      <c r="BC7" s="684">
        <f>AP45</f>
        <v>95543.695041534447</v>
      </c>
      <c r="BD7" s="371" t="s">
        <v>44</v>
      </c>
      <c r="BE7" s="685">
        <f>'Formule pour le calcul D'!G106</f>
        <v>22875</v>
      </c>
      <c r="BF7" s="371" t="s">
        <v>45</v>
      </c>
      <c r="BG7" s="371" t="s">
        <v>46</v>
      </c>
      <c r="BH7" s="686">
        <f>'Formule pour le calcul D'!J106</f>
        <v>2.2200000000000002</v>
      </c>
      <c r="BI7" s="371" t="s">
        <v>45</v>
      </c>
      <c r="BJ7" s="687">
        <f>BC7/BE7/BH7</f>
        <v>1.8814295287064331</v>
      </c>
      <c r="BK7" s="371" t="s">
        <v>49</v>
      </c>
      <c r="BL7" s="902"/>
    </row>
    <row r="8" spans="2:64" ht="17" thickBot="1" x14ac:dyDescent="0.25">
      <c r="C8" s="180" t="s">
        <v>138</v>
      </c>
      <c r="D8" s="161" t="s">
        <v>2</v>
      </c>
      <c r="E8" s="621" t="str">
        <f>'Calendrier 2021'!D5</f>
        <v>Pér.01</v>
      </c>
      <c r="F8" s="622" t="s">
        <v>139</v>
      </c>
      <c r="G8" s="183" t="s">
        <v>2</v>
      </c>
      <c r="H8" s="621" t="str">
        <f>'Calendrier 2021'!E5</f>
        <v>Pér.02</v>
      </c>
      <c r="I8" s="623" t="str">
        <f>+F8</f>
        <v>(%)</v>
      </c>
      <c r="J8" s="183"/>
      <c r="K8" s="621" t="str">
        <f>'Calendrier 2021'!F5</f>
        <v>Pér.03</v>
      </c>
      <c r="L8" s="623" t="str">
        <f>+I8</f>
        <v>(%)</v>
      </c>
      <c r="M8" s="183"/>
      <c r="N8" s="181" t="str">
        <f>'Calendrier 2021'!G5</f>
        <v>Pér.04</v>
      </c>
      <c r="O8" s="184" t="str">
        <f>+L8</f>
        <v>(%)</v>
      </c>
      <c r="P8" s="185"/>
      <c r="Q8" s="621" t="str">
        <f>'Calendrier 2021'!H5</f>
        <v>Pér.05</v>
      </c>
      <c r="R8" s="623" t="str">
        <f>+O8</f>
        <v>(%)</v>
      </c>
      <c r="S8" s="183"/>
      <c r="T8" s="621" t="str">
        <f>'Calendrier 2021'!I5</f>
        <v>Pér.06</v>
      </c>
      <c r="U8" s="623" t="str">
        <f>+R8</f>
        <v>(%)</v>
      </c>
      <c r="V8" s="183"/>
      <c r="W8" s="621" t="str">
        <f>'Calendrier 2021'!J5</f>
        <v>Pér.07</v>
      </c>
      <c r="X8" s="623" t="str">
        <f>+U8</f>
        <v>(%)</v>
      </c>
      <c r="Y8" s="183"/>
      <c r="Z8" s="621" t="str">
        <f>'Calendrier 2021'!K5</f>
        <v>Pér.08</v>
      </c>
      <c r="AA8" s="623" t="str">
        <f>+X8</f>
        <v>(%)</v>
      </c>
      <c r="AB8" s="183"/>
      <c r="AC8" s="621" t="str">
        <f>'Calendrier 2021'!L5</f>
        <v>Pér.09</v>
      </c>
      <c r="AD8" s="623" t="str">
        <f>+AA8</f>
        <v>(%)</v>
      </c>
      <c r="AE8" s="183"/>
      <c r="AF8" s="621" t="str">
        <f>'Calendrier 2021'!M5</f>
        <v>Pér.10</v>
      </c>
      <c r="AG8" s="623" t="str">
        <f>+AD8</f>
        <v>(%)</v>
      </c>
      <c r="AH8" s="183"/>
      <c r="AI8" s="621" t="str">
        <f>'Calendrier 2021'!N5</f>
        <v>Pér.11</v>
      </c>
      <c r="AJ8" s="623" t="str">
        <f>+AG8</f>
        <v>(%)</v>
      </c>
      <c r="AK8" s="183"/>
      <c r="AL8" s="621" t="str">
        <f>'Calendrier 2021'!O5</f>
        <v>Pér.12</v>
      </c>
      <c r="AM8" s="623" t="str">
        <f>+AJ8</f>
        <v>(%)</v>
      </c>
      <c r="AN8" s="183"/>
      <c r="AO8" s="183"/>
      <c r="AP8" s="625" t="s">
        <v>10</v>
      </c>
      <c r="AQ8" s="626" t="str">
        <f>+AM8</f>
        <v>(%)</v>
      </c>
      <c r="AS8" s="179" t="str">
        <f>+AP8</f>
        <v>Total</v>
      </c>
      <c r="AT8" s="186" t="str">
        <f>+AQ8</f>
        <v>(%)</v>
      </c>
      <c r="AY8" s="896"/>
      <c r="AZ8" s="896"/>
      <c r="BB8" s="900"/>
      <c r="BC8" s="376"/>
      <c r="BD8" s="376"/>
      <c r="BE8" s="376"/>
      <c r="BF8" s="376"/>
      <c r="BG8" s="376"/>
      <c r="BH8" s="376"/>
      <c r="BI8" s="376"/>
      <c r="BJ8" s="376"/>
      <c r="BK8" s="376"/>
      <c r="BL8" s="903"/>
    </row>
    <row r="9" spans="2:64" ht="15" thickTop="1" thickBot="1" x14ac:dyDescent="0.2">
      <c r="C9" s="187">
        <f>+AP14/C7</f>
        <v>11306.1975</v>
      </c>
      <c r="D9" s="161" t="s">
        <v>2</v>
      </c>
      <c r="E9" s="611" t="str">
        <f>'Calendrier 2021'!D6</f>
        <v>Janvier 2021</v>
      </c>
      <c r="F9" s="612" t="s">
        <v>2</v>
      </c>
      <c r="G9" s="293" t="s">
        <v>2</v>
      </c>
      <c r="H9" s="611" t="str">
        <f>'Calendrier 2021'!E6</f>
        <v>Février 2021</v>
      </c>
      <c r="I9" s="612" t="str">
        <f>+F9</f>
        <v xml:space="preserve"> </v>
      </c>
      <c r="J9" s="294"/>
      <c r="K9" s="611" t="str">
        <f>'Calendrier 2021'!F6</f>
        <v>Mars 2021</v>
      </c>
      <c r="L9" s="612" t="str">
        <f>+I9</f>
        <v xml:space="preserve"> </v>
      </c>
      <c r="M9" s="293"/>
      <c r="N9" s="291" t="str">
        <f>'Calendrier 2021'!G6</f>
        <v>Avril 2021</v>
      </c>
      <c r="O9" s="292" t="str">
        <f>+L9</f>
        <v xml:space="preserve"> </v>
      </c>
      <c r="P9" s="295"/>
      <c r="Q9" s="611" t="str">
        <f>'Calendrier 2021'!H6</f>
        <v>Mai 2021</v>
      </c>
      <c r="R9" s="612" t="str">
        <f>+O9</f>
        <v xml:space="preserve"> </v>
      </c>
      <c r="S9" s="293"/>
      <c r="T9" s="611" t="str">
        <f>'Calendrier 2021'!I6</f>
        <v>Juin 2021</v>
      </c>
      <c r="U9" s="612" t="str">
        <f>+R9</f>
        <v xml:space="preserve"> </v>
      </c>
      <c r="V9" s="293"/>
      <c r="W9" s="611" t="str">
        <f>'Calendrier 2021'!J6</f>
        <v>Juillet 2021</v>
      </c>
      <c r="X9" s="612" t="str">
        <f>+U9</f>
        <v xml:space="preserve"> </v>
      </c>
      <c r="Y9" s="293"/>
      <c r="Z9" s="611" t="str">
        <f>'Calendrier 2021'!K6</f>
        <v>Août 2021</v>
      </c>
      <c r="AA9" s="612" t="str">
        <f>+X9</f>
        <v xml:space="preserve"> </v>
      </c>
      <c r="AB9" s="293"/>
      <c r="AC9" s="611" t="str">
        <f>'Calendrier 2021'!L6</f>
        <v>Septembre 2021</v>
      </c>
      <c r="AD9" s="612" t="str">
        <f>+AA9</f>
        <v xml:space="preserve"> </v>
      </c>
      <c r="AE9" s="293"/>
      <c r="AF9" s="611" t="str">
        <f>'Calendrier 2021'!M6</f>
        <v>Octobre 2021</v>
      </c>
      <c r="AG9" s="612" t="str">
        <f>+AD9</f>
        <v xml:space="preserve"> </v>
      </c>
      <c r="AH9" s="293"/>
      <c r="AI9" s="611" t="str">
        <f>'Calendrier 2021'!N6</f>
        <v>Novembre 2021</v>
      </c>
      <c r="AJ9" s="612" t="str">
        <f>+AG9</f>
        <v xml:space="preserve"> </v>
      </c>
      <c r="AK9" s="293"/>
      <c r="AL9" s="611" t="str">
        <f>'Calendrier 2021'!O6</f>
        <v>Décembre 2021</v>
      </c>
      <c r="AM9" s="612" t="str">
        <f>+AJ9</f>
        <v xml:space="preserve"> </v>
      </c>
      <c r="AN9" s="188"/>
      <c r="AO9" s="188"/>
      <c r="AP9" s="627" t="s">
        <v>30</v>
      </c>
      <c r="AQ9" s="628" t="str">
        <f>+AM9</f>
        <v xml:space="preserve"> </v>
      </c>
      <c r="AS9" s="189" t="str">
        <f>+AP9</f>
        <v>Année</v>
      </c>
      <c r="AT9" s="631" t="s">
        <v>2</v>
      </c>
      <c r="AY9" s="897"/>
      <c r="AZ9" s="897"/>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177</v>
      </c>
      <c r="E11" s="202">
        <f>E14*$AQ$11</f>
        <v>27435.000000000004</v>
      </c>
      <c r="F11" s="288">
        <f>+E11/E14</f>
        <v>0.7162222312143407</v>
      </c>
      <c r="G11" s="203" t="s">
        <v>2</v>
      </c>
      <c r="H11" s="202">
        <f>H14*$AQ$11</f>
        <v>22302.000000000004</v>
      </c>
      <c r="I11" s="288">
        <f>+H11/H14</f>
        <v>0.7162222312143407</v>
      </c>
      <c r="K11" s="202">
        <f>K14*$AQ$11</f>
        <v>27435.000000000004</v>
      </c>
      <c r="L11" s="288">
        <f>+K11/K14</f>
        <v>0.7162222312143407</v>
      </c>
      <c r="N11" s="202">
        <f>N14*$AQ$11</f>
        <v>29205.000000000007</v>
      </c>
      <c r="O11" s="288">
        <f>+N11/N14</f>
        <v>0.7162222312143407</v>
      </c>
      <c r="P11" s="193"/>
      <c r="Q11" s="202">
        <f>Q14*$AQ$11</f>
        <v>32922.000000000007</v>
      </c>
      <c r="R11" s="288">
        <f>+Q11/Q14</f>
        <v>0.7162222312143407</v>
      </c>
      <c r="T11" s="202">
        <f>T14*$AQ$11</f>
        <v>39825.000000000007</v>
      </c>
      <c r="U11" s="288">
        <f>+T11/T14</f>
        <v>0.7162222312143407</v>
      </c>
      <c r="W11" s="202">
        <f>W14*$AQ$11</f>
        <v>54870.000000000007</v>
      </c>
      <c r="X11" s="288">
        <f>+W11/W14</f>
        <v>0.7162222312143407</v>
      </c>
      <c r="Z11" s="202">
        <f>Z14*$AQ$11</f>
        <v>49383.000000000007</v>
      </c>
      <c r="AA11" s="288">
        <f>+Z11/Z14</f>
        <v>0.7162222312143407</v>
      </c>
      <c r="AC11" s="202">
        <f>AC14*$AQ$11</f>
        <v>31860.000000000004</v>
      </c>
      <c r="AD11" s="288">
        <f>+AC11/AC14</f>
        <v>0.7162222312143407</v>
      </c>
      <c r="AF11" s="202">
        <f>AF14*$AQ$11</f>
        <v>30178.500000000004</v>
      </c>
      <c r="AG11" s="288">
        <f>+AF11/AF14</f>
        <v>0.7162222312143407</v>
      </c>
      <c r="AI11" s="202">
        <f>AI14*$AQ$11</f>
        <v>26550.000000000004</v>
      </c>
      <c r="AJ11" s="288">
        <f>+AI11/AI14</f>
        <v>0.7162222312143407</v>
      </c>
      <c r="AK11" s="161" t="s">
        <v>142</v>
      </c>
      <c r="AL11" s="202">
        <f>AL14*$AQ$11</f>
        <v>32922.000000000007</v>
      </c>
      <c r="AM11" s="288">
        <f>+AL11/AL14</f>
        <v>0.7162222312143407</v>
      </c>
      <c r="AP11" s="204">
        <f>'Formule pour le calcul D'!Q114</f>
        <v>404887.50000000006</v>
      </c>
      <c r="AQ11" s="195">
        <f>+AP11/AP14</f>
        <v>0.7162222312143407</v>
      </c>
      <c r="AS11" s="205">
        <f>+AT11*AV14</f>
        <v>389894.33270000003</v>
      </c>
      <c r="AT11" s="688">
        <v>0.79</v>
      </c>
      <c r="AW11" s="161" t="s">
        <v>2</v>
      </c>
      <c r="AX11" s="198" t="s">
        <v>143</v>
      </c>
      <c r="AY11" s="207">
        <v>435539</v>
      </c>
      <c r="AZ11" s="208">
        <f>+AY11/AY22</f>
        <v>6.7988040171636094E-2</v>
      </c>
    </row>
    <row r="12" spans="2:64" ht="16" x14ac:dyDescent="0.2">
      <c r="C12" s="201" t="s">
        <v>178</v>
      </c>
      <c r="E12" s="202">
        <f>+E14*$AQ$12</f>
        <v>9949.4499999999971</v>
      </c>
      <c r="F12" s="288">
        <f>+E12/E14</f>
        <v>0.25974183628050007</v>
      </c>
      <c r="H12" s="202">
        <f>+H14*$AQ$12</f>
        <v>8087.9399999999978</v>
      </c>
      <c r="I12" s="288">
        <f>+H12/H14</f>
        <v>0.25974183628050007</v>
      </c>
      <c r="K12" s="202">
        <f>+K14*$AQ$12</f>
        <v>9949.4499999999971</v>
      </c>
      <c r="L12" s="288">
        <f>+K12/K14</f>
        <v>0.25974183628050007</v>
      </c>
      <c r="N12" s="202">
        <f>+N14*$AQ$12</f>
        <v>10591.349999999999</v>
      </c>
      <c r="O12" s="288">
        <f>+N12/N14</f>
        <v>0.25974183628050007</v>
      </c>
      <c r="P12" s="193"/>
      <c r="Q12" s="202">
        <f>+Q14*$AQ$12</f>
        <v>11939.339999999998</v>
      </c>
      <c r="R12" s="288">
        <f>+Q12/Q14</f>
        <v>0.25974183628050007</v>
      </c>
      <c r="T12" s="202">
        <f>+T14*$AQ$12</f>
        <v>14442.749999999998</v>
      </c>
      <c r="U12" s="288">
        <f>+T12/T14</f>
        <v>0.25974183628050007</v>
      </c>
      <c r="W12" s="202">
        <f>+W14*$AQ$12</f>
        <v>19898.899999999994</v>
      </c>
      <c r="X12" s="288">
        <f>+W12/W14</f>
        <v>0.25974183628050007</v>
      </c>
      <c r="Z12" s="202">
        <f>+Z14*$AQ$12</f>
        <v>17909.009999999995</v>
      </c>
      <c r="AA12" s="288">
        <f>+Z12/Z14</f>
        <v>0.25974183628050007</v>
      </c>
      <c r="AC12" s="202">
        <f>+AC14*$AQ$12</f>
        <v>11554.199999999997</v>
      </c>
      <c r="AD12" s="288">
        <f>+AC12/AC14</f>
        <v>0.25974183628050007</v>
      </c>
      <c r="AF12" s="202">
        <f>+AF14*$AQ$12</f>
        <v>10944.394999999997</v>
      </c>
      <c r="AG12" s="288">
        <f>+AF12/AF14</f>
        <v>0.25974183628050007</v>
      </c>
      <c r="AI12" s="202">
        <f>+AI14*$AQ$12</f>
        <v>9628.4999999999982</v>
      </c>
      <c r="AJ12" s="288">
        <f>+AI12/AI14</f>
        <v>0.25974183628050007</v>
      </c>
      <c r="AL12" s="202">
        <f>+AL14*$AQ$12</f>
        <v>11939.339999999998</v>
      </c>
      <c r="AM12" s="288">
        <f>+AL12/AL14</f>
        <v>0.25974183628050007</v>
      </c>
      <c r="AP12" s="204">
        <f>'Formule pour le calcul D'!AC114</f>
        <v>146834.62499999997</v>
      </c>
      <c r="AQ12" s="195">
        <f>+AP12/AP14</f>
        <v>0.25974183628050007</v>
      </c>
      <c r="AS12" s="205">
        <f>+AT12*AV14</f>
        <v>91797.906180000005</v>
      </c>
      <c r="AT12" s="688">
        <v>0.186</v>
      </c>
      <c r="AX12" s="198" t="s">
        <v>144</v>
      </c>
      <c r="AY12" s="207">
        <v>494989</v>
      </c>
      <c r="AZ12" s="208">
        <f>+AY12/AY22</f>
        <v>7.7268240080722916E-2</v>
      </c>
    </row>
    <row r="13" spans="2:64" ht="17" thickBot="1" x14ac:dyDescent="0.25">
      <c r="C13" s="201" t="s">
        <v>179</v>
      </c>
      <c r="E13" s="202">
        <f>+E14*$AQ$13</f>
        <v>920.69999999999993</v>
      </c>
      <c r="F13" s="288">
        <f>+E13/E14</f>
        <v>2.4035932505159226E-2</v>
      </c>
      <c r="H13" s="202">
        <f>+H14*$AQ$13</f>
        <v>748.43999999999994</v>
      </c>
      <c r="I13" s="288">
        <f>+H13/H14</f>
        <v>2.4035932505159226E-2</v>
      </c>
      <c r="K13" s="202">
        <f>+K14*$AQ$13</f>
        <v>920.69999999999993</v>
      </c>
      <c r="L13" s="288">
        <f>+K13/K14</f>
        <v>2.4035932505159226E-2</v>
      </c>
      <c r="N13" s="202">
        <f>+N14*$AQ$13</f>
        <v>980.1</v>
      </c>
      <c r="O13" s="288">
        <f>+N13/N14</f>
        <v>2.4035932505159226E-2</v>
      </c>
      <c r="P13" s="193"/>
      <c r="Q13" s="202">
        <f>+Q14*$AQ$13</f>
        <v>1104.8400000000001</v>
      </c>
      <c r="R13" s="288">
        <f>+Q13/Q14</f>
        <v>2.4035932505159226E-2</v>
      </c>
      <c r="T13" s="202">
        <f>+T14*$AQ$13</f>
        <v>1336.5</v>
      </c>
      <c r="U13" s="288">
        <f>+T13/T14</f>
        <v>2.4035932505159226E-2</v>
      </c>
      <c r="W13" s="202">
        <f>+W14*$AQ$13</f>
        <v>1841.3999999999999</v>
      </c>
      <c r="X13" s="288">
        <f>+W13/W14</f>
        <v>2.4035932505159226E-2</v>
      </c>
      <c r="Z13" s="202">
        <f>+Z14*$AQ$13</f>
        <v>1657.26</v>
      </c>
      <c r="AA13" s="288">
        <f>+Z13/Z14</f>
        <v>2.4035932505159226E-2</v>
      </c>
      <c r="AC13" s="202">
        <f>+AC14*$AQ$13</f>
        <v>1069.2</v>
      </c>
      <c r="AD13" s="288">
        <f>+AC13/AC14</f>
        <v>2.403593250515923E-2</v>
      </c>
      <c r="AF13" s="202">
        <f>+AF14*$AQ$13</f>
        <v>1012.77</v>
      </c>
      <c r="AG13" s="288">
        <f>+AF13/AF14</f>
        <v>2.4035932505159226E-2</v>
      </c>
      <c r="AI13" s="202">
        <f>+AI14*$AQ$13</f>
        <v>890.99999999999989</v>
      </c>
      <c r="AJ13" s="288">
        <f>+AI13/AI14</f>
        <v>2.4035932505159226E-2</v>
      </c>
      <c r="AL13" s="202">
        <f>+AL14*$AQ$13</f>
        <v>1104.8400000000001</v>
      </c>
      <c r="AM13" s="288">
        <f>+AL13/AL14</f>
        <v>2.4035932505159226E-2</v>
      </c>
      <c r="AP13" s="204">
        <f>'Formule pour le calcul D'!AO114</f>
        <v>13587.75</v>
      </c>
      <c r="AQ13" s="195">
        <f>+AP13/AP14</f>
        <v>2.4035932505159226E-2</v>
      </c>
      <c r="AS13" s="205">
        <f>+AT13*AV14</f>
        <v>11844.89112</v>
      </c>
      <c r="AT13" s="688">
        <v>2.4E-2</v>
      </c>
      <c r="AV13" s="210"/>
      <c r="AX13" s="198" t="s">
        <v>145</v>
      </c>
      <c r="AY13" s="207">
        <v>521013</v>
      </c>
      <c r="AZ13" s="208">
        <f>+AY13/AY22</f>
        <v>8.1330610516956309E-2</v>
      </c>
    </row>
    <row r="14" spans="2:64" ht="18" thickTop="1" thickBot="1" x14ac:dyDescent="0.25">
      <c r="C14" s="596" t="s">
        <v>146</v>
      </c>
      <c r="D14" s="211"/>
      <c r="E14" s="597">
        <f>'Formule pour le calcul D'!E10</f>
        <v>38305.15</v>
      </c>
      <c r="F14" s="598">
        <f>SUM(F11:F13)</f>
        <v>1</v>
      </c>
      <c r="G14" s="213"/>
      <c r="H14" s="597">
        <f>'Formule pour le calcul D'!E18</f>
        <v>31138.38</v>
      </c>
      <c r="I14" s="598">
        <f>SUM(I11:I13)</f>
        <v>1</v>
      </c>
      <c r="J14" s="211"/>
      <c r="K14" s="597">
        <f>'Formule pour le calcul D'!E26</f>
        <v>38305.15</v>
      </c>
      <c r="L14" s="598">
        <f>SUM(L11:L13)</f>
        <v>1</v>
      </c>
      <c r="M14" s="211"/>
      <c r="N14" s="597">
        <f>'Formule pour le calcul D'!E34</f>
        <v>40776.450000000004</v>
      </c>
      <c r="O14" s="598">
        <f>SUM(O11:O13)</f>
        <v>1</v>
      </c>
      <c r="P14" s="213"/>
      <c r="Q14" s="597">
        <f>'Formule pour le calcul D'!E42</f>
        <v>45966.180000000008</v>
      </c>
      <c r="R14" s="598">
        <f>SUM(R11:R13)</f>
        <v>1</v>
      </c>
      <c r="S14" s="211"/>
      <c r="T14" s="597">
        <f>'Formule pour le calcul D'!E50</f>
        <v>55604.250000000007</v>
      </c>
      <c r="U14" s="598">
        <f>SUM(U11:U13)</f>
        <v>1</v>
      </c>
      <c r="V14" s="214"/>
      <c r="W14" s="597">
        <f>'Formule pour le calcul D'!E58</f>
        <v>76610.3</v>
      </c>
      <c r="X14" s="598">
        <f>SUM(X11:X13)</f>
        <v>1</v>
      </c>
      <c r="Y14" s="214"/>
      <c r="Z14" s="597">
        <f>'Formule pour le calcul D'!E66</f>
        <v>68949.27</v>
      </c>
      <c r="AA14" s="598">
        <f>SUM(AA11:AA13)</f>
        <v>1</v>
      </c>
      <c r="AB14" s="214"/>
      <c r="AC14" s="597">
        <f>'Formule pour le calcul D'!E74</f>
        <v>44483.4</v>
      </c>
      <c r="AD14" s="598">
        <f>SUM(AD11:AD13)</f>
        <v>1</v>
      </c>
      <c r="AE14" s="214"/>
      <c r="AF14" s="597">
        <f>'Formule pour le calcul D'!E82</f>
        <v>42135.665000000001</v>
      </c>
      <c r="AG14" s="598">
        <f>SUM(AG11:AG13)</f>
        <v>1</v>
      </c>
      <c r="AH14" s="214"/>
      <c r="AI14" s="597">
        <f>'Formule pour le calcul D'!E90</f>
        <v>37069.5</v>
      </c>
      <c r="AJ14" s="598">
        <f>SUM(AJ11:AJ13)</f>
        <v>1</v>
      </c>
      <c r="AK14" s="214"/>
      <c r="AL14" s="597">
        <f>'Formule pour le calcul D'!E98</f>
        <v>45966.180000000008</v>
      </c>
      <c r="AM14" s="598">
        <f>SUM(AM11:AM13)</f>
        <v>1</v>
      </c>
      <c r="AN14" s="214"/>
      <c r="AO14" s="214"/>
      <c r="AP14" s="599">
        <f t="shared" ref="AP14" si="0">+$AL14+$AI14+$AF14+$AC14+$Z14+$W14+$T14+$Q14+$N14+$K14+$H14+$E14</f>
        <v>565309.875</v>
      </c>
      <c r="AQ14" s="598">
        <f>SUM(AQ11:AQ13)</f>
        <v>1</v>
      </c>
      <c r="AR14" s="211"/>
      <c r="AS14" s="600">
        <f>SUM(AS11:AS13)</f>
        <v>493537.13</v>
      </c>
      <c r="AT14" s="601">
        <f>SUM(AT11:AT13)</f>
        <v>1</v>
      </c>
      <c r="AU14" s="211"/>
      <c r="AV14" s="689">
        <v>493537.13</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192</v>
      </c>
      <c r="D16" s="224"/>
      <c r="E16" s="225">
        <f>'Coût marchandises vendues'!D14</f>
        <v>11581.22552</v>
      </c>
      <c r="F16" s="226">
        <f>+E16/E14</f>
        <v>0.30234121312669443</v>
      </c>
      <c r="G16" s="227"/>
      <c r="H16" s="225">
        <f>'Coût marchandises vendues'!G14</f>
        <v>9414.4155839999985</v>
      </c>
      <c r="I16" s="226">
        <f>H$16/H$14</f>
        <v>0.30234121312669437</v>
      </c>
      <c r="J16" s="227"/>
      <c r="K16" s="225">
        <f>'Coût marchandises vendues'!J14</f>
        <v>11581.22552</v>
      </c>
      <c r="L16" s="226">
        <f>K$16/K$14</f>
        <v>0.30234121312669443</v>
      </c>
      <c r="M16" s="227"/>
      <c r="N16" s="225">
        <f>'Coût marchandises vendues'!M14</f>
        <v>12328.40136</v>
      </c>
      <c r="O16" s="226">
        <f>N$16/N$14</f>
        <v>0.30234121312669443</v>
      </c>
      <c r="P16" s="227"/>
      <c r="Q16" s="225">
        <f>'Coût marchandises vendues'!P14</f>
        <v>13897.470624000001</v>
      </c>
      <c r="R16" s="226">
        <f>Q$16/Q$14</f>
        <v>0.30234121312669443</v>
      </c>
      <c r="S16" s="227"/>
      <c r="T16" s="225">
        <f>'Coût marchandises vendues'!S14</f>
        <v>16811.456400000003</v>
      </c>
      <c r="U16" s="226">
        <f>T$16/T$14</f>
        <v>0.30234121312669449</v>
      </c>
      <c r="V16" s="227"/>
      <c r="W16" s="225">
        <f>'Coût marchandises vendues'!V14</f>
        <v>23162.45104</v>
      </c>
      <c r="X16" s="226">
        <f>W$16/W$14</f>
        <v>0.30234121312669443</v>
      </c>
      <c r="Y16" s="227"/>
      <c r="Z16" s="225">
        <f>'Coût marchandises vendues'!Y14</f>
        <v>20846.205936000002</v>
      </c>
      <c r="AA16" s="226">
        <f>Z$16/Z$14</f>
        <v>0.30234121312669449</v>
      </c>
      <c r="AB16" s="227"/>
      <c r="AC16" s="225">
        <f>'Coût marchandises vendues'!AB14</f>
        <v>13449.16512</v>
      </c>
      <c r="AD16" s="226">
        <f>AC$16/AC$14</f>
        <v>0.30234121312669443</v>
      </c>
      <c r="AE16" s="227"/>
      <c r="AF16" s="225">
        <f>'Coût marchandises vendues'!AE14</f>
        <v>12739.348072000001</v>
      </c>
      <c r="AG16" s="226">
        <f>AF$16/AF$14</f>
        <v>0.30234121312669449</v>
      </c>
      <c r="AH16" s="227"/>
      <c r="AI16" s="225">
        <f>'Coût marchandises vendues'!AH14</f>
        <v>11207.6376</v>
      </c>
      <c r="AJ16" s="226">
        <f>AI$16/AI$14</f>
        <v>0.30234121312669443</v>
      </c>
      <c r="AK16" s="227"/>
      <c r="AL16" s="225">
        <f>'Coût marchandises vendues'!AK14</f>
        <v>13897.470624000001</v>
      </c>
      <c r="AM16" s="226">
        <f>AL$16/AL$14</f>
        <v>0.30234121312669443</v>
      </c>
      <c r="AN16" s="227"/>
      <c r="AO16" s="227"/>
      <c r="AP16" s="228">
        <f>+$AL16+$AI16+$AF16+$AC16+$Z16+$W16+$T16+$Q16+$N16+$K16+$H16+$E16</f>
        <v>170916.47340000002</v>
      </c>
      <c r="AQ16" s="229">
        <f>AP$16/AP$14</f>
        <v>0.30234121312669449</v>
      </c>
      <c r="AS16" s="230">
        <f>+AT16*AV14</f>
        <v>183595.81236000001</v>
      </c>
      <c r="AT16" s="690">
        <v>0.372</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190</v>
      </c>
      <c r="E19" s="235">
        <f>' Total des coûts de MO'!E23</f>
        <v>10523</v>
      </c>
      <c r="F19" s="192">
        <f>E$19/E$14</f>
        <v>0.27471501873768933</v>
      </c>
      <c r="H19" s="235">
        <f>' Total des coûts de MO'!H23</f>
        <v>14924</v>
      </c>
      <c r="I19" s="192">
        <f>+H19/H14</f>
        <v>0.47927991115787011</v>
      </c>
      <c r="K19" s="235">
        <f>' Total des coûts de MO'!K23</f>
        <v>10500</v>
      </c>
      <c r="L19" s="192">
        <f>K$19/K$14</f>
        <v>0.27411457728268912</v>
      </c>
      <c r="N19" s="235">
        <f>' Total des coûts de MO'!N23</f>
        <v>10500</v>
      </c>
      <c r="O19" s="192">
        <f>N$19/N$14</f>
        <v>0.25750157259888978</v>
      </c>
      <c r="Q19" s="235">
        <f>' Total des coûts de MO'!Q23</f>
        <v>10500</v>
      </c>
      <c r="R19" s="192">
        <f>Q$19/Q$14</f>
        <v>0.22842881440224092</v>
      </c>
      <c r="T19" s="235">
        <f>' Total des coûts de MO'!T23</f>
        <v>10500</v>
      </c>
      <c r="U19" s="192">
        <f>T$19/T$14</f>
        <v>0.18883448657251917</v>
      </c>
      <c r="W19" s="235">
        <f>' Total des coûts de MO'!W23</f>
        <v>10500</v>
      </c>
      <c r="X19" s="192">
        <f>W$19/W$14</f>
        <v>0.13705728864134456</v>
      </c>
      <c r="Z19" s="235">
        <f>' Total des coûts de MO'!Z23</f>
        <v>10500</v>
      </c>
      <c r="AA19" s="192">
        <f>Z$19/Z$14</f>
        <v>0.15228587626816062</v>
      </c>
      <c r="AC19" s="235">
        <f>' Total des coûts de MO'!AC23</f>
        <v>10500</v>
      </c>
      <c r="AD19" s="192">
        <f>AC$19/AC$14</f>
        <v>0.23604310821564897</v>
      </c>
      <c r="AF19" s="235">
        <f>' Total des coûts de MO'!AF23</f>
        <v>10500</v>
      </c>
      <c r="AG19" s="192">
        <f>AF$19/AF$14</f>
        <v>0.24919507025699011</v>
      </c>
      <c r="AI19" s="235">
        <f>' Total des coûts de MO'!AI23</f>
        <v>10500</v>
      </c>
      <c r="AJ19" s="192">
        <f>AI$19/AI$14</f>
        <v>0.28325172985877878</v>
      </c>
      <c r="AL19" s="235">
        <f>' Total des coûts de MO'!AL23</f>
        <v>10500</v>
      </c>
      <c r="AM19" s="192">
        <f>AL$19/AL$14</f>
        <v>0.22842881440224092</v>
      </c>
      <c r="AP19" s="220">
        <f>+$AL19+$AI19+$AF19+$AC19+$Z19+$W19+$T19+$Q19+$N19+$K19+$H19+$E19</f>
        <v>130447</v>
      </c>
      <c r="AQ19" s="195">
        <f>AP$19/AP$14</f>
        <v>0.23075308917962914</v>
      </c>
      <c r="AS19" s="221">
        <f>+AS21/AV19</f>
        <v>140954.54808136236</v>
      </c>
      <c r="AT19" s="222">
        <f>+AS19/AS14</f>
        <v>0.28560069650962705</v>
      </c>
      <c r="AV19" s="594">
        <f>1+AV20</f>
        <v>1.2359913834737479</v>
      </c>
      <c r="AX19" s="198" t="s">
        <v>153</v>
      </c>
      <c r="AY19" s="207">
        <v>543350</v>
      </c>
      <c r="AZ19" s="208">
        <f>+AY19/AY22</f>
        <v>8.4817436847810346E-2</v>
      </c>
    </row>
    <row r="20" spans="3:52" ht="18" thickTop="1" thickBot="1" x14ac:dyDescent="0.25">
      <c r="C20" s="209" t="s">
        <v>191</v>
      </c>
      <c r="D20" s="236"/>
      <c r="E20" s="237">
        <f>' Total des coûts de MO'!E36</f>
        <v>2515.3119999999999</v>
      </c>
      <c r="F20" s="238">
        <f>E$20/E$14</f>
        <v>6.5665112915626225E-2</v>
      </c>
      <c r="G20" s="236"/>
      <c r="H20" s="237">
        <f>' Total des coûts de MO'!H36</f>
        <v>3149.056</v>
      </c>
      <c r="I20" s="238">
        <f>H$20/H$14</f>
        <v>0.10113101580750186</v>
      </c>
      <c r="J20" s="236"/>
      <c r="K20" s="237">
        <f>' Total des coûts de MO'!K36</f>
        <v>2512</v>
      </c>
      <c r="L20" s="238">
        <f>K$20/K$14</f>
        <v>6.5578649346106202E-2</v>
      </c>
      <c r="M20" s="236"/>
      <c r="N20" s="237">
        <f>' Total des coûts de MO'!N36</f>
        <v>2512</v>
      </c>
      <c r="O20" s="238">
        <f>N$20/N$14</f>
        <v>6.1604185749372486E-2</v>
      </c>
      <c r="P20" s="236"/>
      <c r="Q20" s="237">
        <f>' Total des coûts de MO'!Q36</f>
        <v>2512</v>
      </c>
      <c r="R20" s="238">
        <f>Q$20/Q$14</f>
        <v>5.4648874455088495E-2</v>
      </c>
      <c r="S20" s="236"/>
      <c r="T20" s="237">
        <f>' Total des coûts de MO'!T36</f>
        <v>2512</v>
      </c>
      <c r="U20" s="238">
        <f>T$20/T$14</f>
        <v>4.5176402882873154E-2</v>
      </c>
      <c r="V20" s="236"/>
      <c r="W20" s="237">
        <f>' Total des coûts de MO'!W36</f>
        <v>2512</v>
      </c>
      <c r="X20" s="238">
        <f>W$20/W$14</f>
        <v>3.2789324673053101E-2</v>
      </c>
      <c r="Y20" s="236"/>
      <c r="Z20" s="237">
        <f>' Total des coûts de MO'!Z36</f>
        <v>2512</v>
      </c>
      <c r="AA20" s="238">
        <f>Z$20/Z$14</f>
        <v>3.6432582970058996E-2</v>
      </c>
      <c r="AB20" s="236"/>
      <c r="AC20" s="237">
        <f>' Total des coûts de MO'!AC36</f>
        <v>2512</v>
      </c>
      <c r="AD20" s="238">
        <f>AC$20/AC$14</f>
        <v>5.6470503603591453E-2</v>
      </c>
      <c r="AE20" s="236"/>
      <c r="AF20" s="237">
        <f>' Total des coûts de MO'!AF36</f>
        <v>2512</v>
      </c>
      <c r="AG20" s="238">
        <f>AF$20/AF$14</f>
        <v>5.9616953951005636E-2</v>
      </c>
      <c r="AH20" s="236"/>
      <c r="AI20" s="237">
        <f>' Total des coûts de MO'!AI36</f>
        <v>2512</v>
      </c>
      <c r="AJ20" s="238">
        <f>AI$20/AI$14</f>
        <v>6.7764604324309738E-2</v>
      </c>
      <c r="AK20" s="236"/>
      <c r="AL20" s="237">
        <f>' Total des coûts de MO'!AL36</f>
        <v>2512</v>
      </c>
      <c r="AM20" s="238">
        <f>AL$20/AL$14</f>
        <v>5.4648874455088495E-2</v>
      </c>
      <c r="AN20" s="236"/>
      <c r="AO20" s="236"/>
      <c r="AP20" s="220">
        <f>+$AL20+$AI20+$AF20+$AC20+$Z20+$W20+$T20+$Q20+$N20+$K20+$H20+$E20</f>
        <v>30784.368000000002</v>
      </c>
      <c r="AQ20" s="239">
        <f>AP$20/AP$14</f>
        <v>5.4455740756341825E-2</v>
      </c>
      <c r="AS20" s="221">
        <f>+AV20*AS19</f>
        <v>33264.05880863763</v>
      </c>
      <c r="AT20" s="240">
        <f>+AS20/AS14</f>
        <v>6.7399303490372917E-2</v>
      </c>
      <c r="AV20" s="595">
        <f>' Total des coûts de MO'!AP41/' Total des coûts de MO'!AP23</f>
        <v>0.23599138347374798</v>
      </c>
      <c r="AX20" s="198" t="s">
        <v>154</v>
      </c>
      <c r="AY20" s="207">
        <v>502451</v>
      </c>
      <c r="AZ20" s="208">
        <f>+AY20/AY22</f>
        <v>7.8433065172760011E-2</v>
      </c>
    </row>
    <row r="21" spans="3:52" ht="17" thickBot="1" x14ac:dyDescent="0.25">
      <c r="C21" s="241" t="s">
        <v>155</v>
      </c>
      <c r="D21" s="242"/>
      <c r="E21" s="243">
        <f>+E19+E20</f>
        <v>13038.312</v>
      </c>
      <c r="F21" s="244">
        <f>E21/E14</f>
        <v>0.34038013165331554</v>
      </c>
      <c r="G21" s="242"/>
      <c r="H21" s="243">
        <f>+H19+H20</f>
        <v>18073.056</v>
      </c>
      <c r="I21" s="244">
        <f>H21/H14</f>
        <v>0.580410926965372</v>
      </c>
      <c r="J21" s="242"/>
      <c r="K21" s="243">
        <f>+K19+K20</f>
        <v>13012</v>
      </c>
      <c r="L21" s="244">
        <f>K21/K14</f>
        <v>0.33969322662879531</v>
      </c>
      <c r="M21" s="242"/>
      <c r="N21" s="243">
        <f>+N19+N20</f>
        <v>13012</v>
      </c>
      <c r="O21" s="244">
        <f>N21/N14</f>
        <v>0.31910575834826227</v>
      </c>
      <c r="P21" s="245"/>
      <c r="Q21" s="243">
        <f>+Q19+Q20</f>
        <v>13012</v>
      </c>
      <c r="R21" s="244">
        <f>Q21/Q14</f>
        <v>0.28307768885732942</v>
      </c>
      <c r="S21" s="242"/>
      <c r="T21" s="243">
        <f>+T19+T20</f>
        <v>13012</v>
      </c>
      <c r="U21" s="244">
        <f>T21/T14</f>
        <v>0.23401088945539231</v>
      </c>
      <c r="V21" s="242"/>
      <c r="W21" s="243">
        <f>+W19+W20</f>
        <v>13012</v>
      </c>
      <c r="X21" s="244">
        <f>W21/W14</f>
        <v>0.16984661331439765</v>
      </c>
      <c r="Y21" s="242"/>
      <c r="Z21" s="243">
        <f>+Z19+Z20</f>
        <v>13012</v>
      </c>
      <c r="AA21" s="244">
        <f>Z21/Z14</f>
        <v>0.18871845923821962</v>
      </c>
      <c r="AB21" s="242"/>
      <c r="AC21" s="243">
        <f>+AC19+AC20</f>
        <v>13012</v>
      </c>
      <c r="AD21" s="244">
        <f>AC21/AC14</f>
        <v>0.2925136118192404</v>
      </c>
      <c r="AE21" s="242"/>
      <c r="AF21" s="243">
        <f>+AF19+AF20</f>
        <v>13012</v>
      </c>
      <c r="AG21" s="244">
        <f>AF21/AF14</f>
        <v>0.30881202420799575</v>
      </c>
      <c r="AH21" s="242"/>
      <c r="AI21" s="243">
        <f>+AI19+AI20</f>
        <v>13012</v>
      </c>
      <c r="AJ21" s="244">
        <f>AI21/AI14</f>
        <v>0.35101633418308853</v>
      </c>
      <c r="AK21" s="242"/>
      <c r="AL21" s="243">
        <f>+AL19+AL20</f>
        <v>13012</v>
      </c>
      <c r="AM21" s="244">
        <f>AL21/AL14</f>
        <v>0.28307768885732942</v>
      </c>
      <c r="AN21" s="242"/>
      <c r="AO21" s="242"/>
      <c r="AP21" s="246">
        <f>+$AL21+$AI21+$AF21+$AC21+$Z21+$W21+$T21+$Q21+$N21+$K21+$H21+$E21</f>
        <v>161231.36800000002</v>
      </c>
      <c r="AQ21" s="247">
        <f>AP$21/AP$14</f>
        <v>0.28520882993597096</v>
      </c>
      <c r="AS21" s="248">
        <f>+AT21*AS14</f>
        <v>174218.60689</v>
      </c>
      <c r="AT21" s="231">
        <v>0.35299999999999998</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24619.537519999998</v>
      </c>
      <c r="F23" s="244">
        <f>E$23/E$14</f>
        <v>0.64272134478000997</v>
      </c>
      <c r="G23" s="242"/>
      <c r="H23" s="243">
        <f>H16+H21</f>
        <v>27487.471583999999</v>
      </c>
      <c r="I23" s="244">
        <f>H$23/H$14</f>
        <v>0.88275214009206637</v>
      </c>
      <c r="J23" s="242"/>
      <c r="K23" s="243">
        <f>K16+K21</f>
        <v>24593.22552</v>
      </c>
      <c r="L23" s="244">
        <f>K$23/K$14</f>
        <v>0.64203443975548979</v>
      </c>
      <c r="M23" s="242"/>
      <c r="N23" s="243">
        <f>N16+N21</f>
        <v>25340.40136</v>
      </c>
      <c r="O23" s="244">
        <f>N$23/N$14</f>
        <v>0.62144697147495664</v>
      </c>
      <c r="P23" s="245"/>
      <c r="Q23" s="243">
        <f>Q16+Q21</f>
        <v>26909.470624000001</v>
      </c>
      <c r="R23" s="244">
        <f>Q$23/Q$14</f>
        <v>0.5854189019840238</v>
      </c>
      <c r="S23" s="242"/>
      <c r="T23" s="243">
        <f>T16+T21</f>
        <v>29823.456400000003</v>
      </c>
      <c r="U23" s="244">
        <f>T$23/T$14</f>
        <v>0.53635210258208676</v>
      </c>
      <c r="V23" s="242"/>
      <c r="W23" s="243">
        <f>W16+W21</f>
        <v>36174.45104</v>
      </c>
      <c r="X23" s="244">
        <f>W$23/W$14</f>
        <v>0.47218782644109208</v>
      </c>
      <c r="Y23" s="242"/>
      <c r="Z23" s="243">
        <f>Z16+Z21</f>
        <v>33858.205935999998</v>
      </c>
      <c r="AA23" s="244">
        <f>Z$23/Z$14</f>
        <v>0.49105967236491405</v>
      </c>
      <c r="AB23" s="242"/>
      <c r="AC23" s="243">
        <f>AC16+AC21</f>
        <v>26461.165119999998</v>
      </c>
      <c r="AD23" s="244">
        <f>AC$23/AC$14</f>
        <v>0.59485482494593478</v>
      </c>
      <c r="AE23" s="242"/>
      <c r="AF23" s="243">
        <f>AF16+AF21</f>
        <v>25751.348072000001</v>
      </c>
      <c r="AG23" s="244">
        <f>AF$23/AF$14</f>
        <v>0.61115323733469018</v>
      </c>
      <c r="AH23" s="242"/>
      <c r="AI23" s="243">
        <f>AI16+AI21</f>
        <v>24219.637600000002</v>
      </c>
      <c r="AJ23" s="244">
        <f>AI$23/AI$14</f>
        <v>0.65335754730978302</v>
      </c>
      <c r="AK23" s="242"/>
      <c r="AL23" s="243">
        <f>AL16+AL21</f>
        <v>26909.470624000001</v>
      </c>
      <c r="AM23" s="244">
        <f>AL$23/AL$14</f>
        <v>0.5854189019840238</v>
      </c>
      <c r="AN23" s="242"/>
      <c r="AO23" s="242"/>
      <c r="AP23" s="251">
        <f>+$AL23+$AI23+$AF23+$AC23+$Z23+$W23+$T23+$Q23+$N23+$K23+$H23+$E23</f>
        <v>332147.84139999998</v>
      </c>
      <c r="AQ23" s="247">
        <f>AP$23/AP$14</f>
        <v>0.58755004306266534</v>
      </c>
      <c r="AR23" s="252"/>
      <c r="AS23" s="253">
        <f>+AT23*AS14</f>
        <v>357814.41924999998</v>
      </c>
      <c r="AT23" s="254">
        <f>+AT16+AT21</f>
        <v>0.72499999999999998</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13685.612480000003</v>
      </c>
      <c r="F25" s="212">
        <f>E$25/E$14</f>
        <v>0.35727865521999008</v>
      </c>
      <c r="G25" s="213"/>
      <c r="H25" s="256">
        <f>H14-H23</f>
        <v>3650.908416000002</v>
      </c>
      <c r="I25" s="212">
        <f>H$25/H$14</f>
        <v>0.11724785990793361</v>
      </c>
      <c r="J25" s="211"/>
      <c r="K25" s="256">
        <f>K14-K23</f>
        <v>13711.924480000001</v>
      </c>
      <c r="L25" s="212">
        <f>K$25/K$14</f>
        <v>0.35796556024451021</v>
      </c>
      <c r="M25" s="211"/>
      <c r="N25" s="256">
        <f>N14-N23</f>
        <v>15436.048640000005</v>
      </c>
      <c r="O25" s="212">
        <f>N$25/N$14</f>
        <v>0.3785530285250433</v>
      </c>
      <c r="P25" s="213"/>
      <c r="Q25" s="256">
        <f>Q14-Q23</f>
        <v>19056.709376000006</v>
      </c>
      <c r="R25" s="212">
        <f>Q$25/Q$14</f>
        <v>0.41458109801597615</v>
      </c>
      <c r="S25" s="211"/>
      <c r="T25" s="256">
        <f>T14-T23</f>
        <v>25780.793600000005</v>
      </c>
      <c r="U25" s="212">
        <f>T$25/T$14</f>
        <v>0.46364789741791324</v>
      </c>
      <c r="V25" s="214"/>
      <c r="W25" s="256">
        <f>W14-W23</f>
        <v>40435.848960000003</v>
      </c>
      <c r="X25" s="212">
        <f>W$25/W$14</f>
        <v>0.52781217355890786</v>
      </c>
      <c r="Y25" s="214"/>
      <c r="Z25" s="256">
        <f>Z14-Z23</f>
        <v>35091.064064000006</v>
      </c>
      <c r="AA25" s="212">
        <f>Z$25/Z$14</f>
        <v>0.50894032763508601</v>
      </c>
      <c r="AB25" s="214"/>
      <c r="AC25" s="256">
        <f>AC14-AC23</f>
        <v>18022.234880000004</v>
      </c>
      <c r="AD25" s="212">
        <f>AC$25/AC$14</f>
        <v>0.40514517505406517</v>
      </c>
      <c r="AE25" s="214"/>
      <c r="AF25" s="256">
        <f>AF14-AF23</f>
        <v>16384.316928</v>
      </c>
      <c r="AG25" s="212">
        <f>AF$25/AF$14</f>
        <v>0.38884676266530976</v>
      </c>
      <c r="AH25" s="214"/>
      <c r="AI25" s="256">
        <f>AI14-AI23</f>
        <v>12849.862399999998</v>
      </c>
      <c r="AJ25" s="212">
        <f>AI$25/AI$14</f>
        <v>0.34664245269021698</v>
      </c>
      <c r="AK25" s="214"/>
      <c r="AL25" s="256">
        <f>AL14-AL23</f>
        <v>19056.709376000006</v>
      </c>
      <c r="AM25" s="212">
        <f>AL$25/AL$14</f>
        <v>0.41458109801597615</v>
      </c>
      <c r="AN25" s="214"/>
      <c r="AO25" s="214"/>
      <c r="AP25" s="215">
        <f>+$AL25+$AI25+$AF25+$AC25+$Z25+$W25+$T25+$Q25+$N25+$K25+$H25+$E25</f>
        <v>233162.03360000005</v>
      </c>
      <c r="AQ25" s="212">
        <f>AP$25/AP$14</f>
        <v>0.41244995693733466</v>
      </c>
      <c r="AR25" s="214"/>
      <c r="AS25" s="216">
        <f>+AS14-AS23</f>
        <v>135722.71075000003</v>
      </c>
      <c r="AT25" s="217">
        <f>AS$25/AS$14</f>
        <v>0.27500000000000008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744" t="s">
        <v>180</v>
      </c>
      <c r="E27" s="257">
        <f>'Coût d''occupation '!E26</f>
        <v>1915.2575000000002</v>
      </c>
      <c r="F27" s="208">
        <f>E27/$E$14</f>
        <v>0.05</v>
      </c>
      <c r="G27" s="210"/>
      <c r="H27" s="257">
        <f>'Coût d''occupation '!H26</f>
        <v>1556.9190000000001</v>
      </c>
      <c r="I27" s="192">
        <f>+H27/H14</f>
        <v>0.05</v>
      </c>
      <c r="J27" s="258">
        <v>1</v>
      </c>
      <c r="K27" s="257">
        <f>'Coût d''occupation '!K26</f>
        <v>1915.2575000000002</v>
      </c>
      <c r="L27" s="192">
        <f>+K27/K14</f>
        <v>0.05</v>
      </c>
      <c r="N27" s="257">
        <f>'Coût d''occupation '!N26</f>
        <v>2038.8225000000002</v>
      </c>
      <c r="O27" s="192">
        <f>+N27/N14</f>
        <v>0.05</v>
      </c>
      <c r="P27" s="193"/>
      <c r="Q27" s="257">
        <f>'Coût d''occupation '!Q26</f>
        <v>2298.3090000000007</v>
      </c>
      <c r="R27" s="192">
        <f>+Q27/Q14</f>
        <v>0.05</v>
      </c>
      <c r="T27" s="257">
        <f>'Coût d''occupation '!T26</f>
        <v>2780.2125000000005</v>
      </c>
      <c r="U27" s="192">
        <f>+T27/T14</f>
        <v>0.05</v>
      </c>
      <c r="W27" s="257">
        <f>'Coût d''occupation '!W26</f>
        <v>3830.5150000000003</v>
      </c>
      <c r="X27" s="192">
        <f>+W27/W14</f>
        <v>0.05</v>
      </c>
      <c r="Z27" s="257">
        <f>'Coût d''occupation '!Z26</f>
        <v>3447.4635000000003</v>
      </c>
      <c r="AA27" s="192">
        <f>+Z27/Z14</f>
        <v>0.05</v>
      </c>
      <c r="AC27" s="257">
        <f>'Coût d''occupation '!AC26</f>
        <v>2224.17</v>
      </c>
      <c r="AD27" s="192">
        <f>+AC27/AC14</f>
        <v>0.05</v>
      </c>
      <c r="AF27" s="257">
        <f>'Coût d''occupation '!AF26</f>
        <v>2106.78325</v>
      </c>
      <c r="AG27" s="192">
        <f>+AF27/AF14</f>
        <v>4.9999999999999996E-2</v>
      </c>
      <c r="AI27" s="257">
        <f>'Coût d''occupation '!AI26</f>
        <v>1853.4750000000001</v>
      </c>
      <c r="AJ27" s="192">
        <f>+AI27/AI14</f>
        <v>0.05</v>
      </c>
      <c r="AL27" s="257">
        <f>'Coût d''occupation '!AL26</f>
        <v>2298.3090000000007</v>
      </c>
      <c r="AM27" s="192">
        <f>+AL27/AL14</f>
        <v>0.05</v>
      </c>
      <c r="AP27" s="220">
        <f t="shared" ref="AP27:AP34" si="1">+$AL27+$AI27+$AF27+$AC27+$Z27+$W27+$T27+$Q27+$N27+$K27+$H27+$E27</f>
        <v>28265.493750000001</v>
      </c>
      <c r="AQ27" s="195">
        <f>+AP27/AP14</f>
        <v>0.05</v>
      </c>
      <c r="AS27" s="221">
        <v>0</v>
      </c>
      <c r="AT27" s="222">
        <f>+AS27/AS14</f>
        <v>0</v>
      </c>
    </row>
    <row r="28" spans="3:52" x14ac:dyDescent="0.15">
      <c r="C28" s="745" t="s">
        <v>181</v>
      </c>
      <c r="D28" s="210"/>
      <c r="E28" s="257">
        <f>'Coût direct d''exploitation '!E34</f>
        <v>2000</v>
      </c>
      <c r="F28" s="208">
        <f>E$28/E$14</f>
        <v>5.221230043479793E-2</v>
      </c>
      <c r="G28" s="210"/>
      <c r="H28" s="257">
        <f>'Coût direct d''exploitation '!H34</f>
        <v>2000</v>
      </c>
      <c r="I28" s="208">
        <f>H$28/H$14</f>
        <v>6.4229417201537131E-2</v>
      </c>
      <c r="J28" s="260">
        <v>1</v>
      </c>
      <c r="K28" s="257">
        <f>'Coût direct d''exploitation '!K34</f>
        <v>2000</v>
      </c>
      <c r="L28" s="208">
        <f>K$28/K$14</f>
        <v>5.221230043479793E-2</v>
      </c>
      <c r="M28" s="210"/>
      <c r="N28" s="257">
        <f>'Coût direct d''exploitation '!N34</f>
        <v>2000</v>
      </c>
      <c r="O28" s="208">
        <f>N$28/N$14</f>
        <v>4.9047918590264722E-2</v>
      </c>
      <c r="P28" s="210"/>
      <c r="Q28" s="257">
        <f>'Coût direct d''exploitation '!Q34</f>
        <v>2000</v>
      </c>
      <c r="R28" s="208">
        <f>Q$28/Q$14</f>
        <v>4.3510250362331603E-2</v>
      </c>
      <c r="S28" s="210"/>
      <c r="T28" s="257">
        <f>'Coût direct d''exploitation '!T34</f>
        <v>2000</v>
      </c>
      <c r="U28" s="208">
        <f>T$28/T$14</f>
        <v>3.5968473632860792E-2</v>
      </c>
      <c r="V28" s="210"/>
      <c r="W28" s="257">
        <f>'Coût direct d''exploitation '!W34</f>
        <v>2000</v>
      </c>
      <c r="X28" s="208">
        <f>W$28/W$14</f>
        <v>2.6106150217398965E-2</v>
      </c>
      <c r="Y28" s="210"/>
      <c r="Z28" s="257">
        <f>'Coût direct d''exploitation '!Z34</f>
        <v>2000</v>
      </c>
      <c r="AA28" s="208">
        <f>Z$28/Z$14</f>
        <v>2.9006833574887737E-2</v>
      </c>
      <c r="AB28" s="210"/>
      <c r="AC28" s="257">
        <f>'Coût direct d''exploitation '!AC34</f>
        <v>2000</v>
      </c>
      <c r="AD28" s="208">
        <f>AC$28/AC$14</f>
        <v>4.4960592041075997E-2</v>
      </c>
      <c r="AE28" s="210"/>
      <c r="AF28" s="257">
        <f>'Coût direct d''exploitation '!AF34</f>
        <v>2000</v>
      </c>
      <c r="AG28" s="208">
        <f>AF$28/AF$14</f>
        <v>4.7465727667998121E-2</v>
      </c>
      <c r="AH28" s="210"/>
      <c r="AI28" s="257">
        <f>'Coût direct d''exploitation '!AI34</f>
        <v>2000</v>
      </c>
      <c r="AJ28" s="208">
        <f>AI$28/AI$14</f>
        <v>5.3952710449291195E-2</v>
      </c>
      <c r="AK28" s="210"/>
      <c r="AL28" s="257">
        <f>'Coût direct d''exploitation '!AL34</f>
        <v>2000</v>
      </c>
      <c r="AM28" s="208">
        <f>AL$28/AL$14</f>
        <v>4.3510250362331603E-2</v>
      </c>
      <c r="AN28" s="210"/>
      <c r="AO28" s="210"/>
      <c r="AP28" s="220">
        <f t="shared" si="1"/>
        <v>24000</v>
      </c>
      <c r="AQ28" s="195">
        <f>AP$28/AP$14</f>
        <v>4.245459182895045E-2</v>
      </c>
      <c r="AS28" s="221">
        <v>0</v>
      </c>
      <c r="AT28" s="222">
        <f>AS$28/AS$14</f>
        <v>0</v>
      </c>
    </row>
    <row r="29" spans="3:52" x14ac:dyDescent="0.15">
      <c r="C29" s="745" t="s">
        <v>182</v>
      </c>
      <c r="D29" s="210"/>
      <c r="E29" s="257">
        <f>'Musique &amp; Divertissement'!E24</f>
        <v>109</v>
      </c>
      <c r="F29" s="208">
        <f>E$29/E$14</f>
        <v>2.8455703736964873E-3</v>
      </c>
      <c r="G29" s="210"/>
      <c r="H29" s="257">
        <f>'Musique &amp; Divertissement'!H24</f>
        <v>109</v>
      </c>
      <c r="I29" s="208">
        <f>H$29/H$14</f>
        <v>3.5005032374837738E-3</v>
      </c>
      <c r="J29" s="260">
        <v>1</v>
      </c>
      <c r="K29" s="257">
        <f>'Musique &amp; Divertissement'!K24</f>
        <v>109</v>
      </c>
      <c r="L29" s="208">
        <f>K$29/K$14</f>
        <v>2.8455703736964873E-3</v>
      </c>
      <c r="M29" s="210"/>
      <c r="N29" s="257">
        <f>'Musique &amp; Divertissement'!N24</f>
        <v>109</v>
      </c>
      <c r="O29" s="208">
        <f>N$29/N$14</f>
        <v>2.673111563169427E-3</v>
      </c>
      <c r="P29" s="210"/>
      <c r="Q29" s="257">
        <f>'Musique &amp; Divertissement'!Q24</f>
        <v>109</v>
      </c>
      <c r="R29" s="208">
        <f>Q$29/Q$14</f>
        <v>2.3713086447470725E-3</v>
      </c>
      <c r="S29" s="210"/>
      <c r="T29" s="257">
        <f>'Musique &amp; Divertissement'!T24</f>
        <v>109</v>
      </c>
      <c r="U29" s="208">
        <f>T$29/T$14</f>
        <v>1.9602818129909132E-3</v>
      </c>
      <c r="V29" s="210"/>
      <c r="W29" s="257">
        <f>'Musique &amp; Divertissement'!W24</f>
        <v>109</v>
      </c>
      <c r="X29" s="208">
        <f>W$29/W$14</f>
        <v>1.4227851868482437E-3</v>
      </c>
      <c r="Y29" s="210"/>
      <c r="Z29" s="257">
        <f>'Musique &amp; Divertissement'!Z24</f>
        <v>109</v>
      </c>
      <c r="AA29" s="208">
        <f>Z$29/Z$14</f>
        <v>1.5808724298313817E-3</v>
      </c>
      <c r="AB29" s="210"/>
      <c r="AC29" s="257">
        <f>'Musique &amp; Divertissement'!AC24</f>
        <v>109</v>
      </c>
      <c r="AD29" s="208">
        <f>AC$29/AC$14</f>
        <v>2.4503522662386416E-3</v>
      </c>
      <c r="AE29" s="210"/>
      <c r="AF29" s="257">
        <f>'Musique &amp; Divertissement'!AF24</f>
        <v>109</v>
      </c>
      <c r="AG29" s="208">
        <f>AF$29/AF$14</f>
        <v>2.5868821579058975E-3</v>
      </c>
      <c r="AH29" s="210"/>
      <c r="AI29" s="257">
        <f>'Musique &amp; Divertissement'!AI24</f>
        <v>109</v>
      </c>
      <c r="AJ29" s="208">
        <f>AI$29/AI$14</f>
        <v>2.94042271948637E-3</v>
      </c>
      <c r="AK29" s="210"/>
      <c r="AL29" s="257">
        <f>'Musique &amp; Divertissement'!AL24</f>
        <v>109</v>
      </c>
      <c r="AM29" s="208">
        <f>AL$29/AL$14</f>
        <v>2.3713086447470725E-3</v>
      </c>
      <c r="AN29" s="210"/>
      <c r="AO29" s="210"/>
      <c r="AP29" s="220">
        <f t="shared" si="1"/>
        <v>1308</v>
      </c>
      <c r="AQ29" s="195">
        <f>AP$29/AP$14</f>
        <v>2.3137752546777994E-3</v>
      </c>
      <c r="AS29" s="221">
        <v>0</v>
      </c>
      <c r="AT29" s="222">
        <f>AS$29/AS$14</f>
        <v>0</v>
      </c>
    </row>
    <row r="30" spans="3:52" x14ac:dyDescent="0.15">
      <c r="C30" s="745" t="s">
        <v>183</v>
      </c>
      <c r="D30" s="210"/>
      <c r="E30" s="257">
        <f>'Mark &amp; Communication marketing'!E25</f>
        <v>1000</v>
      </c>
      <c r="F30" s="208">
        <f>E$30/E$14</f>
        <v>2.6106150217398965E-2</v>
      </c>
      <c r="G30" s="210"/>
      <c r="H30" s="257">
        <f>'Mark &amp; Communication marketing'!H25</f>
        <v>1000</v>
      </c>
      <c r="I30" s="208">
        <f>H$30/H$14</f>
        <v>3.2114708600768566E-2</v>
      </c>
      <c r="J30" s="260">
        <v>1</v>
      </c>
      <c r="K30" s="257">
        <f>'Mark &amp; Communication marketing'!K25</f>
        <v>1000</v>
      </c>
      <c r="L30" s="208">
        <f>K$30/K$14</f>
        <v>2.6106150217398965E-2</v>
      </c>
      <c r="M30" s="210"/>
      <c r="N30" s="257">
        <f>'Mark &amp; Communication marketing'!N25</f>
        <v>1000</v>
      </c>
      <c r="O30" s="208">
        <f>N$30/N$14</f>
        <v>2.4523959295132361E-2</v>
      </c>
      <c r="P30" s="210"/>
      <c r="Q30" s="257">
        <f>'Mark &amp; Communication marketing'!Q25</f>
        <v>1000</v>
      </c>
      <c r="R30" s="208">
        <f>Q$30/Q$14</f>
        <v>2.1755125181165801E-2</v>
      </c>
      <c r="S30" s="210"/>
      <c r="T30" s="257">
        <f>'Mark &amp; Communication marketing'!T25</f>
        <v>1000</v>
      </c>
      <c r="U30" s="208">
        <f>T$30/T$14</f>
        <v>1.7984236816430396E-2</v>
      </c>
      <c r="V30" s="210"/>
      <c r="W30" s="257">
        <f>'Mark &amp; Communication marketing'!W25</f>
        <v>1000</v>
      </c>
      <c r="X30" s="208">
        <f>W$30/W$14</f>
        <v>1.3053075108699482E-2</v>
      </c>
      <c r="Y30" s="210"/>
      <c r="Z30" s="257">
        <f>'Mark &amp; Communication marketing'!Z25</f>
        <v>1000</v>
      </c>
      <c r="AA30" s="208">
        <f>Z$30/Z$14</f>
        <v>1.4503416787443869E-2</v>
      </c>
      <c r="AB30" s="210"/>
      <c r="AC30" s="257">
        <f>'Mark &amp; Communication marketing'!AC25</f>
        <v>1000</v>
      </c>
      <c r="AD30" s="208">
        <f>AC$30/AC$14</f>
        <v>2.2480296020537999E-2</v>
      </c>
      <c r="AE30" s="210"/>
      <c r="AF30" s="257">
        <f>'Mark &amp; Communication marketing'!AF25</f>
        <v>1000</v>
      </c>
      <c r="AG30" s="208">
        <f>AF$30/AF$14</f>
        <v>2.3732863833999061E-2</v>
      </c>
      <c r="AH30" s="210"/>
      <c r="AI30" s="257">
        <f>'Mark &amp; Communication marketing'!AI25</f>
        <v>1000</v>
      </c>
      <c r="AJ30" s="208">
        <f>AI$30/AI$14</f>
        <v>2.6976355224645598E-2</v>
      </c>
      <c r="AK30" s="210"/>
      <c r="AL30" s="257">
        <f>'Mark &amp; Communication marketing'!AL25</f>
        <v>1000</v>
      </c>
      <c r="AM30" s="208">
        <f>AL$30/AL$14</f>
        <v>2.1755125181165801E-2</v>
      </c>
      <c r="AN30" s="210"/>
      <c r="AO30" s="210"/>
      <c r="AP30" s="220">
        <f t="shared" si="1"/>
        <v>12000</v>
      </c>
      <c r="AQ30" s="195">
        <f>AP$30/AP$14</f>
        <v>2.1227295914475225E-2</v>
      </c>
      <c r="AS30" s="221">
        <v>0</v>
      </c>
      <c r="AT30" s="222">
        <f>AS$30/AS$14</f>
        <v>0</v>
      </c>
    </row>
    <row r="31" spans="3:52" x14ac:dyDescent="0.15">
      <c r="C31" s="744" t="s">
        <v>184</v>
      </c>
      <c r="E31" s="261">
        <f>'Services publics'!E23</f>
        <v>1000</v>
      </c>
      <c r="F31" s="192">
        <f>E$31/E$14</f>
        <v>2.6106150217398965E-2</v>
      </c>
      <c r="H31" s="261">
        <f>'Services publics'!H23</f>
        <v>1000</v>
      </c>
      <c r="I31" s="192">
        <f>H$31/H$14</f>
        <v>3.2114708600768566E-2</v>
      </c>
      <c r="J31" s="258">
        <v>1</v>
      </c>
      <c r="K31" s="261">
        <f>'Services publics'!K23</f>
        <v>1000</v>
      </c>
      <c r="L31" s="192">
        <f>K$31/K$14</f>
        <v>2.6106150217398965E-2</v>
      </c>
      <c r="N31" s="261">
        <f>'Services publics'!N23</f>
        <v>1000</v>
      </c>
      <c r="O31" s="192">
        <f>N$31/N$14</f>
        <v>2.4523959295132361E-2</v>
      </c>
      <c r="P31" s="193"/>
      <c r="Q31" s="261">
        <f>'Services publics'!Q23</f>
        <v>1000</v>
      </c>
      <c r="R31" s="192">
        <f>Q$31/Q$14</f>
        <v>2.1755125181165801E-2</v>
      </c>
      <c r="T31" s="261">
        <f>'Services publics'!T23</f>
        <v>1000</v>
      </c>
      <c r="U31" s="192">
        <f>T$31/T$14</f>
        <v>1.7984236816430396E-2</v>
      </c>
      <c r="W31" s="261">
        <f>'Services publics'!W23</f>
        <v>1000</v>
      </c>
      <c r="X31" s="192">
        <f>W$31/W$14</f>
        <v>1.3053075108699482E-2</v>
      </c>
      <c r="Z31" s="261">
        <f>'Services publics'!Z23</f>
        <v>1000</v>
      </c>
      <c r="AA31" s="192">
        <f>Z$31/Z$14</f>
        <v>1.4503416787443869E-2</v>
      </c>
      <c r="AC31" s="261">
        <f>'Services publics'!AC23</f>
        <v>1000</v>
      </c>
      <c r="AD31" s="192">
        <f>AC$31/AC$14</f>
        <v>2.2480296020537999E-2</v>
      </c>
      <c r="AF31" s="261">
        <f>'Services publics'!AF23</f>
        <v>1000</v>
      </c>
      <c r="AG31" s="192">
        <f>AF$31/AF$14</f>
        <v>2.3732863833999061E-2</v>
      </c>
      <c r="AI31" s="261">
        <f>'Services publics'!AI23</f>
        <v>1000</v>
      </c>
      <c r="AJ31" s="192">
        <f>AI$31/AI$14</f>
        <v>2.6976355224645598E-2</v>
      </c>
      <c r="AL31" s="261">
        <f>'Services publics'!AL23</f>
        <v>1000</v>
      </c>
      <c r="AM31" s="192">
        <f>AL$31/AL$14</f>
        <v>2.1755125181165801E-2</v>
      </c>
      <c r="AO31" s="210"/>
      <c r="AP31" s="220">
        <f t="shared" si="1"/>
        <v>12000</v>
      </c>
      <c r="AQ31" s="195">
        <f>AP$31/AP$14</f>
        <v>2.1227295914475225E-2</v>
      </c>
      <c r="AS31" s="221">
        <v>0</v>
      </c>
      <c r="AT31" s="222">
        <f>AS$31/AS$14</f>
        <v>0</v>
      </c>
    </row>
    <row r="32" spans="3:52" x14ac:dyDescent="0.15">
      <c r="C32" s="744" t="s">
        <v>185</v>
      </c>
      <c r="E32" s="261">
        <f>'Administration &amp; Frais généraux'!E29</f>
        <v>1000</v>
      </c>
      <c r="F32" s="192">
        <f>E$32/E$14</f>
        <v>2.6106150217398965E-2</v>
      </c>
      <c r="H32" s="261">
        <f>'Administration &amp; Frais généraux'!H29</f>
        <v>1000</v>
      </c>
      <c r="I32" s="192">
        <f>H$32/H$14</f>
        <v>3.2114708600768566E-2</v>
      </c>
      <c r="J32" s="258">
        <v>1</v>
      </c>
      <c r="K32" s="261">
        <f>'Administration &amp; Frais généraux'!K29</f>
        <v>1000</v>
      </c>
      <c r="L32" s="192">
        <f>K$32/K$14</f>
        <v>2.6106150217398965E-2</v>
      </c>
      <c r="N32" s="261">
        <f>'Administration &amp; Frais généraux'!N29</f>
        <v>1000</v>
      </c>
      <c r="O32" s="192">
        <f>N$32/N$14</f>
        <v>2.4523959295132361E-2</v>
      </c>
      <c r="P32" s="193"/>
      <c r="Q32" s="261">
        <f>'Administration &amp; Frais généraux'!Q29</f>
        <v>1014</v>
      </c>
      <c r="R32" s="192">
        <f>Q$32/Q$14</f>
        <v>2.2059696933702123E-2</v>
      </c>
      <c r="T32" s="261">
        <f>'Administration &amp; Frais généraux'!T29</f>
        <v>1014</v>
      </c>
      <c r="U32" s="192">
        <f>T$32/T$14</f>
        <v>1.8236016131860423E-2</v>
      </c>
      <c r="W32" s="261">
        <f>'Administration &amp; Frais généraux'!W29</f>
        <v>1014</v>
      </c>
      <c r="X32" s="192">
        <f>W$32/W$14</f>
        <v>1.3235818160221275E-2</v>
      </c>
      <c r="Z32" s="261">
        <f>'Administration &amp; Frais généraux'!Z29</f>
        <v>1014</v>
      </c>
      <c r="AA32" s="192">
        <f>Z$32/Z$14</f>
        <v>1.4706464622468083E-2</v>
      </c>
      <c r="AC32" s="261">
        <f>'Administration &amp; Frais généraux'!AC29</f>
        <v>1014</v>
      </c>
      <c r="AD32" s="192">
        <f>AC$32/AC$14</f>
        <v>2.2795020164825531E-2</v>
      </c>
      <c r="AF32" s="261">
        <f>'Administration &amp; Frais généraux'!AF29</f>
        <v>1014</v>
      </c>
      <c r="AG32" s="192">
        <f>AF$32/AF$14</f>
        <v>2.4065123927675045E-2</v>
      </c>
      <c r="AI32" s="261">
        <f>'Administration &amp; Frais généraux'!AI29</f>
        <v>1014</v>
      </c>
      <c r="AJ32" s="192">
        <f>AI$32/AI$14</f>
        <v>2.7354024197790636E-2</v>
      </c>
      <c r="AL32" s="261">
        <f>'Administration &amp; Frais généraux'!AL29</f>
        <v>1014</v>
      </c>
      <c r="AM32" s="192">
        <f>AL$32/AL$14</f>
        <v>2.2059696933702123E-2</v>
      </c>
      <c r="AP32" s="220">
        <f t="shared" si="1"/>
        <v>12112</v>
      </c>
      <c r="AQ32" s="195">
        <f>AP$32/AP$14</f>
        <v>2.1425417343010327E-2</v>
      </c>
      <c r="AS32" s="221">
        <v>0</v>
      </c>
      <c r="AT32" s="222">
        <f>AS$32/AS$14</f>
        <v>0</v>
      </c>
    </row>
    <row r="33" spans="3:52" x14ac:dyDescent="0.15">
      <c r="C33" s="744" t="s">
        <v>186</v>
      </c>
      <c r="E33" s="261">
        <f>'Entretien &amp; Réparation'!E31</f>
        <v>1000</v>
      </c>
      <c r="F33" s="192">
        <f>E$33/E$14</f>
        <v>2.6106150217398965E-2</v>
      </c>
      <c r="H33" s="261">
        <f>'Entretien &amp; Réparation'!H31</f>
        <v>1000</v>
      </c>
      <c r="I33" s="192">
        <f>H$33/H$14</f>
        <v>3.2114708600768566E-2</v>
      </c>
      <c r="J33" s="258">
        <v>1</v>
      </c>
      <c r="K33" s="261">
        <f>'Entretien &amp; Réparation'!K31</f>
        <v>1000</v>
      </c>
      <c r="L33" s="192">
        <f>K$33/K$14</f>
        <v>2.6106150217398965E-2</v>
      </c>
      <c r="N33" s="261">
        <f>'Entretien &amp; Réparation'!N31</f>
        <v>1000</v>
      </c>
      <c r="O33" s="192">
        <f>N$33/N$14</f>
        <v>2.4523959295132361E-2</v>
      </c>
      <c r="P33" s="193"/>
      <c r="Q33" s="261">
        <f>'Entretien &amp; Réparation'!Q31</f>
        <v>1000</v>
      </c>
      <c r="R33" s="192">
        <f>Q$33/Q$14</f>
        <v>2.1755125181165801E-2</v>
      </c>
      <c r="T33" s="261">
        <f>'Entretien &amp; Réparation'!T31</f>
        <v>1000</v>
      </c>
      <c r="U33" s="192">
        <f>T$33/T$14</f>
        <v>1.7984236816430396E-2</v>
      </c>
      <c r="W33" s="261">
        <f>'Entretien &amp; Réparation'!W31</f>
        <v>1000</v>
      </c>
      <c r="X33" s="192">
        <f>W$33/W$14</f>
        <v>1.3053075108699482E-2</v>
      </c>
      <c r="Z33" s="261">
        <f>'Entretien &amp; Réparation'!Z31</f>
        <v>1000</v>
      </c>
      <c r="AA33" s="192">
        <f>Z$33/Z$14</f>
        <v>1.4503416787443869E-2</v>
      </c>
      <c r="AC33" s="261">
        <f>'Entretien &amp; Réparation'!AC31</f>
        <v>1000</v>
      </c>
      <c r="AD33" s="192">
        <f>AC$33/AC$14</f>
        <v>2.2480296020537999E-2</v>
      </c>
      <c r="AF33" s="261">
        <f>'Entretien &amp; Réparation'!AF31</f>
        <v>1000</v>
      </c>
      <c r="AG33" s="192">
        <f>AF$33/AF$14</f>
        <v>2.3732863833999061E-2</v>
      </c>
      <c r="AI33" s="261">
        <f>'Entretien &amp; Réparation'!AI31</f>
        <v>1000</v>
      </c>
      <c r="AJ33" s="192">
        <f>AI$33/AI$14</f>
        <v>2.6976355224645598E-2</v>
      </c>
      <c r="AL33" s="261">
        <f>'Entretien &amp; Réparation'!AL31</f>
        <v>1000</v>
      </c>
      <c r="AM33" s="192">
        <f>AL$33/AL$14</f>
        <v>2.1755125181165801E-2</v>
      </c>
      <c r="AP33" s="220">
        <f t="shared" si="1"/>
        <v>12000</v>
      </c>
      <c r="AQ33" s="195">
        <f>AP$33/AP$14</f>
        <v>2.1227295914475225E-2</v>
      </c>
      <c r="AS33" s="221">
        <v>0</v>
      </c>
      <c r="AT33" s="222">
        <f>AS$33/AS$14</f>
        <v>0</v>
      </c>
    </row>
    <row r="34" spans="3:52" x14ac:dyDescent="0.15">
      <c r="C34" s="241" t="s">
        <v>176</v>
      </c>
      <c r="D34" s="262"/>
      <c r="E34" s="243">
        <f>+(SUM(E27:E33))</f>
        <v>8024.2574999999997</v>
      </c>
      <c r="F34" s="263">
        <f>E34/E14</f>
        <v>0.20948247167809025</v>
      </c>
      <c r="G34" s="264" t="s">
        <v>2</v>
      </c>
      <c r="H34" s="243">
        <f>+(SUM(H27:H33))</f>
        <v>7665.9189999999999</v>
      </c>
      <c r="I34" s="265">
        <f>H34/H14</f>
        <v>0.24618875484209518</v>
      </c>
      <c r="J34" s="266">
        <f>SUM(J27:J33)</f>
        <v>7</v>
      </c>
      <c r="K34" s="243">
        <f>+(SUM(K27:K33))</f>
        <v>8024.2574999999997</v>
      </c>
      <c r="L34" s="263">
        <f>K34/K14</f>
        <v>0.20948247167809025</v>
      </c>
      <c r="M34" s="266">
        <f>SUM(M27:M33)</f>
        <v>0</v>
      </c>
      <c r="N34" s="243">
        <f>+(SUM(N27:N33))</f>
        <v>8147.8225000000002</v>
      </c>
      <c r="O34" s="263">
        <f>N34/N14</f>
        <v>0.19981686733396359</v>
      </c>
      <c r="P34" s="267"/>
      <c r="Q34" s="243">
        <f>+(SUM(Q27:Q33))</f>
        <v>8421.3090000000011</v>
      </c>
      <c r="R34" s="263">
        <f>Q34/Q14</f>
        <v>0.18320663148427821</v>
      </c>
      <c r="S34" s="262"/>
      <c r="T34" s="243">
        <f>+(SUM(T27:T33))</f>
        <v>8903.2125000000015</v>
      </c>
      <c r="U34" s="263">
        <f>T34/T14</f>
        <v>0.16011748202700335</v>
      </c>
      <c r="V34" s="262"/>
      <c r="W34" s="243">
        <f>+(SUM(W27:W33))</f>
        <v>9953.5149999999994</v>
      </c>
      <c r="X34" s="263">
        <f>W34/W14</f>
        <v>0.12992397889056692</v>
      </c>
      <c r="Y34" s="262"/>
      <c r="Z34" s="243">
        <f>+(SUM(Z27:Z33))</f>
        <v>9570.4634999999998</v>
      </c>
      <c r="AA34" s="263">
        <f>Z34/Z14</f>
        <v>0.13880442098951881</v>
      </c>
      <c r="AB34" s="262"/>
      <c r="AC34" s="243">
        <f>+(SUM(AC27:AC33))</f>
        <v>8347.17</v>
      </c>
      <c r="AD34" s="263">
        <f>AC34/AC14</f>
        <v>0.18764685253375415</v>
      </c>
      <c r="AE34" s="262"/>
      <c r="AF34" s="243">
        <f>+(SUM(AF27:AF33))</f>
        <v>8229.7832500000004</v>
      </c>
      <c r="AG34" s="263">
        <f>AF34/AF14</f>
        <v>0.19531632525557624</v>
      </c>
      <c r="AH34" s="262"/>
      <c r="AI34" s="243">
        <f>+(SUM(AI27:AI33))</f>
        <v>7976.4750000000004</v>
      </c>
      <c r="AJ34" s="263">
        <f>AI34/AI14</f>
        <v>0.21517622304050502</v>
      </c>
      <c r="AK34" s="262"/>
      <c r="AL34" s="243">
        <f>+(SUM(AL27:AL33))</f>
        <v>8421.3090000000011</v>
      </c>
      <c r="AM34" s="263">
        <f>AL34/AL14</f>
        <v>0.18320663148427821</v>
      </c>
      <c r="AN34" s="262"/>
      <c r="AO34" s="262"/>
      <c r="AP34" s="251">
        <f t="shared" si="1"/>
        <v>101685.49374999999</v>
      </c>
      <c r="AQ34" s="268">
        <f>AP34/AP14</f>
        <v>0.17987567217006423</v>
      </c>
      <c r="AS34" s="253">
        <f>+AT34*AV14</f>
        <v>98707.426000000007</v>
      </c>
      <c r="AT34" s="269">
        <v>0.2</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5661.3549800000037</v>
      </c>
      <c r="F36" s="212">
        <f>E$36/E$14</f>
        <v>0.1477961835418998</v>
      </c>
      <c r="G36" s="211"/>
      <c r="H36" s="256">
        <f>H25-H34</f>
        <v>-4015.0105839999978</v>
      </c>
      <c r="I36" s="212">
        <f>H$36/H$14</f>
        <v>-0.12894089493416155</v>
      </c>
      <c r="J36" s="211"/>
      <c r="K36" s="256">
        <f>K25-K34</f>
        <v>5687.6669800000018</v>
      </c>
      <c r="L36" s="212">
        <f>K$36/K$14</f>
        <v>0.14848308856641995</v>
      </c>
      <c r="M36" s="211"/>
      <c r="N36" s="256">
        <f>N25-N34</f>
        <v>7288.2261400000043</v>
      </c>
      <c r="O36" s="212">
        <f>N$36/N$14</f>
        <v>0.17873616119107974</v>
      </c>
      <c r="P36" s="213"/>
      <c r="Q36" s="256">
        <f>Q25-Q34</f>
        <v>10635.400376000005</v>
      </c>
      <c r="R36" s="212">
        <f>Q$36/Q$14</f>
        <v>0.23137446653169794</v>
      </c>
      <c r="S36" s="211"/>
      <c r="T36" s="256">
        <f>T25-T34</f>
        <v>16877.581100000003</v>
      </c>
      <c r="U36" s="212">
        <f>T$36/T$14</f>
        <v>0.30353041539090986</v>
      </c>
      <c r="V36" s="214"/>
      <c r="W36" s="256">
        <f>W25-W34</f>
        <v>30482.333960000004</v>
      </c>
      <c r="X36" s="212">
        <f>W$36/W$14</f>
        <v>0.39788819466834097</v>
      </c>
      <c r="Y36" s="214"/>
      <c r="Z36" s="256">
        <f>Z25-Z34</f>
        <v>25520.600564000008</v>
      </c>
      <c r="AA36" s="212">
        <f>Z$36/Z$14</f>
        <v>0.37013590664556717</v>
      </c>
      <c r="AB36" s="214"/>
      <c r="AC36" s="256">
        <f>AC25-AC34</f>
        <v>9675.0648800000035</v>
      </c>
      <c r="AD36" s="212">
        <f>AC$36/AC$14</f>
        <v>0.21749832252031101</v>
      </c>
      <c r="AE36" s="214"/>
      <c r="AF36" s="256">
        <f>AF25-AF34</f>
        <v>8154.5336779999998</v>
      </c>
      <c r="AG36" s="212">
        <f>AF$36/AF$14</f>
        <v>0.19353043740973352</v>
      </c>
      <c r="AH36" s="214"/>
      <c r="AI36" s="256">
        <f>AI25-AI34</f>
        <v>4873.3873999999978</v>
      </c>
      <c r="AJ36" s="212">
        <f>AI$36/AI$14</f>
        <v>0.13146622964971197</v>
      </c>
      <c r="AK36" s="214"/>
      <c r="AL36" s="256">
        <f>AL25-AL34</f>
        <v>10635.400376000005</v>
      </c>
      <c r="AM36" s="212">
        <f>AL$36/AL$14</f>
        <v>0.23137446653169794</v>
      </c>
      <c r="AN36" s="214"/>
      <c r="AO36" s="214"/>
      <c r="AP36" s="256">
        <f>+$AL36+$AI36+$AF36+$AC36+$Z36+$W36+$T36+$Q36+$N36+$K36+$H36+$E36</f>
        <v>131476.53985000003</v>
      </c>
      <c r="AQ36" s="212">
        <f>AP$36/AP$14</f>
        <v>0.23257428476727041</v>
      </c>
      <c r="AR36" s="214"/>
      <c r="AS36" s="216">
        <f>+AS25-AS34</f>
        <v>37015.284750000021</v>
      </c>
      <c r="AT36" s="217">
        <f>AS$36/AS$14</f>
        <v>7.5000000000000039E-2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744" t="s">
        <v>187</v>
      </c>
      <c r="E38" s="261">
        <f>'Frais financier'!E24</f>
        <v>0</v>
      </c>
      <c r="F38" s="192">
        <f>E$38/E$14</f>
        <v>0</v>
      </c>
      <c r="H38" s="261">
        <f>'Frais financier'!H24</f>
        <v>0</v>
      </c>
      <c r="I38" s="192">
        <f>H$38/H$14</f>
        <v>0</v>
      </c>
      <c r="K38" s="261">
        <f>'Frais financier'!K24</f>
        <v>0</v>
      </c>
      <c r="L38" s="192">
        <f>K$38/K$14</f>
        <v>0</v>
      </c>
      <c r="N38" s="261">
        <f>'Frais financier'!N24</f>
        <v>0</v>
      </c>
      <c r="O38" s="192">
        <f>N$38/N$14</f>
        <v>0</v>
      </c>
      <c r="P38" s="193"/>
      <c r="Q38" s="261">
        <f>'Frais financier'!Q24</f>
        <v>0</v>
      </c>
      <c r="R38" s="192">
        <f>Q$38/Q$14</f>
        <v>0</v>
      </c>
      <c r="T38" s="261">
        <f>'Frais financier'!T24</f>
        <v>0</v>
      </c>
      <c r="U38" s="192">
        <f>T$38/T$14</f>
        <v>0</v>
      </c>
      <c r="W38" s="261">
        <f>'Frais financier'!W24</f>
        <v>0</v>
      </c>
      <c r="X38" s="192">
        <f>W$38/W$14</f>
        <v>0</v>
      </c>
      <c r="Z38" s="261">
        <f>'Frais financier'!Z24</f>
        <v>0</v>
      </c>
      <c r="AA38" s="192">
        <f>Z$38/Z$14</f>
        <v>0</v>
      </c>
      <c r="AC38" s="261">
        <f>'Frais financier'!AC24</f>
        <v>0</v>
      </c>
      <c r="AD38" s="192">
        <f>AC$38/AC$14</f>
        <v>0</v>
      </c>
      <c r="AF38" s="261">
        <f>'Frais financier'!AF24</f>
        <v>0</v>
      </c>
      <c r="AG38" s="192">
        <f>AF$38/AF$14</f>
        <v>0</v>
      </c>
      <c r="AI38" s="261">
        <f>+AI7*AS38</f>
        <v>647.26180983606559</v>
      </c>
      <c r="AJ38" s="192">
        <f>AI$38/AI$14</f>
        <v>1.7460764505484713E-2</v>
      </c>
      <c r="AL38" s="261">
        <f>'Frais financier'!AL24</f>
        <v>0</v>
      </c>
      <c r="AM38" s="192">
        <f>AL$38/AL$14</f>
        <v>0</v>
      </c>
      <c r="AP38" s="220">
        <f>+$AL38+$AI38+$AF38+$AC38+$Z38+$W38+$T38+$Q38+$N38+$K38+$H38+$E38</f>
        <v>647.26180983606559</v>
      </c>
      <c r="AQ38" s="195">
        <f>AP$38/AP$14</f>
        <v>1.1449681642940795E-3</v>
      </c>
      <c r="AS38" s="270">
        <f>+AT38*AV14</f>
        <v>9870.7425999999996</v>
      </c>
      <c r="AT38" s="206">
        <v>0.02</v>
      </c>
    </row>
    <row r="39" spans="3:52" x14ac:dyDescent="0.15">
      <c r="C39" s="744" t="s">
        <v>188</v>
      </c>
      <c r="E39" s="261">
        <f>+E7*AS39</f>
        <v>969.81394507103846</v>
      </c>
      <c r="F39" s="192">
        <f>E39/E$14</f>
        <v>2.5318108532952837E-2</v>
      </c>
      <c r="H39" s="261">
        <f>+H7*AS39</f>
        <v>788.36488438032802</v>
      </c>
      <c r="I39" s="192">
        <f>H39/H$14</f>
        <v>2.5318108532952837E-2</v>
      </c>
      <c r="J39" s="258">
        <v>1</v>
      </c>
      <c r="K39" s="261">
        <f>+K7*AS39</f>
        <v>969.81394507103846</v>
      </c>
      <c r="L39" s="192">
        <f>K39/K$14</f>
        <v>2.5318108532952837E-2</v>
      </c>
      <c r="N39" s="261">
        <f>+N7*AS39</f>
        <v>1032.3825866885247</v>
      </c>
      <c r="O39" s="192">
        <f>N39/N$14</f>
        <v>2.5318108532952834E-2</v>
      </c>
      <c r="P39" s="193"/>
      <c r="Q39" s="261">
        <f>+Q7*AS39</f>
        <v>1163.7767340852461</v>
      </c>
      <c r="R39" s="192">
        <f>Q39/Q$14</f>
        <v>2.5318108532952834E-2</v>
      </c>
      <c r="T39" s="261">
        <f>+T7*AS39</f>
        <v>1407.794436393443</v>
      </c>
      <c r="U39" s="192">
        <f>T39/T$14</f>
        <v>2.5318108532952837E-2</v>
      </c>
      <c r="W39" s="261">
        <f>+W7*AS39</f>
        <v>1939.6278901420769</v>
      </c>
      <c r="X39" s="192">
        <f>W39/W$14</f>
        <v>2.5318108532952837E-2</v>
      </c>
      <c r="Z39" s="261">
        <f>+Z7*AS39</f>
        <v>1745.6651011278691</v>
      </c>
      <c r="AA39" s="192">
        <f>Z39/Z$14</f>
        <v>2.5318108532952837E-2</v>
      </c>
      <c r="AC39" s="261">
        <f>+AC7*AS39</f>
        <v>1126.2355491147543</v>
      </c>
      <c r="AD39" s="192">
        <f>AC39/AC$14</f>
        <v>2.531810853295284E-2</v>
      </c>
      <c r="AF39" s="261">
        <f>+AF7*AS39</f>
        <v>1066.7953395781421</v>
      </c>
      <c r="AG39" s="192">
        <f>AF39/AF$14</f>
        <v>2.5318108532952834E-2</v>
      </c>
      <c r="AI39" s="261">
        <f>+AI7*AS39</f>
        <v>938.52962426229521</v>
      </c>
      <c r="AJ39" s="192">
        <f>AI39/AI$14</f>
        <v>2.5318108532952837E-2</v>
      </c>
      <c r="AL39" s="261">
        <f>+AL7*AS39</f>
        <v>1163.7767340852461</v>
      </c>
      <c r="AM39" s="192">
        <f>AL39/AL$14</f>
        <v>2.5318108532952834E-2</v>
      </c>
      <c r="AP39" s="220">
        <f t="shared" ref="AP39" si="2">+$AL39+$AI39+$AF39+$AC39+$Z39+$W39+$T39+$Q39+$N39+$K39+$H39+$E39</f>
        <v>14312.576770000003</v>
      </c>
      <c r="AQ39" s="195">
        <f>AP39/AP$14</f>
        <v>2.531810853295284E-2</v>
      </c>
      <c r="AS39" s="270">
        <f>+AT39*AV14</f>
        <v>14312.576770000001</v>
      </c>
      <c r="AT39" s="206">
        <v>2.9000000000000001E-2</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4691.541034928965</v>
      </c>
      <c r="F41" s="212">
        <f>E$41/E$14</f>
        <v>0.12247807500894696</v>
      </c>
      <c r="G41" s="213"/>
      <c r="H41" s="256">
        <f>H36-(H38+H39)</f>
        <v>-4803.3754683803254</v>
      </c>
      <c r="I41" s="212">
        <f>H$41/H$14</f>
        <v>-0.15425900346711438</v>
      </c>
      <c r="J41" s="211"/>
      <c r="K41" s="256">
        <f>K36-(K38+K39)</f>
        <v>4717.8530349289631</v>
      </c>
      <c r="L41" s="212">
        <f>K$41/K$14</f>
        <v>0.12316498003346711</v>
      </c>
      <c r="M41" s="211"/>
      <c r="N41" s="256">
        <f>N36-(N38+N39)</f>
        <v>6255.8435533114798</v>
      </c>
      <c r="O41" s="212">
        <f>N$41/N$14</f>
        <v>0.15341805265812691</v>
      </c>
      <c r="P41" s="272"/>
      <c r="Q41" s="256">
        <f>Q36-(Q38+Q39)</f>
        <v>9471.623641914759</v>
      </c>
      <c r="R41" s="212">
        <f>Q$41/Q$14</f>
        <v>0.20605635799874511</v>
      </c>
      <c r="S41" s="214"/>
      <c r="T41" s="256">
        <f>T36-(T38+T39)</f>
        <v>15469.786663606559</v>
      </c>
      <c r="U41" s="212">
        <f>T$41/T$14</f>
        <v>0.278212306857957</v>
      </c>
      <c r="V41" s="214"/>
      <c r="W41" s="256">
        <f>W36-(W38+W39)</f>
        <v>28542.706069857926</v>
      </c>
      <c r="X41" s="212">
        <f>W$41/W$14</f>
        <v>0.37257008613538811</v>
      </c>
      <c r="Y41" s="214"/>
      <c r="Z41" s="256">
        <f>Z36-(Z38+Z39)</f>
        <v>23774.935462872138</v>
      </c>
      <c r="AA41" s="212">
        <f>Z$41/Z$14</f>
        <v>0.34481779811261432</v>
      </c>
      <c r="AB41" s="214"/>
      <c r="AC41" s="256">
        <f>AC36-(AC38+AC39)</f>
        <v>8548.8293308852499</v>
      </c>
      <c r="AD41" s="212">
        <f>AC$41/AC$14</f>
        <v>0.19218021398735818</v>
      </c>
      <c r="AE41" s="214"/>
      <c r="AF41" s="256">
        <f>AF36-(AF38+AF39)</f>
        <v>7087.7383384218574</v>
      </c>
      <c r="AG41" s="212">
        <f>AF$41/AF$14</f>
        <v>0.1682123288767807</v>
      </c>
      <c r="AH41" s="214"/>
      <c r="AI41" s="256">
        <f>AI36-(AI38+AI39)</f>
        <v>3287.5959659016371</v>
      </c>
      <c r="AJ41" s="212">
        <f>AI$41/AI$14</f>
        <v>8.8687356611274415E-2</v>
      </c>
      <c r="AK41" s="214"/>
      <c r="AL41" s="256">
        <f>AL36-(AL38+AL39)</f>
        <v>9471.623641914759</v>
      </c>
      <c r="AM41" s="212">
        <f>AL$41/AL$14</f>
        <v>0.20605635799874511</v>
      </c>
      <c r="AN41" s="214"/>
      <c r="AO41" s="214"/>
      <c r="AP41" s="215">
        <f>+$AL41+$AI41+$AF41+$AC41+$Z41+$W41+$T41+$Q41+$N41+$K41+$H41+$E41</f>
        <v>116516.70127016398</v>
      </c>
      <c r="AQ41" s="212">
        <f>AP$41/AP$14</f>
        <v>0.2061112080700235</v>
      </c>
      <c r="AR41" s="214"/>
      <c r="AS41" s="216">
        <f>+AS36-(AS38+AS39)</f>
        <v>12831.96538000002</v>
      </c>
      <c r="AT41" s="217">
        <f>AS$41/AS$14</f>
        <v>2.600000000000004E-2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604" t="s">
        <v>189</v>
      </c>
      <c r="E43" s="219">
        <f>+$F$47*E41</f>
        <v>844.47738628721368</v>
      </c>
      <c r="F43" s="192">
        <f>E$43/E$14</f>
        <v>2.2046053501610454E-2</v>
      </c>
      <c r="H43" s="219">
        <f>+$F$47*H41</f>
        <v>-864.60758430845851</v>
      </c>
      <c r="I43" s="192">
        <f>H$43/H$14</f>
        <v>-2.7766620624080588E-2</v>
      </c>
      <c r="K43" s="219">
        <f>+$F$47*K41</f>
        <v>849.21354628721338</v>
      </c>
      <c r="L43" s="192">
        <f>K$43/K$14</f>
        <v>2.2169696406024082E-2</v>
      </c>
      <c r="N43" s="219">
        <f>+$F$47*N41</f>
        <v>1126.0518395960664</v>
      </c>
      <c r="O43" s="192">
        <f>N$43/N$14</f>
        <v>2.7615249478462847E-2</v>
      </c>
      <c r="P43" s="193"/>
      <c r="Q43" s="219">
        <f>+$F$47*Q41</f>
        <v>1704.8922555446566</v>
      </c>
      <c r="R43" s="192">
        <f>Q$43/Q$14</f>
        <v>3.7090144439774118E-2</v>
      </c>
      <c r="T43" s="219">
        <f>+$F$47*T41</f>
        <v>2784.5615994491804</v>
      </c>
      <c r="U43" s="192">
        <f>T$43/T$14</f>
        <v>5.0078215234432261E-2</v>
      </c>
      <c r="W43" s="219">
        <f>+$F$47*W41</f>
        <v>5137.687092574427</v>
      </c>
      <c r="X43" s="192">
        <f>W$43/W$14</f>
        <v>6.7062615504369871E-2</v>
      </c>
      <c r="Z43" s="219">
        <f>+$F$47*Z41</f>
        <v>4279.4883833169843</v>
      </c>
      <c r="AA43" s="192">
        <f>Z$43/Z$14</f>
        <v>6.2067203660270576E-2</v>
      </c>
      <c r="AC43" s="219">
        <f>+$F$47*AC41</f>
        <v>1538.789279559345</v>
      </c>
      <c r="AD43" s="192">
        <f>AC$43/AC$14</f>
        <v>3.4592438517724478E-2</v>
      </c>
      <c r="AF43" s="219">
        <f>+$F$47*AF41</f>
        <v>1275.7929009159343</v>
      </c>
      <c r="AG43" s="192">
        <f>AF$43/AF$14</f>
        <v>3.0278219197820522E-2</v>
      </c>
      <c r="AI43" s="219">
        <f>+$F$47*AI41</f>
        <v>591.7672738622947</v>
      </c>
      <c r="AJ43" s="192">
        <f>AI$43/AI$14</f>
        <v>1.5963724190029397E-2</v>
      </c>
      <c r="AL43" s="219">
        <f>+$F$47*AL41</f>
        <v>1704.8922555446566</v>
      </c>
      <c r="AM43" s="192">
        <f>AL$43/AL$14</f>
        <v>3.7090144439774118E-2</v>
      </c>
      <c r="AP43" s="220">
        <f>+$AL43+$AI43+$AF43+$AC43+$Z43+$W43+$T43+$Q43+$N43+$K43+$H43+$E43</f>
        <v>20973.006228629514</v>
      </c>
      <c r="AQ43" s="195">
        <f>AP$43/AP$14</f>
        <v>3.7100017452604224E-2</v>
      </c>
      <c r="AS43" s="270">
        <f>+$F$47*AS41</f>
        <v>2309.7537684000035</v>
      </c>
      <c r="AT43" s="222">
        <f>AS$43/AS$14</f>
        <v>4.6800000000000071E-3</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3847.0636486417516</v>
      </c>
      <c r="F45" s="277">
        <f>E$45/E$14</f>
        <v>0.10043202150733652</v>
      </c>
      <c r="G45" s="213"/>
      <c r="H45" s="276">
        <f>H41-H43</f>
        <v>-3938.7678840718668</v>
      </c>
      <c r="I45" s="277">
        <f>H$45/H$14</f>
        <v>-0.1264923828430338</v>
      </c>
      <c r="J45" s="211"/>
      <c r="K45" s="276">
        <f>K41-K43</f>
        <v>3868.6394886417497</v>
      </c>
      <c r="L45" s="277">
        <f>K$45/K$14</f>
        <v>0.10099528362744303</v>
      </c>
      <c r="M45" s="211"/>
      <c r="N45" s="276">
        <f>N41-N43</f>
        <v>5129.7917137154136</v>
      </c>
      <c r="O45" s="277">
        <f>N$45/N$14</f>
        <v>0.12580280317966408</v>
      </c>
      <c r="P45" s="272"/>
      <c r="Q45" s="276">
        <f>Q41-Q43</f>
        <v>7766.731386370102</v>
      </c>
      <c r="R45" s="277">
        <f>Q$45/Q$14</f>
        <v>0.16896621355897098</v>
      </c>
      <c r="S45" s="214"/>
      <c r="T45" s="276">
        <f>T41-T43</f>
        <v>12685.225064157379</v>
      </c>
      <c r="U45" s="277">
        <f>T$45/T$14</f>
        <v>0.22813409162352477</v>
      </c>
      <c r="V45" s="214"/>
      <c r="W45" s="276">
        <f>W41-W43</f>
        <v>23405.0189772835</v>
      </c>
      <c r="X45" s="277">
        <f>W$45/W$14</f>
        <v>0.3055074706310183</v>
      </c>
      <c r="Y45" s="214"/>
      <c r="Z45" s="276">
        <f>Z41-Z43</f>
        <v>19495.447079555153</v>
      </c>
      <c r="AA45" s="277">
        <f>Z$45/Z$14</f>
        <v>0.28275059445234374</v>
      </c>
      <c r="AB45" s="214"/>
      <c r="AC45" s="276">
        <f>AC41-AC43</f>
        <v>7010.0400513259046</v>
      </c>
      <c r="AD45" s="277">
        <f>AC$45/AC$14</f>
        <v>0.15758777546963371</v>
      </c>
      <c r="AE45" s="214"/>
      <c r="AF45" s="276">
        <f>AF41-AF43</f>
        <v>5811.9454375059231</v>
      </c>
      <c r="AG45" s="277">
        <f>AF$45/AF$14</f>
        <v>0.13793410967896017</v>
      </c>
      <c r="AH45" s="214"/>
      <c r="AI45" s="276">
        <f>AI41-AI43</f>
        <v>2695.8286920393425</v>
      </c>
      <c r="AJ45" s="277">
        <f>AI$45/AI$14</f>
        <v>7.2723632421245021E-2</v>
      </c>
      <c r="AK45" s="214"/>
      <c r="AL45" s="276">
        <f>AL41-AL43</f>
        <v>7766.731386370102</v>
      </c>
      <c r="AM45" s="277">
        <f>AL$45/AL$14</f>
        <v>0.16896621355897098</v>
      </c>
      <c r="AN45" s="214"/>
      <c r="AO45" s="214"/>
      <c r="AP45" s="278">
        <f>+$AL45+$AI45+$AF45+$AC45+$Z45+$W45+$T45+$Q45+$N45+$K45+$H45+$E45</f>
        <v>95543.695041534447</v>
      </c>
      <c r="AQ45" s="277">
        <f>AP$45/AP$14</f>
        <v>0.16901119061741926</v>
      </c>
      <c r="AR45" s="214"/>
      <c r="AS45" s="279">
        <f>+AS41-AS43</f>
        <v>10522.211611600016</v>
      </c>
      <c r="AT45" s="280">
        <f>AS$45/AS$14</f>
        <v>2.1320000000000033E-2</v>
      </c>
      <c r="AU45" s="211"/>
      <c r="AV45" s="211"/>
      <c r="AW45" s="211"/>
      <c r="AX45" s="211"/>
      <c r="AY45" s="211"/>
      <c r="AZ45" s="211"/>
    </row>
    <row r="46" spans="3:52" ht="15" thickTop="1" thickBot="1" x14ac:dyDescent="0.2">
      <c r="P46" s="193"/>
    </row>
    <row r="47" spans="3:52" ht="15" thickTop="1" thickBot="1" x14ac:dyDescent="0.2">
      <c r="E47" s="281" t="s">
        <v>163</v>
      </c>
      <c r="F47" s="282">
        <v>0.18</v>
      </c>
      <c r="AP47" s="203" t="s">
        <v>2</v>
      </c>
    </row>
    <row r="48" spans="3:52" ht="14" thickTop="1" x14ac:dyDescent="0.15"/>
  </sheetData>
  <sheetProtection algorithmName="SHA-512" hashValue="QOpKztDB7sEZjBKr7nms1yil8Yl4XH0oIuHXCurvoi8+TbGiIqsF4qYnRNBbodC68snWPguAJdcZ0gWuizAomQ==" saltValue="fa/7PUZLl6KFm7qEMAzdVA==" spinCount="100000" sheet="1" objects="1" scenarios="1"/>
  <mergeCells count="3">
    <mergeCell ref="AY6:AZ9"/>
    <mergeCell ref="BB2:BB8"/>
    <mergeCell ref="BL2:BL8"/>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AO10" activePane="bottomRight" state="frozen"/>
      <selection pane="topRight" activeCell="C1" sqref="C1"/>
      <selection pane="bottomLeft" activeCell="A10" sqref="A10"/>
      <selection pane="bottomRight" activeCell="AS2" sqref="AS2:BC8"/>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7.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77" t="str">
        <f>'État des Résultats'!C2</f>
        <v xml:space="preserve">Entreprise de restauration alimentaire 12 inc. </v>
      </c>
      <c r="G2" s="313" t="s">
        <v>2</v>
      </c>
      <c r="AS2" s="898" t="s">
        <v>42</v>
      </c>
      <c r="AT2" s="369"/>
      <c r="AU2" s="369"/>
      <c r="AV2" s="369"/>
      <c r="AW2" s="369"/>
      <c r="AX2" s="369"/>
      <c r="AY2" s="369"/>
      <c r="AZ2" s="369"/>
      <c r="BA2" s="369"/>
      <c r="BB2" s="369"/>
      <c r="BC2" s="901" t="s">
        <v>43</v>
      </c>
    </row>
    <row r="3" spans="2:55" ht="20" customHeight="1" x14ac:dyDescent="0.2">
      <c r="B3" s="678" t="str">
        <f>'État des Résultats'!C3</f>
        <v xml:space="preserve">États des résultats prévisionnels </v>
      </c>
      <c r="AS3" s="899"/>
      <c r="AT3" s="370"/>
      <c r="AU3" s="370"/>
      <c r="AV3" s="370"/>
      <c r="AW3" s="370"/>
      <c r="AX3" s="370"/>
      <c r="AY3" s="370"/>
      <c r="AZ3" s="370"/>
      <c r="BA3" s="370"/>
      <c r="BB3" s="370"/>
      <c r="BC3" s="902"/>
    </row>
    <row r="4" spans="2:55" ht="20" customHeight="1" thickBot="1" x14ac:dyDescent="0.3">
      <c r="B4" s="679" t="str">
        <f>'État des Résultats'!C4</f>
        <v>Pour la période du 1er janvier 2021 au 31 décembre 2021</v>
      </c>
      <c r="D4" s="314" t="s">
        <v>2</v>
      </c>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5" ht="21" thickTop="1" thickBot="1" x14ac:dyDescent="0.3">
      <c r="B5" s="252"/>
      <c r="AS5" s="899"/>
      <c r="AT5" s="372" t="s">
        <v>2</v>
      </c>
      <c r="AU5" s="373"/>
      <c r="AV5" s="372"/>
      <c r="AW5" s="373"/>
      <c r="AX5" s="373"/>
      <c r="AY5" s="373"/>
      <c r="AZ5" s="373"/>
      <c r="BA5" s="373"/>
      <c r="BB5" s="373"/>
      <c r="BC5" s="902"/>
    </row>
    <row r="6" spans="2:55" ht="27" thickTop="1" x14ac:dyDescent="0.3">
      <c r="B6" s="167" t="str">
        <f>'État des Résultats'!C6</f>
        <v>Nb de places</v>
      </c>
      <c r="D6" s="608" t="s">
        <v>173</v>
      </c>
      <c r="E6" s="605">
        <f>D14/$B$7/'Calendrier 2021'!D8</f>
        <v>7.4717583999999997</v>
      </c>
      <c r="F6" s="170"/>
      <c r="G6" s="608" t="str">
        <f>+D6</f>
        <v>Coût / place / jour</v>
      </c>
      <c r="H6" s="605">
        <f>G14/$B$7/'Calendrier 2021'!E8</f>
        <v>6.7245825599999991</v>
      </c>
      <c r="I6" s="170"/>
      <c r="J6" s="608" t="str">
        <f>+G6</f>
        <v>Coût / place / jour</v>
      </c>
      <c r="K6" s="605">
        <f>J14/$B$7/'Calendrier 2021'!F8</f>
        <v>7.4717583999999997</v>
      </c>
      <c r="L6" s="170"/>
      <c r="M6" s="608" t="str">
        <f>+J6</f>
        <v>Coût / place / jour</v>
      </c>
      <c r="N6" s="605">
        <f>M14/$B$7/'Calendrier 2021'!G8</f>
        <v>8.2189342399999994</v>
      </c>
      <c r="O6" s="171"/>
      <c r="P6" s="617" t="str">
        <f>+M6</f>
        <v>Coût / place / jour</v>
      </c>
      <c r="Q6" s="605">
        <f>P14/$B$7/'Calendrier 2021'!H8</f>
        <v>8.9661100800000018</v>
      </c>
      <c r="R6" s="170"/>
      <c r="S6" s="617" t="str">
        <f>+P6</f>
        <v>Coût / place / jour</v>
      </c>
      <c r="T6" s="605">
        <f>S14/$B$7/'Calendrier 2021'!I8</f>
        <v>11.207637600000002</v>
      </c>
      <c r="U6" s="170"/>
      <c r="V6" s="617" t="str">
        <f>+S6</f>
        <v>Coût / place / jour</v>
      </c>
      <c r="W6" s="605">
        <f>V14/$B$7/'Calendrier 2021'!J8</f>
        <v>14.943516799999999</v>
      </c>
      <c r="X6" s="170"/>
      <c r="Y6" s="608" t="str">
        <f>+V6</f>
        <v>Coût / place / jour</v>
      </c>
      <c r="Z6" s="605">
        <f>Y14/$B$7/'Calendrier 2021'!K8</f>
        <v>13.44916512</v>
      </c>
      <c r="AA6" s="170"/>
      <c r="AB6" s="608" t="str">
        <f>+Y6</f>
        <v>Coût / place / jour</v>
      </c>
      <c r="AC6" s="605">
        <f>AB14/$B$7/'Calendrier 2021'!L8</f>
        <v>8.96611008</v>
      </c>
      <c r="AD6" s="562"/>
      <c r="AE6" s="608" t="str">
        <f>+AB6</f>
        <v>Coût / place / jour</v>
      </c>
      <c r="AF6" s="605">
        <f>AE14/$B$7/'Calendrier 2021'!M8</f>
        <v>8.2189342400000012</v>
      </c>
      <c r="AG6" s="170"/>
      <c r="AH6" s="608" t="str">
        <f>+AE6</f>
        <v>Coût / place / jour</v>
      </c>
      <c r="AI6" s="605">
        <f>AH14/$B$7/'Calendrier 2021'!N8</f>
        <v>7.4717583999999997</v>
      </c>
      <c r="AJ6" s="170"/>
      <c r="AK6" s="608" t="str">
        <f>+AH6</f>
        <v>Coût / place / jour</v>
      </c>
      <c r="AL6" s="605">
        <f>AK14/$B$7/'Calendrier 2021'!O8</f>
        <v>8.9661100800000018</v>
      </c>
      <c r="AM6" s="170"/>
      <c r="AN6" s="170"/>
      <c r="AO6" s="606" t="str">
        <f>+D6</f>
        <v>Coût / place / jour</v>
      </c>
      <c r="AP6" s="618">
        <f>+AO14/$B$7/'% Occupation'!P8</f>
        <v>9.3652862136986315</v>
      </c>
      <c r="AQ6" s="170"/>
      <c r="AR6" s="170"/>
      <c r="AS6" s="899"/>
      <c r="AT6" s="374" t="str">
        <f>'Formule pour le calcul D'!BA105</f>
        <v xml:space="preserve">C </v>
      </c>
      <c r="AU6" s="375"/>
      <c r="AV6" s="374" t="str">
        <f>'Formule pour le calcul D'!BC105</f>
        <v>A</v>
      </c>
      <c r="AW6" s="375"/>
      <c r="AX6" s="375"/>
      <c r="AY6" s="374" t="str">
        <f>AY4</f>
        <v>Um/A</v>
      </c>
      <c r="AZ6" s="375"/>
      <c r="BA6" s="374" t="str">
        <f>BA4</f>
        <v>CmO</v>
      </c>
      <c r="BB6" s="375"/>
      <c r="BC6" s="902"/>
    </row>
    <row r="7" spans="2:55" ht="21" x14ac:dyDescent="0.25">
      <c r="B7" s="613">
        <f>'État des Résultats'!C7</f>
        <v>50</v>
      </c>
      <c r="D7" s="609">
        <f>+D14/$AO$14</f>
        <v>6.7759562841530049E-2</v>
      </c>
      <c r="E7" s="178"/>
      <c r="F7" s="170"/>
      <c r="G7" s="609">
        <f>+G14/$AO$14</f>
        <v>5.5081967213114737E-2</v>
      </c>
      <c r="H7" s="614"/>
      <c r="I7" s="170"/>
      <c r="J7" s="609">
        <f>+J14/$AO$14</f>
        <v>6.7759562841530049E-2</v>
      </c>
      <c r="K7" s="614"/>
      <c r="L7" s="170"/>
      <c r="M7" s="609">
        <f>+M14/$AO$14</f>
        <v>7.2131147540983598E-2</v>
      </c>
      <c r="N7" s="614"/>
      <c r="O7" s="171"/>
      <c r="P7" s="609">
        <f>+P14/$AO$14</f>
        <v>8.1311475409836062E-2</v>
      </c>
      <c r="Q7" s="614"/>
      <c r="R7" s="170"/>
      <c r="S7" s="609">
        <f>+S14/$AO$14</f>
        <v>9.836065573770493E-2</v>
      </c>
      <c r="T7" s="614"/>
      <c r="U7" s="170"/>
      <c r="V7" s="609">
        <f>+V14/$AO$14</f>
        <v>0.1355191256830601</v>
      </c>
      <c r="W7" s="614"/>
      <c r="X7" s="170"/>
      <c r="Y7" s="609">
        <f>+Y14/$AO$14</f>
        <v>0.1219672131147541</v>
      </c>
      <c r="Z7" s="614"/>
      <c r="AA7" s="170"/>
      <c r="AB7" s="609">
        <f>+AB14/$AO$14</f>
        <v>7.8688524590163927E-2</v>
      </c>
      <c r="AC7" s="614"/>
      <c r="AD7" s="437"/>
      <c r="AE7" s="609">
        <f>+AE14/$AO$14</f>
        <v>7.4535519125683056E-2</v>
      </c>
      <c r="AF7" s="614"/>
      <c r="AG7" s="170"/>
      <c r="AH7" s="609">
        <f>+AH14/$AO$14</f>
        <v>6.5573770491803268E-2</v>
      </c>
      <c r="AI7" s="614"/>
      <c r="AJ7" s="170"/>
      <c r="AK7" s="609">
        <f>+AK14/$AO$14</f>
        <v>8.1311475409836062E-2</v>
      </c>
      <c r="AL7" s="614"/>
      <c r="AM7" s="170"/>
      <c r="AN7" s="170"/>
      <c r="AO7" s="609">
        <f>+AO14/$AO$14</f>
        <v>1</v>
      </c>
      <c r="AP7" s="619" t="s">
        <v>137</v>
      </c>
      <c r="AQ7" s="170"/>
      <c r="AR7" s="170"/>
      <c r="AS7" s="899"/>
      <c r="AT7" s="684">
        <f>AO22</f>
        <v>394393.40159999998</v>
      </c>
      <c r="AU7" s="371" t="s">
        <v>44</v>
      </c>
      <c r="AV7" s="685">
        <f>'Formule pour le calcul D'!G106</f>
        <v>22875</v>
      </c>
      <c r="AW7" s="371" t="s">
        <v>45</v>
      </c>
      <c r="AX7" s="371" t="s">
        <v>46</v>
      </c>
      <c r="AY7" s="686">
        <f>'Formule pour le calcul D'!J106</f>
        <v>2.2200000000000002</v>
      </c>
      <c r="AZ7" s="371" t="s">
        <v>45</v>
      </c>
      <c r="BA7" s="687">
        <f>AT7/AV7/AY7</f>
        <v>7.7663250450450434</v>
      </c>
      <c r="BB7" s="371" t="s">
        <v>49</v>
      </c>
      <c r="BC7" s="902"/>
    </row>
    <row r="8" spans="2:55" ht="17" thickBot="1" x14ac:dyDescent="0.25">
      <c r="B8" s="315" t="s">
        <v>195</v>
      </c>
      <c r="D8" s="610" t="str">
        <f>'État des Résultats'!E8</f>
        <v>Pér.01</v>
      </c>
      <c r="E8" s="182"/>
      <c r="F8" s="183"/>
      <c r="G8" s="610" t="str">
        <f>'État des Résultats'!H8</f>
        <v>Pér.02</v>
      </c>
      <c r="H8" s="615"/>
      <c r="I8" s="183"/>
      <c r="J8" s="610" t="str">
        <f>'État des Résultats'!K8</f>
        <v>Pér.03</v>
      </c>
      <c r="K8" s="615"/>
      <c r="L8" s="183"/>
      <c r="M8" s="610" t="str">
        <f>'État des Résultats'!N8</f>
        <v>Pér.04</v>
      </c>
      <c r="N8" s="615"/>
      <c r="O8" s="185"/>
      <c r="P8" s="610" t="str">
        <f>'État des Résultats'!Q8</f>
        <v>Pér.05</v>
      </c>
      <c r="Q8" s="615"/>
      <c r="R8" s="183"/>
      <c r="S8" s="610" t="str">
        <f>'État des Résultats'!T8</f>
        <v>Pér.06</v>
      </c>
      <c r="T8" s="615"/>
      <c r="U8" s="183"/>
      <c r="V8" s="610" t="str">
        <f>'État des Résultats'!W8</f>
        <v>Pér.07</v>
      </c>
      <c r="W8" s="615"/>
      <c r="X8" s="183"/>
      <c r="Y8" s="610" t="str">
        <f>'État des Résultats'!Z8</f>
        <v>Pér.08</v>
      </c>
      <c r="Z8" s="615"/>
      <c r="AA8" s="183"/>
      <c r="AB8" s="610" t="str">
        <f>'État des Résultats'!AC8</f>
        <v>Pér.09</v>
      </c>
      <c r="AC8" s="615"/>
      <c r="AD8" s="563"/>
      <c r="AE8" s="610" t="str">
        <f>'État des Résultats'!AF8</f>
        <v>Pér.10</v>
      </c>
      <c r="AF8" s="615"/>
      <c r="AG8" s="183"/>
      <c r="AH8" s="610" t="str">
        <f>'État des Résultats'!AI8</f>
        <v>Pér.11</v>
      </c>
      <c r="AI8" s="615"/>
      <c r="AJ8" s="183"/>
      <c r="AK8" s="610" t="str">
        <f>'État des Résultats'!AL8</f>
        <v>Pér.12</v>
      </c>
      <c r="AL8" s="615"/>
      <c r="AM8" s="183"/>
      <c r="AN8" s="316"/>
      <c r="AO8" s="610" t="str">
        <f>'État des Résultats'!AP8</f>
        <v>Total</v>
      </c>
      <c r="AP8" s="620"/>
      <c r="AS8" s="900"/>
      <c r="AT8" s="376"/>
      <c r="AU8" s="376"/>
      <c r="AV8" s="376"/>
      <c r="AW8" s="376"/>
      <c r="AX8" s="376"/>
      <c r="AY8" s="376"/>
      <c r="AZ8" s="376"/>
      <c r="BA8" s="376"/>
      <c r="BB8" s="376"/>
      <c r="BC8" s="903"/>
    </row>
    <row r="9" spans="2:55" ht="15" thickTop="1" thickBot="1" x14ac:dyDescent="0.2">
      <c r="B9" s="607">
        <f>+AO14/B7</f>
        <v>3418.3294680000004</v>
      </c>
      <c r="D9" s="611" t="str">
        <f>'État des Résultats'!E9</f>
        <v>Janvier 2021</v>
      </c>
      <c r="E9" s="612" t="str">
        <f>'État des Résultats'!F8</f>
        <v>(%)</v>
      </c>
      <c r="F9" s="293"/>
      <c r="G9" s="611" t="str">
        <f>'État des Résultats'!H9</f>
        <v>Février 2021</v>
      </c>
      <c r="H9" s="616" t="str">
        <f>'État des Résultats'!I8</f>
        <v>(%)</v>
      </c>
      <c r="I9" s="294"/>
      <c r="J9" s="611" t="str">
        <f>'État des Résultats'!K9</f>
        <v>Mars 2021</v>
      </c>
      <c r="K9" s="616" t="str">
        <f>'État des Résultats'!L8</f>
        <v>(%)</v>
      </c>
      <c r="L9" s="293"/>
      <c r="M9" s="611" t="str">
        <f>'État des Résultats'!N9</f>
        <v>Avril 2021</v>
      </c>
      <c r="N9" s="616" t="str">
        <f>'État des Résultats'!O8</f>
        <v>(%)</v>
      </c>
      <c r="O9" s="295"/>
      <c r="P9" s="611" t="str">
        <f>'État des Résultats'!Q9</f>
        <v>Mai 2021</v>
      </c>
      <c r="Q9" s="616" t="str">
        <f>'État des Résultats'!R8</f>
        <v>(%)</v>
      </c>
      <c r="R9" s="293"/>
      <c r="S9" s="611" t="str">
        <f>'État des Résultats'!T9</f>
        <v>Juin 2021</v>
      </c>
      <c r="T9" s="616" t="str">
        <f>'État des Résultats'!U8</f>
        <v>(%)</v>
      </c>
      <c r="U9" s="293"/>
      <c r="V9" s="611" t="str">
        <f>'État des Résultats'!W9</f>
        <v>Juillet 2021</v>
      </c>
      <c r="W9" s="616" t="str">
        <f>'État des Résultats'!X8</f>
        <v>(%)</v>
      </c>
      <c r="X9" s="293"/>
      <c r="Y9" s="611" t="str">
        <f>'État des Résultats'!Z9</f>
        <v>Août 2021</v>
      </c>
      <c r="Z9" s="616" t="str">
        <f>'État des Résultats'!AA8</f>
        <v>(%)</v>
      </c>
      <c r="AA9" s="293"/>
      <c r="AB9" s="611" t="str">
        <f>'État des Résultats'!AC9</f>
        <v>Septembre 2021</v>
      </c>
      <c r="AC9" s="616" t="str">
        <f>'État des Résultats'!AD8</f>
        <v>(%)</v>
      </c>
      <c r="AD9" s="564"/>
      <c r="AE9" s="611" t="str">
        <f>'État des Résultats'!AF9</f>
        <v>Octobre 2021</v>
      </c>
      <c r="AF9" s="616" t="str">
        <f>'État des Résultats'!AG8</f>
        <v>(%)</v>
      </c>
      <c r="AG9" s="293"/>
      <c r="AH9" s="611" t="str">
        <f>'État des Résultats'!AI9</f>
        <v>Novembre 2021</v>
      </c>
      <c r="AI9" s="616" t="str">
        <f>'État des Résultats'!AJ8</f>
        <v>(%)</v>
      </c>
      <c r="AJ9" s="293"/>
      <c r="AK9" s="611" t="str">
        <f>'État des Résultats'!AL9</f>
        <v>Décembre 2021</v>
      </c>
      <c r="AL9" s="616" t="str">
        <f>'État des Résultats'!AM8</f>
        <v>(%)</v>
      </c>
      <c r="AM9" s="293"/>
      <c r="AN9" s="293"/>
      <c r="AO9" s="611" t="str">
        <f>'État des Résultats'!AP9</f>
        <v>Année</v>
      </c>
      <c r="AP9" s="616" t="str">
        <f>'État des Résultats'!AQ8</f>
        <v>(%)</v>
      </c>
      <c r="AQ9" s="331"/>
      <c r="AR9" s="331"/>
      <c r="AS9" s="331"/>
      <c r="AT9" s="331"/>
      <c r="AU9" s="331"/>
      <c r="AV9" s="331"/>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6408.8160000000007</v>
      </c>
      <c r="E11" s="318">
        <v>0.2336</v>
      </c>
      <c r="F11" s="314"/>
      <c r="G11" s="317">
        <f>H11*'État des Résultats'!H11</f>
        <v>5209.7472000000007</v>
      </c>
      <c r="H11" s="192">
        <f>+E11</f>
        <v>0.2336</v>
      </c>
      <c r="J11" s="317">
        <f>K11*'État des Résultats'!K11</f>
        <v>6408.8160000000007</v>
      </c>
      <c r="K11" s="192">
        <f t="shared" ref="K11:K13" si="0">H11</f>
        <v>0.2336</v>
      </c>
      <c r="M11" s="317">
        <f>N11*'État des Résultats'!N11</f>
        <v>6822.2880000000014</v>
      </c>
      <c r="N11" s="192">
        <f t="shared" ref="N11:N13" si="1">K11</f>
        <v>0.2336</v>
      </c>
      <c r="O11" s="193"/>
      <c r="P11" s="317">
        <f>Q11*'État des Résultats'!Q11</f>
        <v>7690.5792000000019</v>
      </c>
      <c r="Q11" s="192">
        <f t="shared" ref="Q11:Q13" si="2">N11</f>
        <v>0.2336</v>
      </c>
      <c r="S11" s="317">
        <f>T11*'État des Résultats'!T11</f>
        <v>9303.1200000000026</v>
      </c>
      <c r="T11" s="192">
        <f t="shared" ref="T11:T13" si="3">Q11</f>
        <v>0.2336</v>
      </c>
      <c r="V11" s="317">
        <f>W11*'État des Résultats'!W11</f>
        <v>12817.632000000001</v>
      </c>
      <c r="W11" s="192">
        <f t="shared" ref="W11:W13" si="4">T11</f>
        <v>0.2336</v>
      </c>
      <c r="Y11" s="317">
        <f>Z11*'État des Résultats'!Z11</f>
        <v>11535.868800000002</v>
      </c>
      <c r="Z11" s="192">
        <f t="shared" ref="Z11:Z13" si="5">W11</f>
        <v>0.2336</v>
      </c>
      <c r="AB11" s="317">
        <f>AC11*'État des Résultats'!AC11</f>
        <v>7442.496000000001</v>
      </c>
      <c r="AC11" s="192">
        <f t="shared" ref="AC11:AC13" si="6">Z11</f>
        <v>0.2336</v>
      </c>
      <c r="AE11" s="317">
        <f>AF11*'État des Résultats'!AF11</f>
        <v>7049.6976000000013</v>
      </c>
      <c r="AF11" s="192">
        <f t="shared" ref="AF11:AF13" si="7">AC11</f>
        <v>0.2336</v>
      </c>
      <c r="AH11" s="317">
        <f>AI11*'État des Résultats'!AI11</f>
        <v>6202.0800000000008</v>
      </c>
      <c r="AI11" s="192">
        <f t="shared" ref="AI11:AI13" si="8">AF11</f>
        <v>0.2336</v>
      </c>
      <c r="AK11" s="317">
        <f>AL11*'État des Résultats'!AL11</f>
        <v>7690.5792000000019</v>
      </c>
      <c r="AL11" s="192">
        <f t="shared" ref="AL11:AL13" si="9">AI11</f>
        <v>0.2336</v>
      </c>
      <c r="AO11" s="319">
        <f t="shared" ref="AO11:AO13" si="10">+$AK11+$AH11+$AE11+$AB11+$Y11+$V11+$S11+$P11+$M11+$J11+$G11+$D11</f>
        <v>94581.720000000016</v>
      </c>
      <c r="AP11" s="195">
        <f>+AO11/'État des Résultats'!AP11</f>
        <v>0.2336</v>
      </c>
    </row>
    <row r="12" spans="2:55" x14ac:dyDescent="0.15">
      <c r="B12" s="201" t="str">
        <f>'État des Résultats'!C12</f>
        <v xml:space="preserve"> Boisson</v>
      </c>
      <c r="D12" s="317">
        <f>+E12*'État des Résultats'!E12</f>
        <v>4712.0595199999989</v>
      </c>
      <c r="E12" s="318">
        <v>0.47360000000000002</v>
      </c>
      <c r="G12" s="317">
        <f>+H12*'État des Résultats'!H12</f>
        <v>3830.4483839999989</v>
      </c>
      <c r="H12" s="192">
        <f t="shared" ref="H12:H13" si="11">E12</f>
        <v>0.47360000000000002</v>
      </c>
      <c r="J12" s="317">
        <f>+K12*'État des Résultats'!K12</f>
        <v>4712.0595199999989</v>
      </c>
      <c r="K12" s="192">
        <f t="shared" si="0"/>
        <v>0.47360000000000002</v>
      </c>
      <c r="M12" s="317">
        <f>+N12*'État des Résultats'!N12</f>
        <v>5016.0633599999992</v>
      </c>
      <c r="N12" s="192">
        <f t="shared" si="1"/>
        <v>0.47360000000000002</v>
      </c>
      <c r="O12" s="193"/>
      <c r="P12" s="317">
        <f>+Q12*'État des Résultats'!Q12</f>
        <v>5654.4714239999994</v>
      </c>
      <c r="Q12" s="192">
        <f t="shared" si="2"/>
        <v>0.47360000000000002</v>
      </c>
      <c r="S12" s="317">
        <f>+T12*'État des Résultats'!T12</f>
        <v>6840.0863999999992</v>
      </c>
      <c r="T12" s="192">
        <f t="shared" si="3"/>
        <v>0.47360000000000002</v>
      </c>
      <c r="V12" s="317">
        <f>+W12*'État des Résultats'!W12</f>
        <v>9424.1190399999978</v>
      </c>
      <c r="W12" s="192">
        <f t="shared" si="4"/>
        <v>0.47360000000000002</v>
      </c>
      <c r="Y12" s="317">
        <f>+Z12*'État des Résultats'!Z12</f>
        <v>8481.7071359999973</v>
      </c>
      <c r="Z12" s="192">
        <f t="shared" si="5"/>
        <v>0.47360000000000002</v>
      </c>
      <c r="AB12" s="317">
        <f>+AC12*'État des Résultats'!AC12</f>
        <v>5472.0691199999992</v>
      </c>
      <c r="AC12" s="192">
        <f t="shared" si="6"/>
        <v>0.47360000000000002</v>
      </c>
      <c r="AE12" s="317">
        <f>+AF12*'État des Résultats'!AF12</f>
        <v>5183.2654719999991</v>
      </c>
      <c r="AF12" s="192">
        <f t="shared" si="7"/>
        <v>0.47360000000000002</v>
      </c>
      <c r="AH12" s="317">
        <f>+AI12*'État des Résultats'!AI12</f>
        <v>4560.0575999999992</v>
      </c>
      <c r="AI12" s="192">
        <f t="shared" si="8"/>
        <v>0.47360000000000002</v>
      </c>
      <c r="AK12" s="317">
        <f>+AL12*'État des Résultats'!AL12</f>
        <v>5654.4714239999994</v>
      </c>
      <c r="AL12" s="192">
        <f t="shared" si="9"/>
        <v>0.47360000000000002</v>
      </c>
      <c r="AO12" s="319">
        <f t="shared" si="10"/>
        <v>69540.878399999987</v>
      </c>
      <c r="AP12" s="195">
        <f>+AO12/'État des Résultats'!AP12</f>
        <v>0.47360000000000002</v>
      </c>
    </row>
    <row r="13" spans="2:55" ht="14" thickBot="1" x14ac:dyDescent="0.2">
      <c r="B13" s="201" t="str">
        <f>'État des Résultats'!C13</f>
        <v xml:space="preserve"> Autres revenus</v>
      </c>
      <c r="D13" s="317">
        <f>+E13*'État des Résultats'!E13</f>
        <v>460.34999999999997</v>
      </c>
      <c r="E13" s="318">
        <v>0.5</v>
      </c>
      <c r="G13" s="317">
        <f>+H13*'État des Résultats'!H13</f>
        <v>374.21999999999997</v>
      </c>
      <c r="H13" s="192">
        <f t="shared" si="11"/>
        <v>0.5</v>
      </c>
      <c r="J13" s="317">
        <f>+K13*'État des Résultats'!K13</f>
        <v>460.34999999999997</v>
      </c>
      <c r="K13" s="192">
        <f t="shared" si="0"/>
        <v>0.5</v>
      </c>
      <c r="M13" s="317">
        <f>+N13*'État des Résultats'!N13</f>
        <v>490.05</v>
      </c>
      <c r="N13" s="192">
        <f t="shared" si="1"/>
        <v>0.5</v>
      </c>
      <c r="O13" s="193"/>
      <c r="P13" s="317">
        <f>+Q13*'État des Résultats'!Q13</f>
        <v>552.42000000000007</v>
      </c>
      <c r="Q13" s="192">
        <f t="shared" si="2"/>
        <v>0.5</v>
      </c>
      <c r="S13" s="317">
        <f>+T13*'État des Résultats'!T13</f>
        <v>668.25</v>
      </c>
      <c r="T13" s="192">
        <f t="shared" si="3"/>
        <v>0.5</v>
      </c>
      <c r="V13" s="317">
        <f>+W13*'État des Résultats'!W13</f>
        <v>920.69999999999993</v>
      </c>
      <c r="W13" s="192">
        <f t="shared" si="4"/>
        <v>0.5</v>
      </c>
      <c r="Y13" s="317">
        <f>+Z13*'État des Résultats'!Z13</f>
        <v>828.63</v>
      </c>
      <c r="Z13" s="192">
        <f t="shared" si="5"/>
        <v>0.5</v>
      </c>
      <c r="AB13" s="317">
        <f>+AC13*'État des Résultats'!AC13</f>
        <v>534.6</v>
      </c>
      <c r="AC13" s="192">
        <f t="shared" si="6"/>
        <v>0.5</v>
      </c>
      <c r="AE13" s="317">
        <f>+AF13*'État des Résultats'!AF13</f>
        <v>506.38499999999999</v>
      </c>
      <c r="AF13" s="192">
        <f t="shared" si="7"/>
        <v>0.5</v>
      </c>
      <c r="AH13" s="317">
        <f>+AI13*'État des Résultats'!AI13</f>
        <v>445.49999999999994</v>
      </c>
      <c r="AI13" s="192">
        <f t="shared" si="8"/>
        <v>0.5</v>
      </c>
      <c r="AK13" s="317">
        <f>+AL13*'État des Résultats'!AL13</f>
        <v>552.42000000000007</v>
      </c>
      <c r="AL13" s="192">
        <f t="shared" si="9"/>
        <v>0.5</v>
      </c>
      <c r="AO13" s="319">
        <f t="shared" si="10"/>
        <v>6793.8750000000018</v>
      </c>
      <c r="AP13" s="195">
        <f>+AO13/'État des Résultats'!AP13</f>
        <v>0.50000000000000011</v>
      </c>
    </row>
    <row r="14" spans="2:55" ht="20" customHeight="1" thickTop="1" thickBot="1" x14ac:dyDescent="0.25">
      <c r="B14" s="565" t="str">
        <f>'État des Résultats'!C16</f>
        <v>Coût des produits vendus</v>
      </c>
      <c r="C14" s="320"/>
      <c r="D14" s="566">
        <f>+SUM(D11:D13)</f>
        <v>11581.22552</v>
      </c>
      <c r="E14" s="567">
        <f>+D14/'État des Résultats'!E14</f>
        <v>0.30234121312669443</v>
      </c>
      <c r="F14" s="323"/>
      <c r="G14" s="321">
        <f>+SUM(G11:G13)</f>
        <v>9414.4155839999985</v>
      </c>
      <c r="H14" s="322">
        <f>+G14/'État des Résultats'!H14</f>
        <v>0.30234121312669437</v>
      </c>
      <c r="I14" s="324"/>
      <c r="J14" s="566">
        <f>+SUM(J11:J13)</f>
        <v>11581.22552</v>
      </c>
      <c r="K14" s="567">
        <f>+J14/'État des Résultats'!K14</f>
        <v>0.30234121312669443</v>
      </c>
      <c r="L14" s="324"/>
      <c r="M14" s="321">
        <f>+SUM(M11:M13)</f>
        <v>12328.40136</v>
      </c>
      <c r="N14" s="322">
        <f>+M14/'État des Résultats'!N14</f>
        <v>0.30234121312669443</v>
      </c>
      <c r="O14" s="323"/>
      <c r="P14" s="566">
        <f>+SUM(P11:P13)</f>
        <v>13897.470624000001</v>
      </c>
      <c r="Q14" s="567">
        <f>+P14/'État des Résultats'!Q14</f>
        <v>0.30234121312669443</v>
      </c>
      <c r="R14" s="324"/>
      <c r="S14" s="566">
        <f>+SUM(S11:S13)</f>
        <v>16811.456400000003</v>
      </c>
      <c r="T14" s="567">
        <f>+S14/'État des Résultats'!T14</f>
        <v>0.30234121312669449</v>
      </c>
      <c r="U14" s="324"/>
      <c r="V14" s="566">
        <f>+SUM(V11:V13)</f>
        <v>23162.45104</v>
      </c>
      <c r="W14" s="567">
        <f>+V14/'État des Résultats'!W14</f>
        <v>0.30234121312669443</v>
      </c>
      <c r="X14" s="324"/>
      <c r="Y14" s="566">
        <f>+SUM(Y11:Y13)</f>
        <v>20846.205936000002</v>
      </c>
      <c r="Z14" s="567">
        <f>+Y14/'État des Résultats'!Z14</f>
        <v>0.30234121312669449</v>
      </c>
      <c r="AA14" s="324"/>
      <c r="AB14" s="566">
        <f>+SUM(AB11:AB13)</f>
        <v>13449.16512</v>
      </c>
      <c r="AC14" s="567">
        <f>+AB14/'État des Résultats'!AC14</f>
        <v>0.30234121312669443</v>
      </c>
      <c r="AD14" s="324"/>
      <c r="AE14" s="566">
        <f>+SUM(AE11:AE13)</f>
        <v>12739.348072000001</v>
      </c>
      <c r="AF14" s="567">
        <f>+AE14/'État des Résultats'!AF14</f>
        <v>0.30234121312669449</v>
      </c>
      <c r="AG14" s="324"/>
      <c r="AH14" s="566">
        <f>+SUM(AH11:AH13)</f>
        <v>11207.6376</v>
      </c>
      <c r="AI14" s="567">
        <f>+AH14/'État des Résultats'!AI14</f>
        <v>0.30234121312669443</v>
      </c>
      <c r="AJ14" s="324"/>
      <c r="AK14" s="566">
        <f>+SUM(AK11:AK13)</f>
        <v>13897.470624000001</v>
      </c>
      <c r="AL14" s="567">
        <f>+AK14/'État des Résultats'!AL14</f>
        <v>0.30234121312669443</v>
      </c>
      <c r="AM14" s="324"/>
      <c r="AN14" s="324"/>
      <c r="AO14" s="568">
        <f>SUM(AO11:AO13)</f>
        <v>170916.47340000002</v>
      </c>
      <c r="AP14" s="569">
        <f>+AO14/'État des Résultats'!AP14</f>
        <v>0.30234121312669449</v>
      </c>
      <c r="AQ14" s="320"/>
      <c r="AR14" s="211"/>
      <c r="AS14" s="211"/>
      <c r="AT14" s="211"/>
      <c r="AU14" s="211"/>
      <c r="AV14" s="211"/>
    </row>
    <row r="15" spans="2:55" x14ac:dyDescent="0.15">
      <c r="B15" s="218"/>
      <c r="D15" s="325"/>
      <c r="E15" s="192"/>
      <c r="G15" s="325"/>
      <c r="H15" s="192"/>
      <c r="J15" s="325"/>
      <c r="K15" s="192"/>
      <c r="M15" s="325"/>
      <c r="N15" s="192"/>
      <c r="O15" s="193"/>
      <c r="P15" s="325"/>
      <c r="Q15" s="192"/>
      <c r="S15" s="325"/>
      <c r="T15" s="192"/>
      <c r="V15" s="325"/>
      <c r="W15" s="192"/>
      <c r="Y15" s="325"/>
      <c r="Z15" s="192"/>
      <c r="AB15" s="325"/>
      <c r="AC15" s="192"/>
      <c r="AE15" s="325"/>
      <c r="AF15" s="192"/>
      <c r="AH15" s="325"/>
      <c r="AI15" s="192"/>
      <c r="AK15" s="325"/>
      <c r="AL15" s="192"/>
      <c r="AO15" s="319"/>
      <c r="AP15" s="195"/>
    </row>
    <row r="16" spans="2:55" ht="15" customHeight="1" x14ac:dyDescent="0.15">
      <c r="B16" s="241" t="str">
        <f>'État des Résultats'!C16</f>
        <v>Coût des produits vendus</v>
      </c>
      <c r="C16" s="262"/>
      <c r="D16" s="326">
        <f>D14</f>
        <v>11581.22552</v>
      </c>
      <c r="E16" s="327">
        <f>E14</f>
        <v>0.30234121312669443</v>
      </c>
      <c r="F16" s="262"/>
      <c r="G16" s="326">
        <f>G14</f>
        <v>9414.4155839999985</v>
      </c>
      <c r="H16" s="327">
        <f>H14</f>
        <v>0.30234121312669437</v>
      </c>
      <c r="I16" s="262"/>
      <c r="J16" s="326">
        <f>J14</f>
        <v>11581.22552</v>
      </c>
      <c r="K16" s="327">
        <f>K14</f>
        <v>0.30234121312669443</v>
      </c>
      <c r="L16" s="262"/>
      <c r="M16" s="326">
        <f>M14</f>
        <v>12328.40136</v>
      </c>
      <c r="N16" s="327">
        <f>N14</f>
        <v>0.30234121312669443</v>
      </c>
      <c r="O16" s="267"/>
      <c r="P16" s="326">
        <f>P14</f>
        <v>13897.470624000001</v>
      </c>
      <c r="Q16" s="327">
        <f>Q14</f>
        <v>0.30234121312669443</v>
      </c>
      <c r="R16" s="262"/>
      <c r="S16" s="326">
        <f>S14</f>
        <v>16811.456400000003</v>
      </c>
      <c r="T16" s="327">
        <f>T14</f>
        <v>0.30234121312669449</v>
      </c>
      <c r="U16" s="262"/>
      <c r="V16" s="326">
        <f>V14</f>
        <v>23162.45104</v>
      </c>
      <c r="W16" s="327">
        <f>W14</f>
        <v>0.30234121312669443</v>
      </c>
      <c r="X16" s="262"/>
      <c r="Y16" s="326">
        <f>Y14</f>
        <v>20846.205936000002</v>
      </c>
      <c r="Z16" s="327">
        <f>Z14</f>
        <v>0.30234121312669449</v>
      </c>
      <c r="AA16" s="262"/>
      <c r="AB16" s="326">
        <f>AB14</f>
        <v>13449.16512</v>
      </c>
      <c r="AC16" s="327">
        <f>AC14</f>
        <v>0.30234121312669443</v>
      </c>
      <c r="AD16" s="262"/>
      <c r="AE16" s="326">
        <f>AE14</f>
        <v>12739.348072000001</v>
      </c>
      <c r="AF16" s="327">
        <f>AF14</f>
        <v>0.30234121312669449</v>
      </c>
      <c r="AG16" s="262"/>
      <c r="AH16" s="326">
        <f>AH14</f>
        <v>11207.6376</v>
      </c>
      <c r="AI16" s="327">
        <f>AI14</f>
        <v>0.30234121312669443</v>
      </c>
      <c r="AJ16" s="262"/>
      <c r="AK16" s="326">
        <f>AK14</f>
        <v>13897.470624000001</v>
      </c>
      <c r="AL16" s="327">
        <f>AL14</f>
        <v>0.30234121312669443</v>
      </c>
      <c r="AM16" s="262"/>
      <c r="AN16" s="262"/>
      <c r="AO16" s="328">
        <f>+$AK16+$AH16+$AE16+$AB16+$Y16+$V16+$S16+$P16+$M16+$J16+$G16+$D16</f>
        <v>170916.47340000002</v>
      </c>
      <c r="AP16" s="229">
        <f>+AO16/'État des Résultats'!AP14</f>
        <v>0.30234121312669449</v>
      </c>
    </row>
    <row r="17" spans="2:45" x14ac:dyDescent="0.15">
      <c r="B17" s="201"/>
      <c r="D17" s="325"/>
      <c r="E17" s="192"/>
      <c r="G17" s="325"/>
      <c r="H17" s="192"/>
      <c r="J17" s="325"/>
      <c r="K17" s="192"/>
      <c r="M17" s="325"/>
      <c r="N17" s="192"/>
      <c r="O17" s="193"/>
      <c r="P17" s="325"/>
      <c r="Q17" s="192"/>
      <c r="S17" s="325"/>
      <c r="T17" s="192"/>
      <c r="V17" s="325"/>
      <c r="W17" s="192"/>
      <c r="Y17" s="325"/>
      <c r="Z17" s="192"/>
      <c r="AB17" s="325"/>
      <c r="AC17" s="192"/>
      <c r="AE17" s="325"/>
      <c r="AF17" s="192"/>
      <c r="AH17" s="325"/>
      <c r="AI17" s="192"/>
      <c r="AK17" s="325"/>
      <c r="AL17" s="192"/>
      <c r="AO17" s="328"/>
      <c r="AP17" s="195"/>
    </row>
    <row r="18" spans="2:45" ht="15" customHeight="1" x14ac:dyDescent="0.15">
      <c r="B18" s="232" t="s">
        <v>193</v>
      </c>
      <c r="D18" s="325">
        <f>+SUM(D11:D12)</f>
        <v>11120.87552</v>
      </c>
      <c r="E18" s="192">
        <f>+D18/('État des Résultats'!E11+'État des Résultats'!E12)</f>
        <v>0.2974732949127244</v>
      </c>
      <c r="G18" s="325">
        <f>SUM(G11:G12)</f>
        <v>9040.1955839999991</v>
      </c>
      <c r="H18" s="192">
        <f>+G18/('État des Résultats'!H11+'État des Résultats'!H12)</f>
        <v>0.29747329491272434</v>
      </c>
      <c r="J18" s="325">
        <f>SUM(J11:J12)</f>
        <v>11120.87552</v>
      </c>
      <c r="K18" s="192">
        <f>+J18/('État des Résultats'!K11+'État des Résultats'!K12)</f>
        <v>0.2974732949127244</v>
      </c>
      <c r="M18" s="325">
        <f>SUM(M11:M12)</f>
        <v>11838.351360000001</v>
      </c>
      <c r="N18" s="192">
        <f>+M18/('État des Résultats'!N11+'État des Résultats'!N12)</f>
        <v>0.2974732949127244</v>
      </c>
      <c r="O18" s="193"/>
      <c r="P18" s="325">
        <f>SUM(P11:P12)</f>
        <v>13345.050624000001</v>
      </c>
      <c r="Q18" s="192">
        <f>+P18/('État des Résultats'!Q11+'État des Résultats'!Q12)</f>
        <v>0.2974732949127244</v>
      </c>
      <c r="S18" s="325">
        <f>SUM(S11:S12)</f>
        <v>16143.206400000003</v>
      </c>
      <c r="T18" s="192">
        <f>+S18/('État des Résultats'!T11+'État des Résultats'!T12)</f>
        <v>0.2974732949127244</v>
      </c>
      <c r="V18" s="325">
        <f>SUM(V11:V12)</f>
        <v>22241.751039999999</v>
      </c>
      <c r="W18" s="192">
        <f>+V18/('État des Résultats'!W11+'État des Résultats'!W12)</f>
        <v>0.2974732949127244</v>
      </c>
      <c r="Y18" s="325">
        <f>SUM(Y11:Y12)</f>
        <v>20017.575936000001</v>
      </c>
      <c r="Z18" s="192">
        <f>+Y18/('État des Résultats'!Z11+'État des Résultats'!Z12)</f>
        <v>0.2974732949127244</v>
      </c>
      <c r="AB18" s="325">
        <f>SUM(AB11:AB12)</f>
        <v>12914.565119999999</v>
      </c>
      <c r="AC18" s="192">
        <f>+AB18/('État des Résultats'!AC11+'État des Résultats'!AC12)</f>
        <v>0.2974732949127244</v>
      </c>
      <c r="AE18" s="325">
        <f>SUM(AE11:AE12)</f>
        <v>12232.963072</v>
      </c>
      <c r="AF18" s="192">
        <f>+AE18/('État des Résultats'!AF11+'État des Résultats'!AF12)</f>
        <v>0.2974732949127244</v>
      </c>
      <c r="AH18" s="325">
        <f>SUM(AH11:AH12)</f>
        <v>10762.1376</v>
      </c>
      <c r="AI18" s="192">
        <f>+AH18/('État des Résultats'!AI11+'État des Résultats'!AI12)</f>
        <v>0.2974732949127244</v>
      </c>
      <c r="AK18" s="325">
        <f>SUM(AK11:AK12)</f>
        <v>13345.050624000001</v>
      </c>
      <c r="AL18" s="192">
        <f>+AK18/('État des Résultats'!AL11+'État des Résultats'!AL12)</f>
        <v>0.2974732949127244</v>
      </c>
      <c r="AO18" s="328">
        <f>+$AK18+$AH18+$AE18+$AB18+$Y18+$V18+$S18+$P18+$M18+$J18+$G18+$D18</f>
        <v>164122.59840000002</v>
      </c>
      <c r="AP18" s="195">
        <f>+AO18/('État des Résultats'!AP11+'État des Résultats'!AP12)</f>
        <v>0.29747329491272445</v>
      </c>
    </row>
    <row r="19" spans="2:45" ht="15" customHeight="1" x14ac:dyDescent="0.15">
      <c r="B19" s="201" t="s">
        <v>174</v>
      </c>
      <c r="D19" s="325">
        <f>+D11</f>
        <v>6408.8160000000007</v>
      </c>
      <c r="E19" s="192">
        <f>+D19/'État des Résultats'!E11</f>
        <v>0.2336</v>
      </c>
      <c r="G19" s="325">
        <f>+G11</f>
        <v>5209.7472000000007</v>
      </c>
      <c r="H19" s="192">
        <f>+G19/'État des Résultats'!H11</f>
        <v>0.2336</v>
      </c>
      <c r="J19" s="325">
        <f>+J11</f>
        <v>6408.8160000000007</v>
      </c>
      <c r="K19" s="192">
        <f>+J19/'État des Résultats'!K11</f>
        <v>0.2336</v>
      </c>
      <c r="M19" s="325">
        <f>+M11</f>
        <v>6822.2880000000014</v>
      </c>
      <c r="N19" s="192">
        <f>+M19/'État des Résultats'!N11</f>
        <v>0.2336</v>
      </c>
      <c r="O19" s="193"/>
      <c r="P19" s="325">
        <f>+P11</f>
        <v>7690.5792000000019</v>
      </c>
      <c r="Q19" s="192">
        <f>+P19/'État des Résultats'!Q11</f>
        <v>0.2336</v>
      </c>
      <c r="S19" s="325">
        <f>+S11</f>
        <v>9303.1200000000026</v>
      </c>
      <c r="T19" s="192">
        <f>+S19/'État des Résultats'!T11</f>
        <v>0.23360000000000003</v>
      </c>
      <c r="V19" s="325">
        <f>+V11</f>
        <v>12817.632000000001</v>
      </c>
      <c r="W19" s="192">
        <f>+V19/'État des Résultats'!W11</f>
        <v>0.2336</v>
      </c>
      <c r="Y19" s="325">
        <f>+Y11</f>
        <v>11535.868800000002</v>
      </c>
      <c r="Z19" s="192">
        <f>+Y19/'État des Résultats'!Z11</f>
        <v>0.2336</v>
      </c>
      <c r="AB19" s="325">
        <f>+AB11</f>
        <v>7442.496000000001</v>
      </c>
      <c r="AC19" s="192">
        <f>+AB19/'État des Résultats'!AC11</f>
        <v>0.2336</v>
      </c>
      <c r="AE19" s="325">
        <f>+AE11</f>
        <v>7049.6976000000013</v>
      </c>
      <c r="AF19" s="192">
        <f>+AE19/'État des Résultats'!AF11</f>
        <v>0.2336</v>
      </c>
      <c r="AH19" s="325">
        <f>+AH11</f>
        <v>6202.0800000000008</v>
      </c>
      <c r="AI19" s="192">
        <f>+AH19/'État des Résultats'!AI11</f>
        <v>0.2336</v>
      </c>
      <c r="AK19" s="325">
        <f>+AK11</f>
        <v>7690.5792000000019</v>
      </c>
      <c r="AL19" s="192">
        <f>+AK19/'État des Résultats'!AL11</f>
        <v>0.2336</v>
      </c>
      <c r="AO19" s="319">
        <f>+AO11</f>
        <v>94581.720000000016</v>
      </c>
      <c r="AP19" s="195">
        <f>+AO19/'État des Résultats'!AP11</f>
        <v>0.2336</v>
      </c>
    </row>
    <row r="20" spans="2:45" ht="15" customHeight="1" x14ac:dyDescent="0.15">
      <c r="B20" s="201" t="s">
        <v>175</v>
      </c>
      <c r="C20" s="210"/>
      <c r="D20" s="325">
        <f>+D12</f>
        <v>4712.0595199999989</v>
      </c>
      <c r="E20" s="192">
        <f>D20/'État des Résultats'!E12</f>
        <v>0.47360000000000002</v>
      </c>
      <c r="G20" s="325">
        <f>+G12</f>
        <v>3830.4483839999989</v>
      </c>
      <c r="H20" s="192">
        <f>G20/'État des Résultats'!H12</f>
        <v>0.47360000000000002</v>
      </c>
      <c r="J20" s="325">
        <f>+J12</f>
        <v>4712.0595199999989</v>
      </c>
      <c r="K20" s="192">
        <f>J20/'État des Résultats'!K12</f>
        <v>0.47360000000000002</v>
      </c>
      <c r="M20" s="325">
        <f>+M12</f>
        <v>5016.0633599999992</v>
      </c>
      <c r="N20" s="192">
        <f>M20/'État des Résultats'!N12</f>
        <v>0.47359999999999997</v>
      </c>
      <c r="O20" s="193"/>
      <c r="P20" s="325">
        <f>+P12</f>
        <v>5654.4714239999994</v>
      </c>
      <c r="Q20" s="192">
        <f>P20/'État des Résultats'!Q12</f>
        <v>0.47360000000000002</v>
      </c>
      <c r="R20" s="210"/>
      <c r="S20" s="325">
        <f>+S12</f>
        <v>6840.0863999999992</v>
      </c>
      <c r="T20" s="192">
        <f>S20/'État des Résultats'!T12</f>
        <v>0.47360000000000002</v>
      </c>
      <c r="V20" s="325">
        <f>+V12</f>
        <v>9424.1190399999978</v>
      </c>
      <c r="W20" s="192">
        <f>V20/'État des Résultats'!W12</f>
        <v>0.47360000000000002</v>
      </c>
      <c r="Y20" s="325">
        <f>+Y12</f>
        <v>8481.7071359999973</v>
      </c>
      <c r="Z20" s="192">
        <f>Y20/'État des Résultats'!Z12</f>
        <v>0.47359999999999997</v>
      </c>
      <c r="AB20" s="325">
        <f>+AB12</f>
        <v>5472.0691199999992</v>
      </c>
      <c r="AC20" s="192">
        <f>AB20/'État des Résultats'!AC12</f>
        <v>0.47360000000000008</v>
      </c>
      <c r="AE20" s="325">
        <f>+AE12</f>
        <v>5183.2654719999991</v>
      </c>
      <c r="AF20" s="192">
        <f>AE20/'État des Résultats'!AF12</f>
        <v>0.47360000000000008</v>
      </c>
      <c r="AH20" s="325">
        <f>+AH12</f>
        <v>4560.0575999999992</v>
      </c>
      <c r="AI20" s="192">
        <f>AH20/'État des Résultats'!AI12</f>
        <v>0.47360000000000002</v>
      </c>
      <c r="AK20" s="325">
        <f>+AK12</f>
        <v>5654.4714239999994</v>
      </c>
      <c r="AL20" s="192">
        <f>AK20/'État des Résultats'!AL12</f>
        <v>0.47360000000000002</v>
      </c>
      <c r="AO20" s="319">
        <f>+AO12</f>
        <v>69540.878399999987</v>
      </c>
      <c r="AP20" s="195">
        <f>AO20/'État des Résultats'!AP12</f>
        <v>0.47360000000000002</v>
      </c>
    </row>
    <row r="21" spans="2:45" ht="14" thickBot="1" x14ac:dyDescent="0.2">
      <c r="B21" s="209"/>
      <c r="D21" s="329"/>
      <c r="E21" s="238"/>
      <c r="F21" s="210"/>
      <c r="G21" s="329"/>
      <c r="H21" s="238"/>
      <c r="I21" s="210"/>
      <c r="J21" s="329"/>
      <c r="K21" s="238"/>
      <c r="L21" s="210"/>
      <c r="M21" s="329"/>
      <c r="N21" s="238"/>
      <c r="O21" s="210"/>
      <c r="P21" s="329"/>
      <c r="Q21" s="238"/>
      <c r="R21" s="210"/>
      <c r="S21" s="329"/>
      <c r="T21" s="238"/>
      <c r="V21" s="329"/>
      <c r="W21" s="238"/>
      <c r="Y21" s="329"/>
      <c r="Z21" s="238"/>
      <c r="AB21" s="329"/>
      <c r="AC21" s="238"/>
      <c r="AE21" s="329"/>
      <c r="AF21" s="238"/>
      <c r="AH21" s="329"/>
      <c r="AI21" s="238"/>
      <c r="AK21" s="329"/>
      <c r="AL21" s="238"/>
      <c r="AO21" s="319"/>
      <c r="AP21" s="239"/>
    </row>
    <row r="22" spans="2:45" ht="20" customHeight="1" x14ac:dyDescent="0.15">
      <c r="B22" s="570" t="s">
        <v>194</v>
      </c>
      <c r="C22" s="330"/>
      <c r="D22" s="572">
        <f>('État des Résultats'!E14-'Coût marchandises vendues'!D14)</f>
        <v>26723.924480000001</v>
      </c>
      <c r="E22" s="573">
        <f>+D22/'État des Résultats'!E14</f>
        <v>0.69765878687330551</v>
      </c>
      <c r="F22" s="330"/>
      <c r="G22" s="572">
        <f>('État des Résultats'!H14-'Coût marchandises vendues'!G14)</f>
        <v>21723.964416000003</v>
      </c>
      <c r="H22" s="573">
        <f>+G22/'État des Résultats'!H14</f>
        <v>0.69765878687330563</v>
      </c>
      <c r="I22" s="330"/>
      <c r="J22" s="572">
        <f>('État des Résultats'!K14-'Coût marchandises vendues'!J14)</f>
        <v>26723.924480000001</v>
      </c>
      <c r="K22" s="573">
        <f>+J22/'État des Résultats'!K14</f>
        <v>0.69765878687330551</v>
      </c>
      <c r="L22" s="330"/>
      <c r="M22" s="572">
        <f>('État des Résultats'!N14-'Coût marchandises vendues'!M14)</f>
        <v>28448.048640000005</v>
      </c>
      <c r="N22" s="573">
        <f>+M22/'État des Résultats'!N14</f>
        <v>0.69765878687330563</v>
      </c>
      <c r="O22" s="330"/>
      <c r="P22" s="572">
        <f>('État des Résultats'!Q14-'Coût marchandises vendues'!P14)</f>
        <v>32068.709376000006</v>
      </c>
      <c r="Q22" s="573">
        <f>+P22/'État des Résultats'!Q14</f>
        <v>0.69765878687330551</v>
      </c>
      <c r="R22" s="330"/>
      <c r="S22" s="572">
        <f>('État des Résultats'!T14-'Coût marchandises vendues'!S14)</f>
        <v>38792.793600000005</v>
      </c>
      <c r="T22" s="573">
        <f>+S22/'État des Résultats'!T14</f>
        <v>0.69765878687330551</v>
      </c>
      <c r="U22" s="252"/>
      <c r="V22" s="572">
        <f>('État des Résultats'!W14-'Coût marchandises vendues'!V14)</f>
        <v>53447.848960000003</v>
      </c>
      <c r="W22" s="573">
        <f>+V22/'État des Résultats'!W14</f>
        <v>0.69765878687330551</v>
      </c>
      <c r="X22" s="330"/>
      <c r="Y22" s="572">
        <f>('État des Résultats'!Z14-'Coût marchandises vendues'!Y14)</f>
        <v>48103.064064000006</v>
      </c>
      <c r="Z22" s="573">
        <f>+Y22/'État des Résultats'!Z14</f>
        <v>0.69765878687330563</v>
      </c>
      <c r="AA22" s="330"/>
      <c r="AB22" s="572">
        <f>('État des Résultats'!AC14-'Coût marchandises vendues'!AB14)</f>
        <v>31034.234880000004</v>
      </c>
      <c r="AC22" s="573">
        <f>+AB22/'État des Résultats'!AC14</f>
        <v>0.69765878687330563</v>
      </c>
      <c r="AD22" s="252"/>
      <c r="AE22" s="572">
        <f>('État des Résultats'!AF14-'Coût marchandises vendues'!AE14)</f>
        <v>29396.316928</v>
      </c>
      <c r="AF22" s="573">
        <f>+AE22/'État des Résultats'!AF14</f>
        <v>0.69765878687330551</v>
      </c>
      <c r="AG22" s="252"/>
      <c r="AH22" s="572">
        <f>('État des Résultats'!AI14-'Coût marchandises vendues'!AH14)</f>
        <v>25861.862399999998</v>
      </c>
      <c r="AI22" s="573">
        <f>+AH22/'État des Résultats'!AI14</f>
        <v>0.69765878687330551</v>
      </c>
      <c r="AJ22" s="252"/>
      <c r="AK22" s="572">
        <f>('État des Résultats'!AL14-'Coût marchandises vendues'!AK14)</f>
        <v>32068.709376000006</v>
      </c>
      <c r="AL22" s="573">
        <f>+AK22/'État des Résultats'!AL14</f>
        <v>0.69765878687330551</v>
      </c>
      <c r="AM22" s="252"/>
      <c r="AN22" s="252"/>
      <c r="AO22" s="572">
        <f>('État des Résultats'!AP14-'Coût marchandises vendues'!AO14)</f>
        <v>394393.40159999998</v>
      </c>
      <c r="AP22" s="573">
        <f>+AO22/'État des Résultats'!AP14</f>
        <v>0.69765878687330551</v>
      </c>
      <c r="AR22" s="314" t="s">
        <v>2</v>
      </c>
    </row>
    <row r="23" spans="2:45" ht="14" thickBot="1" x14ac:dyDescent="0.2">
      <c r="B23" s="571"/>
      <c r="C23" s="210"/>
      <c r="D23" s="574"/>
      <c r="E23" s="575"/>
      <c r="F23" s="210"/>
      <c r="G23" s="574"/>
      <c r="H23" s="575"/>
      <c r="I23" s="210"/>
      <c r="J23" s="576"/>
      <c r="K23" s="575"/>
      <c r="L23" s="210"/>
      <c r="M23" s="574"/>
      <c r="N23" s="575"/>
      <c r="O23" s="210"/>
      <c r="P23" s="574"/>
      <c r="Q23" s="575"/>
      <c r="R23" s="210"/>
      <c r="S23" s="574"/>
      <c r="T23" s="575"/>
      <c r="U23" s="210"/>
      <c r="V23" s="576"/>
      <c r="W23" s="575"/>
      <c r="X23" s="210"/>
      <c r="Y23" s="574"/>
      <c r="Z23" s="575"/>
      <c r="AA23" s="210"/>
      <c r="AB23" s="574"/>
      <c r="AC23" s="575"/>
      <c r="AD23" s="210"/>
      <c r="AE23" s="574"/>
      <c r="AF23" s="575"/>
      <c r="AG23" s="210"/>
      <c r="AH23" s="574"/>
      <c r="AI23" s="575"/>
      <c r="AJ23" s="210"/>
      <c r="AK23" s="574"/>
      <c r="AL23" s="575"/>
      <c r="AO23" s="574"/>
      <c r="AP23" s="575"/>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2"/>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2"/>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2"/>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2"/>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2"/>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2"/>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2"/>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2"/>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2"/>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2"/>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2"/>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2"/>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2"/>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2"/>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2"/>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2"/>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2"/>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2"/>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2"/>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2"/>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2"/>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2"/>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2"/>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2"/>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2"/>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2"/>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2"/>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2"/>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2"/>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2"/>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2"/>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2"/>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2"/>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2"/>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2"/>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2"/>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2"/>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2"/>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2"/>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2"/>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2"/>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2"/>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2"/>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2"/>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BJjqu88GPx1df4OFHCXCJwPvJlR1aH6eKI4YxWeFUxYwbwIx/MF+6pT6Ctrl/o5PssoOWGw132Z1Hih1/eJLSA==" saltValue="C0+ETqJTTfQxGfqgoIdPZA=="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activeCell="E6" sqref="E6"/>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10" t="str">
        <f>'État des Résultats'!C2</f>
        <v xml:space="preserve">Entreprise de restauration alimentaire 12 inc. </v>
      </c>
      <c r="C2" s="911"/>
      <c r="AS2" s="898" t="s">
        <v>42</v>
      </c>
      <c r="AT2" s="369"/>
      <c r="AU2" s="369"/>
      <c r="AV2" s="369"/>
      <c r="AW2" s="369"/>
      <c r="AX2" s="369"/>
      <c r="AY2" s="369"/>
      <c r="AZ2" s="369"/>
      <c r="BA2" s="369"/>
      <c r="BB2" s="369"/>
      <c r="BC2" s="901" t="s">
        <v>43</v>
      </c>
    </row>
    <row r="3" spans="2:55" ht="20" customHeight="1" x14ac:dyDescent="0.2">
      <c r="B3" s="912" t="str">
        <f>'État des Résultats'!C3</f>
        <v xml:space="preserve">États des résultats prévisionnels </v>
      </c>
      <c r="C3" s="913"/>
      <c r="AS3" s="899"/>
      <c r="AT3" s="370"/>
      <c r="AU3" s="370"/>
      <c r="AV3" s="370"/>
      <c r="AW3" s="370"/>
      <c r="AX3" s="370"/>
      <c r="AY3" s="370"/>
      <c r="AZ3" s="370"/>
      <c r="BA3" s="370"/>
      <c r="BB3" s="370"/>
      <c r="BC3" s="902"/>
    </row>
    <row r="4" spans="2:55" ht="20" customHeight="1" thickBot="1" x14ac:dyDescent="0.3">
      <c r="B4" s="914" t="str">
        <f>'État des Résultats'!C4</f>
        <v>Pour la période du 1er janvier 2021 au 31 décembre 2021</v>
      </c>
      <c r="C4" s="91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5" ht="21" thickTop="1" thickBot="1" x14ac:dyDescent="0.3">
      <c r="AS5" s="899"/>
      <c r="AT5" s="372" t="s">
        <v>2</v>
      </c>
      <c r="AU5" s="373"/>
      <c r="AV5" s="372"/>
      <c r="AW5" s="373"/>
      <c r="AX5" s="373"/>
      <c r="AY5" s="373"/>
      <c r="AZ5" s="373"/>
      <c r="BA5" s="373"/>
      <c r="BB5" s="373"/>
      <c r="BC5" s="902"/>
    </row>
    <row r="6" spans="2:55" ht="27" thickTop="1" x14ac:dyDescent="0.3">
      <c r="B6" s="916" t="str">
        <f>'État des Résultats'!C6</f>
        <v>Nb de places</v>
      </c>
      <c r="C6" s="917"/>
      <c r="E6" s="632" t="str">
        <f>'Coût marchandises vendues'!D6</f>
        <v>Coût / place / jour</v>
      </c>
      <c r="F6" s="578">
        <f>E38/$B$7/'Calendrier 2021'!D8</f>
        <v>8.4118141935483859</v>
      </c>
      <c r="G6" s="170"/>
      <c r="H6" s="632" t="str">
        <f>+E6</f>
        <v>Coût / place / jour</v>
      </c>
      <c r="I6" s="578">
        <f>H38/$B$7/'Calendrier 2021'!E8</f>
        <v>12.909325714285714</v>
      </c>
      <c r="J6" s="170"/>
      <c r="K6" s="632" t="str">
        <f>+H6</f>
        <v>Coût / place / jour</v>
      </c>
      <c r="L6" s="578">
        <f>K38/$B$7/'Calendrier 2021'!F8</f>
        <v>8.3948387096774191</v>
      </c>
      <c r="M6" s="170"/>
      <c r="N6" s="632" t="str">
        <f>+K6</f>
        <v>Coût / place / jour</v>
      </c>
      <c r="O6" s="578">
        <f>N38/$B$7/'Calendrier 2021'!G8</f>
        <v>8.674666666666667</v>
      </c>
      <c r="P6" s="436"/>
      <c r="Q6" s="435" t="str">
        <f>+N6</f>
        <v>Coût / place / jour</v>
      </c>
      <c r="R6" s="578">
        <f>Q38/$B$7/'Calendrier 2021'!H8</f>
        <v>8.3948387096774191</v>
      </c>
      <c r="S6" s="436"/>
      <c r="T6" s="632" t="str">
        <f>+Q6</f>
        <v>Coût / place / jour</v>
      </c>
      <c r="U6" s="578">
        <f>T38/$B$7/'Calendrier 2021'!I8</f>
        <v>8.674666666666667</v>
      </c>
      <c r="V6" s="170"/>
      <c r="W6" s="632" t="str">
        <f>+T6</f>
        <v>Coût / place / jour</v>
      </c>
      <c r="X6" s="578">
        <f>W38/$B$7/'Calendrier 2021'!J8</f>
        <v>8.3948387096774191</v>
      </c>
      <c r="Y6" s="641"/>
      <c r="Z6" s="632" t="str">
        <f>+W6</f>
        <v>Coût / place / jour</v>
      </c>
      <c r="AA6" s="578">
        <f>Z38/$B$7/'Calendrier 2021'!K8</f>
        <v>8.3948387096774191</v>
      </c>
      <c r="AB6" s="170"/>
      <c r="AC6" s="632" t="str">
        <f>+Z6</f>
        <v>Coût / place / jour</v>
      </c>
      <c r="AD6" s="578">
        <f>AC38/$B$7/'Calendrier 2021'!L8</f>
        <v>8.674666666666667</v>
      </c>
      <c r="AE6" s="170"/>
      <c r="AF6" s="632" t="str">
        <f>+AC6</f>
        <v>Coût / place / jour</v>
      </c>
      <c r="AG6" s="578">
        <f>AF38/$B$7/'Calendrier 2021'!M8</f>
        <v>8.3948387096774191</v>
      </c>
      <c r="AH6" s="170"/>
      <c r="AI6" s="632" t="str">
        <f>+AF6</f>
        <v>Coût / place / jour</v>
      </c>
      <c r="AJ6" s="578">
        <f>AI38/$B$7/'Calendrier 2021'!N8</f>
        <v>8.674666666666667</v>
      </c>
      <c r="AK6" s="437"/>
      <c r="AL6" s="632" t="str">
        <f>+AI6</f>
        <v>Coût / place / jour</v>
      </c>
      <c r="AM6" s="578">
        <f>AL38/$B$7/'Calendrier 2021'!O8</f>
        <v>8.3948387096774191</v>
      </c>
      <c r="AN6" s="170"/>
      <c r="AO6" s="170"/>
      <c r="AP6" s="577" t="str">
        <f>+AL6</f>
        <v>Coût / place / jour</v>
      </c>
      <c r="AQ6" s="578">
        <f>AP38/$B$7/'% Occupation'!P8</f>
        <v>8.8345955068493165</v>
      </c>
      <c r="AS6" s="899"/>
      <c r="AT6" s="374" t="str">
        <f>'Formule pour le calcul D'!BA105</f>
        <v xml:space="preserve">C </v>
      </c>
      <c r="AU6" s="375"/>
      <c r="AV6" s="374" t="str">
        <f>'Formule pour le calcul D'!BC105</f>
        <v>A</v>
      </c>
      <c r="AW6" s="375"/>
      <c r="AX6" s="375"/>
      <c r="AY6" s="374" t="str">
        <f>AY4</f>
        <v>Um/A</v>
      </c>
      <c r="AZ6" s="375"/>
      <c r="BA6" s="374" t="str">
        <f>BA4</f>
        <v>CmO</v>
      </c>
      <c r="BB6" s="375"/>
      <c r="BC6" s="902"/>
    </row>
    <row r="7" spans="2:55" ht="21" x14ac:dyDescent="0.25">
      <c r="B7" s="918">
        <f>'État des Résultats'!C7</f>
        <v>50</v>
      </c>
      <c r="C7" s="919"/>
      <c r="E7" s="633">
        <f>+E38/$AP$38</f>
        <v>8.0867092810376698E-2</v>
      </c>
      <c r="F7" s="634"/>
      <c r="G7" s="385"/>
      <c r="H7" s="633">
        <f>+H38/$AP$38</f>
        <v>0.11209391959013831</v>
      </c>
      <c r="I7" s="634"/>
      <c r="J7" s="385"/>
      <c r="K7" s="633">
        <f>+K38/$AP$38</f>
        <v>8.0703898759948489E-2</v>
      </c>
      <c r="L7" s="634"/>
      <c r="M7" s="385"/>
      <c r="N7" s="633">
        <f>+N38/$AP$38</f>
        <v>8.0703898759948489E-2</v>
      </c>
      <c r="O7" s="634"/>
      <c r="P7" s="440"/>
      <c r="Q7" s="438">
        <f>+Q38/$AP$38</f>
        <v>8.0703898759948489E-2</v>
      </c>
      <c r="R7" s="439"/>
      <c r="S7" s="440"/>
      <c r="T7" s="633">
        <f>+T38/$AP$38</f>
        <v>8.0703898759948489E-2</v>
      </c>
      <c r="U7" s="634"/>
      <c r="V7" s="385"/>
      <c r="W7" s="633">
        <f>+W38/$AP$38</f>
        <v>8.0703898759948489E-2</v>
      </c>
      <c r="X7" s="634"/>
      <c r="Y7" s="642"/>
      <c r="Z7" s="633">
        <f>+Z38/$AP$38</f>
        <v>8.0703898759948489E-2</v>
      </c>
      <c r="AA7" s="634"/>
      <c r="AB7" s="385"/>
      <c r="AC7" s="633">
        <f>+AC38/$AP$38</f>
        <v>8.0703898759948489E-2</v>
      </c>
      <c r="AD7" s="634"/>
      <c r="AE7" s="385"/>
      <c r="AF7" s="633">
        <f>+AF38/$AP$38</f>
        <v>8.0703898759948489E-2</v>
      </c>
      <c r="AG7" s="634"/>
      <c r="AH7" s="385"/>
      <c r="AI7" s="633">
        <f>+AI38/$AP$38</f>
        <v>8.0703898759948489E-2</v>
      </c>
      <c r="AJ7" s="634"/>
      <c r="AK7" s="424"/>
      <c r="AL7" s="633">
        <f>+AL38/$AP$38</f>
        <v>8.0703898759948489E-2</v>
      </c>
      <c r="AM7" s="634"/>
      <c r="AN7" s="441">
        <f>+AN38/$AP$38</f>
        <v>0</v>
      </c>
      <c r="AO7" s="385"/>
      <c r="AP7" s="625">
        <f t="shared" ref="AP7" si="0">SUM(+$AL7+$AI7+$AF7+$AC7+$Z7+$W7+$T7+$Q7+$N7+$K7+$H7+$E7)</f>
        <v>0.99999999999999978</v>
      </c>
      <c r="AQ7" s="644"/>
      <c r="AS7" s="899"/>
      <c r="AT7" s="684">
        <f>AP38</f>
        <v>161231.36800000002</v>
      </c>
      <c r="AU7" s="371" t="s">
        <v>44</v>
      </c>
      <c r="AV7" s="685">
        <f>'Formule pour le calcul D'!G106</f>
        <v>22875</v>
      </c>
      <c r="AW7" s="371" t="s">
        <v>45</v>
      </c>
      <c r="AX7" s="371" t="s">
        <v>46</v>
      </c>
      <c r="AY7" s="686">
        <f>'Formule pour le calcul D'!J106</f>
        <v>2.2200000000000002</v>
      </c>
      <c r="AZ7" s="371" t="s">
        <v>45</v>
      </c>
      <c r="BA7" s="687">
        <f>AT7/AV7/AY7</f>
        <v>3.174939555949392</v>
      </c>
      <c r="BB7" s="371" t="s">
        <v>49</v>
      </c>
      <c r="BC7" s="902"/>
    </row>
    <row r="8" spans="2:55" ht="17" thickBot="1" x14ac:dyDescent="0.25">
      <c r="B8" s="920" t="s">
        <v>198</v>
      </c>
      <c r="C8" s="921"/>
      <c r="E8" s="635" t="str">
        <f>'État des Résultats'!E8</f>
        <v>Pér.01</v>
      </c>
      <c r="F8" s="636" t="str">
        <f>'État des Résultats'!F8</f>
        <v>(%)</v>
      </c>
      <c r="G8" s="188"/>
      <c r="H8" s="635" t="str">
        <f>'État des Résultats'!H8</f>
        <v>Pér.02</v>
      </c>
      <c r="I8" s="636" t="str">
        <f>F8</f>
        <v>(%)</v>
      </c>
      <c r="J8" s="188"/>
      <c r="K8" s="635" t="str">
        <f>'État des Résultats'!K8</f>
        <v>Pér.03</v>
      </c>
      <c r="L8" s="636" t="str">
        <f>I8</f>
        <v>(%)</v>
      </c>
      <c r="M8" s="188"/>
      <c r="N8" s="635" t="str">
        <f>'État des Résultats'!N8</f>
        <v>Pér.04</v>
      </c>
      <c r="O8" s="636" t="str">
        <f>L8</f>
        <v>(%)</v>
      </c>
      <c r="P8" s="443"/>
      <c r="Q8" s="442" t="str">
        <f>'État des Résultats'!Q8</f>
        <v>Pér.05</v>
      </c>
      <c r="R8" s="388" t="str">
        <f>O8</f>
        <v>(%)</v>
      </c>
      <c r="S8" s="443"/>
      <c r="T8" s="635" t="str">
        <f>'État des Résultats'!T8</f>
        <v>Pér.06</v>
      </c>
      <c r="U8" s="636" t="str">
        <f>R8</f>
        <v>(%)</v>
      </c>
      <c r="V8" s="188"/>
      <c r="W8" s="635" t="str">
        <f>'État des Résultats'!W8</f>
        <v>Pér.07</v>
      </c>
      <c r="X8" s="636" t="str">
        <f>U8</f>
        <v>(%)</v>
      </c>
      <c r="Y8" s="643"/>
      <c r="Z8" s="635" t="str">
        <f>'État des Résultats'!Z8</f>
        <v>Pér.08</v>
      </c>
      <c r="AA8" s="636" t="str">
        <f>X8</f>
        <v>(%)</v>
      </c>
      <c r="AB8" s="188"/>
      <c r="AC8" s="635" t="str">
        <f>'État des Résultats'!AC8</f>
        <v>Pér.09</v>
      </c>
      <c r="AD8" s="636" t="str">
        <f>AA8</f>
        <v>(%)</v>
      </c>
      <c r="AE8" s="188"/>
      <c r="AF8" s="635" t="str">
        <f>'État des Résultats'!AF8</f>
        <v>Pér.10</v>
      </c>
      <c r="AG8" s="636" t="str">
        <f>AD8</f>
        <v>(%)</v>
      </c>
      <c r="AH8" s="188"/>
      <c r="AI8" s="635" t="str">
        <f>'État des Résultats'!AI8</f>
        <v>Pér.11</v>
      </c>
      <c r="AJ8" s="636" t="str">
        <f>AG8</f>
        <v>(%)</v>
      </c>
      <c r="AK8" s="444"/>
      <c r="AL8" s="635" t="str">
        <f>'État des Résultats'!AL8</f>
        <v>Pér.12</v>
      </c>
      <c r="AM8" s="636" t="str">
        <f>AJ8</f>
        <v>(%)</v>
      </c>
      <c r="AN8" s="188"/>
      <c r="AO8" s="188"/>
      <c r="AP8" s="645" t="str">
        <f>'État des Résultats'!AP8</f>
        <v>Total</v>
      </c>
      <c r="AQ8" s="636" t="str">
        <f>AM8</f>
        <v>(%)</v>
      </c>
      <c r="AS8" s="900"/>
      <c r="AT8" s="376"/>
      <c r="AU8" s="376"/>
      <c r="AV8" s="376"/>
      <c r="AW8" s="376"/>
      <c r="AX8" s="376"/>
      <c r="AY8" s="376"/>
      <c r="AZ8" s="376"/>
      <c r="BA8" s="376"/>
      <c r="BB8" s="376"/>
      <c r="BC8" s="903"/>
    </row>
    <row r="9" spans="2:55" ht="15" thickTop="1" thickBot="1" x14ac:dyDescent="0.2">
      <c r="B9" s="904">
        <f>AP38/B7</f>
        <v>3224.6273600000004</v>
      </c>
      <c r="C9" s="905"/>
      <c r="D9" s="252"/>
      <c r="E9" s="637" t="str">
        <f>'État des Résultats'!E9</f>
        <v>Janvier 2021</v>
      </c>
      <c r="F9" s="638"/>
      <c r="G9" s="391"/>
      <c r="H9" s="637" t="str">
        <f>'État des Résultats'!H9</f>
        <v>Février 2021</v>
      </c>
      <c r="I9" s="639"/>
      <c r="J9" s="391"/>
      <c r="K9" s="637" t="str">
        <f>'État des Résultats'!K9</f>
        <v>Mars 2021</v>
      </c>
      <c r="L9" s="639"/>
      <c r="M9" s="391"/>
      <c r="N9" s="637" t="str">
        <f>'État des Résultats'!N9</f>
        <v>Avril 2021</v>
      </c>
      <c r="O9" s="640"/>
      <c r="P9" s="447"/>
      <c r="Q9" s="445" t="str">
        <f>'État des Résultats'!Q9</f>
        <v>Mai 2021</v>
      </c>
      <c r="R9" s="446"/>
      <c r="S9" s="447"/>
      <c r="T9" s="637" t="str">
        <f>'État des Résultats'!T9</f>
        <v>Juin 2021</v>
      </c>
      <c r="U9" s="639"/>
      <c r="V9" s="391"/>
      <c r="W9" s="637" t="str">
        <f>'État des Résultats'!W9</f>
        <v>Juillet 2021</v>
      </c>
      <c r="X9" s="639"/>
      <c r="Y9" s="643"/>
      <c r="Z9" s="637" t="str">
        <f>'État des Résultats'!Z9</f>
        <v>Août 2021</v>
      </c>
      <c r="AA9" s="639"/>
      <c r="AB9" s="391"/>
      <c r="AC9" s="637" t="str">
        <f>'État des Résultats'!AC9</f>
        <v>Septembre 2021</v>
      </c>
      <c r="AD9" s="639"/>
      <c r="AE9" s="391"/>
      <c r="AF9" s="637" t="str">
        <f>'État des Résultats'!AF9</f>
        <v>Octobre 2021</v>
      </c>
      <c r="AG9" s="639"/>
      <c r="AH9" s="391"/>
      <c r="AI9" s="637" t="str">
        <f>'État des Résultats'!AI9</f>
        <v>Novembre 2021</v>
      </c>
      <c r="AJ9" s="639"/>
      <c r="AK9" s="448"/>
      <c r="AL9" s="637" t="str">
        <f>'État des Résultats'!AL9</f>
        <v>Décembre 2021</v>
      </c>
      <c r="AM9" s="639"/>
      <c r="AN9" s="391"/>
      <c r="AO9" s="391"/>
      <c r="AP9" s="646" t="str">
        <f>'État des Résultats'!AP9</f>
        <v>Année</v>
      </c>
      <c r="AQ9" s="647"/>
    </row>
    <row r="10" spans="2:55" ht="15" thickTop="1" thickBot="1" x14ac:dyDescent="0.2">
      <c r="B10" s="449"/>
      <c r="C10" s="450"/>
      <c r="D10" s="330"/>
      <c r="E10" s="451"/>
      <c r="F10" s="452"/>
      <c r="G10" s="393"/>
      <c r="H10" s="451"/>
      <c r="I10" s="451"/>
      <c r="J10" s="393"/>
      <c r="K10" s="451"/>
      <c r="L10" s="451"/>
      <c r="M10" s="393"/>
      <c r="N10" s="451"/>
      <c r="O10" s="451"/>
      <c r="P10" s="451"/>
      <c r="Q10" s="451"/>
      <c r="R10" s="451"/>
      <c r="S10" s="451"/>
      <c r="T10" s="451"/>
      <c r="U10" s="451"/>
      <c r="V10" s="393"/>
      <c r="W10" s="451"/>
      <c r="X10" s="451"/>
      <c r="Y10" s="389"/>
      <c r="Z10" s="451"/>
      <c r="AA10" s="451"/>
      <c r="AB10" s="393"/>
      <c r="AC10" s="451"/>
      <c r="AD10" s="451"/>
      <c r="AE10" s="393"/>
      <c r="AF10" s="451"/>
      <c r="AG10" s="451"/>
      <c r="AH10" s="393"/>
      <c r="AI10" s="451"/>
      <c r="AJ10" s="451"/>
      <c r="AK10" s="393"/>
      <c r="AL10" s="451"/>
      <c r="AM10" s="451"/>
      <c r="AN10" s="393"/>
      <c r="AO10" s="393"/>
      <c r="AP10" s="453"/>
      <c r="AQ10" s="452"/>
    </row>
    <row r="11" spans="2:55" ht="14" thickTop="1" x14ac:dyDescent="0.15">
      <c r="B11" s="454">
        <v>6100</v>
      </c>
      <c r="C11" s="455" t="s">
        <v>199</v>
      </c>
      <c r="D11" s="214"/>
      <c r="E11" s="456"/>
      <c r="F11" s="457"/>
      <c r="G11" s="214"/>
      <c r="H11" s="456"/>
      <c r="I11" s="457"/>
      <c r="J11" s="214"/>
      <c r="K11" s="456"/>
      <c r="L11" s="457"/>
      <c r="M11" s="214"/>
      <c r="N11" s="456"/>
      <c r="O11" s="457"/>
      <c r="P11" s="214"/>
      <c r="Q11" s="456"/>
      <c r="R11" s="457"/>
      <c r="S11" s="214"/>
      <c r="T11" s="456"/>
      <c r="U11" s="457"/>
      <c r="V11" s="214"/>
      <c r="W11" s="456"/>
      <c r="X11" s="457"/>
      <c r="Y11" s="214"/>
      <c r="Z11" s="456"/>
      <c r="AA11" s="457"/>
      <c r="AB11" s="214"/>
      <c r="AC11" s="456"/>
      <c r="AD11" s="457"/>
      <c r="AE11" s="214"/>
      <c r="AF11" s="456"/>
      <c r="AG11" s="457"/>
      <c r="AH11" s="214"/>
      <c r="AI11" s="456"/>
      <c r="AJ11" s="457"/>
      <c r="AK11" s="214"/>
      <c r="AL11" s="456"/>
      <c r="AM11" s="457"/>
      <c r="AN11" s="214"/>
      <c r="AO11" s="214"/>
      <c r="AP11" s="458"/>
      <c r="AQ11" s="459"/>
    </row>
    <row r="12" spans="2:55" x14ac:dyDescent="0.15">
      <c r="B12" s="430"/>
      <c r="C12" s="429"/>
      <c r="D12" s="431"/>
      <c r="E12" s="460"/>
      <c r="F12" s="461"/>
      <c r="G12" s="431"/>
      <c r="H12" s="460"/>
      <c r="I12" s="461"/>
      <c r="J12" s="431"/>
      <c r="K12" s="460"/>
      <c r="L12" s="461"/>
      <c r="M12" s="431"/>
      <c r="N12" s="460"/>
      <c r="O12" s="461"/>
      <c r="P12" s="431"/>
      <c r="Q12" s="460"/>
      <c r="R12" s="461"/>
      <c r="S12" s="431"/>
      <c r="T12" s="460"/>
      <c r="U12" s="461"/>
      <c r="V12" s="431"/>
      <c r="W12" s="460"/>
      <c r="X12" s="461"/>
      <c r="Y12" s="431"/>
      <c r="Z12" s="460"/>
      <c r="AA12" s="461"/>
      <c r="AB12" s="431"/>
      <c r="AC12" s="460"/>
      <c r="AD12" s="461"/>
      <c r="AE12" s="431"/>
      <c r="AF12" s="460"/>
      <c r="AG12" s="461"/>
      <c r="AH12" s="431"/>
      <c r="AI12" s="460"/>
      <c r="AJ12" s="461"/>
      <c r="AK12" s="431"/>
      <c r="AL12" s="460"/>
      <c r="AM12" s="461"/>
      <c r="AN12" s="431"/>
      <c r="AO12" s="431"/>
      <c r="AP12" s="493"/>
      <c r="AQ12" s="494"/>
      <c r="AR12" s="210"/>
    </row>
    <row r="13" spans="2:55" x14ac:dyDescent="0.15">
      <c r="B13" s="191">
        <v>6110</v>
      </c>
      <c r="C13" s="394" t="s">
        <v>200</v>
      </c>
      <c r="E13" s="462">
        <f>'Salaire (planification)'!E12</f>
        <v>2000</v>
      </c>
      <c r="F13" s="491">
        <f>E13/'État des Résultats'!$E$14</f>
        <v>5.221230043479793E-2</v>
      </c>
      <c r="H13" s="462">
        <f>'Salaire (planification)'!H12</f>
        <v>2000</v>
      </c>
      <c r="I13" s="491">
        <f>H13/'État des Résultats'!$E$14</f>
        <v>5.221230043479793E-2</v>
      </c>
      <c r="K13" s="462">
        <f>'Salaire (planification)'!K12</f>
        <v>2000</v>
      </c>
      <c r="L13" s="491">
        <f>K13/'État des Résultats'!$E$14</f>
        <v>5.221230043479793E-2</v>
      </c>
      <c r="N13" s="462">
        <f>'Salaire (planification)'!N12</f>
        <v>2000</v>
      </c>
      <c r="O13" s="491">
        <f>N13/'État des Résultats'!$E$14</f>
        <v>5.221230043479793E-2</v>
      </c>
      <c r="Q13" s="462">
        <f>'Salaire (planification)'!Q12</f>
        <v>2000</v>
      </c>
      <c r="R13" s="491">
        <f>Q13/'État des Résultats'!$E$14</f>
        <v>5.221230043479793E-2</v>
      </c>
      <c r="T13" s="462">
        <f>'Salaire (planification)'!T12</f>
        <v>2000</v>
      </c>
      <c r="U13" s="491">
        <f>T13/'État des Résultats'!$E$14</f>
        <v>5.221230043479793E-2</v>
      </c>
      <c r="W13" s="462">
        <f>'Salaire (planification)'!W12</f>
        <v>2000</v>
      </c>
      <c r="X13" s="491">
        <f>W13/'État des Résultats'!$E$14</f>
        <v>5.221230043479793E-2</v>
      </c>
      <c r="Z13" s="462">
        <f>'Salaire (planification)'!Z12</f>
        <v>2000</v>
      </c>
      <c r="AA13" s="491">
        <f>Z13/'État des Résultats'!$E$14</f>
        <v>5.221230043479793E-2</v>
      </c>
      <c r="AC13" s="462">
        <f>'Salaire (planification)'!AC12</f>
        <v>2000</v>
      </c>
      <c r="AD13" s="491">
        <f>AC13/'État des Résultats'!$E$14</f>
        <v>5.221230043479793E-2</v>
      </c>
      <c r="AF13" s="462">
        <f>'Salaire (planification)'!AF12</f>
        <v>2000</v>
      </c>
      <c r="AG13" s="491">
        <f>AF13/'État des Résultats'!$E$14</f>
        <v>5.221230043479793E-2</v>
      </c>
      <c r="AI13" s="462">
        <f>'Salaire (planification)'!AI12</f>
        <v>2000</v>
      </c>
      <c r="AJ13" s="491">
        <f>AI13/'État des Résultats'!$E$14</f>
        <v>5.221230043479793E-2</v>
      </c>
      <c r="AL13" s="462">
        <f>'Salaire (planification)'!AL12</f>
        <v>2000</v>
      </c>
      <c r="AM13" s="491">
        <f>AL13/'État des Résultats'!$E$14</f>
        <v>5.221230043479793E-2</v>
      </c>
      <c r="AP13" s="485">
        <f t="shared" ref="AP13:AP23" si="1">SUM(+$AL13+$AI13+$AF13+$AC13+$Z13+$W13+$T13+$Q13+$N13+$K13+$H13+$E13)</f>
        <v>24000</v>
      </c>
      <c r="AQ13" s="496">
        <f>AP13/'État des Résultats'!$AP$14</f>
        <v>4.245459182895045E-2</v>
      </c>
    </row>
    <row r="14" spans="2:55" x14ac:dyDescent="0.15">
      <c r="B14" s="191">
        <v>6120</v>
      </c>
      <c r="C14" s="394" t="s">
        <v>201</v>
      </c>
      <c r="E14" s="463">
        <f>'Salaire (planification)'!E18</f>
        <v>3000</v>
      </c>
      <c r="F14" s="491">
        <f>E14/'État des Résultats'!$E$14</f>
        <v>7.8318450652196892E-2</v>
      </c>
      <c r="G14" s="464">
        <v>2.6770411418212836E-6</v>
      </c>
      <c r="H14" s="463">
        <f>'Salaire (planification)'!H18</f>
        <v>3000</v>
      </c>
      <c r="I14" s="491">
        <f>H14/'État des Résultats'!$E$14</f>
        <v>7.8318450652196892E-2</v>
      </c>
      <c r="K14" s="463">
        <f>'Salaire (planification)'!K18</f>
        <v>3000</v>
      </c>
      <c r="L14" s="491">
        <f>K14/'État des Résultats'!$E$14</f>
        <v>7.8318450652196892E-2</v>
      </c>
      <c r="N14" s="463">
        <f>'Salaire (planification)'!N18</f>
        <v>3000</v>
      </c>
      <c r="O14" s="491">
        <f>N14/'État des Résultats'!$E$14</f>
        <v>7.8318450652196892E-2</v>
      </c>
      <c r="Q14" s="463">
        <f>'Salaire (planification)'!Q18</f>
        <v>3000</v>
      </c>
      <c r="R14" s="491">
        <f>Q14/'État des Résultats'!$E$14</f>
        <v>7.8318450652196892E-2</v>
      </c>
      <c r="T14" s="463">
        <f>'Salaire (planification)'!T18</f>
        <v>3000</v>
      </c>
      <c r="U14" s="491">
        <f>T14/'État des Résultats'!$E$14</f>
        <v>7.8318450652196892E-2</v>
      </c>
      <c r="W14" s="463">
        <f>'Salaire (planification)'!W18</f>
        <v>3000</v>
      </c>
      <c r="X14" s="491">
        <f>W14/'État des Résultats'!$E$14</f>
        <v>7.8318450652196892E-2</v>
      </c>
      <c r="Z14" s="463">
        <f>'Salaire (planification)'!Z18</f>
        <v>3000</v>
      </c>
      <c r="AA14" s="491">
        <f>Z14/'État des Résultats'!$E$14</f>
        <v>7.8318450652196892E-2</v>
      </c>
      <c r="AC14" s="463">
        <f>'Salaire (planification)'!AC18</f>
        <v>3000</v>
      </c>
      <c r="AD14" s="491">
        <f>AC14/'État des Résultats'!$E$14</f>
        <v>7.8318450652196892E-2</v>
      </c>
      <c r="AF14" s="463">
        <f>'Salaire (planification)'!AF18</f>
        <v>3000</v>
      </c>
      <c r="AG14" s="491">
        <f>AF14/'État des Résultats'!$E$14</f>
        <v>7.8318450652196892E-2</v>
      </c>
      <c r="AI14" s="463">
        <f>'Salaire (planification)'!AI18</f>
        <v>3000</v>
      </c>
      <c r="AJ14" s="491">
        <f>AI14/'État des Résultats'!$E$14</f>
        <v>7.8318450652196892E-2</v>
      </c>
      <c r="AL14" s="463">
        <f>'Salaire (planification)'!AL18</f>
        <v>3000</v>
      </c>
      <c r="AM14" s="491">
        <f>AL14/'État des Résultats'!$E$14</f>
        <v>7.8318450652196892E-2</v>
      </c>
      <c r="AP14" s="485">
        <f t="shared" si="1"/>
        <v>36000</v>
      </c>
      <c r="AQ14" s="496">
        <f>AP14/'État des Résultats'!$AP$14</f>
        <v>6.3681887743425675E-2</v>
      </c>
    </row>
    <row r="15" spans="2:55" x14ac:dyDescent="0.15">
      <c r="B15" s="191">
        <v>6130</v>
      </c>
      <c r="C15" s="394" t="s">
        <v>202</v>
      </c>
      <c r="E15" s="463">
        <f>'Salaire (planification)'!E24</f>
        <v>1000</v>
      </c>
      <c r="F15" s="491">
        <f>E15/'État des Résultats'!$E$14</f>
        <v>2.6106150217398965E-2</v>
      </c>
      <c r="H15" s="463">
        <f>'Salaire (planification)'!H24</f>
        <v>1000</v>
      </c>
      <c r="I15" s="491">
        <f>H15/'État des Résultats'!$E$14</f>
        <v>2.6106150217398965E-2</v>
      </c>
      <c r="K15" s="463">
        <f>'Salaire (planification)'!K24</f>
        <v>1000</v>
      </c>
      <c r="L15" s="491">
        <f>K15/'État des Résultats'!$E$14</f>
        <v>2.6106150217398965E-2</v>
      </c>
      <c r="N15" s="463">
        <f>'Salaire (planification)'!N24</f>
        <v>1000</v>
      </c>
      <c r="O15" s="491">
        <f>N15/'État des Résultats'!$E$14</f>
        <v>2.6106150217398965E-2</v>
      </c>
      <c r="Q15" s="463">
        <f>'Salaire (planification)'!Q24</f>
        <v>1000</v>
      </c>
      <c r="R15" s="491">
        <f>Q15/'État des Résultats'!$E$14</f>
        <v>2.6106150217398965E-2</v>
      </c>
      <c r="T15" s="463">
        <f>'Salaire (planification)'!T24</f>
        <v>1000</v>
      </c>
      <c r="U15" s="491">
        <f>T15/'État des Résultats'!$E$14</f>
        <v>2.6106150217398965E-2</v>
      </c>
      <c r="W15" s="463">
        <f>'Salaire (planification)'!W24</f>
        <v>1000</v>
      </c>
      <c r="X15" s="491">
        <f>W15/'État des Résultats'!$E$14</f>
        <v>2.6106150217398965E-2</v>
      </c>
      <c r="Z15" s="463">
        <f>'Salaire (planification)'!Z24</f>
        <v>1000</v>
      </c>
      <c r="AA15" s="491">
        <f>Z15/'État des Résultats'!$E$14</f>
        <v>2.6106150217398965E-2</v>
      </c>
      <c r="AC15" s="463">
        <f>'Salaire (planification)'!AC24</f>
        <v>1000</v>
      </c>
      <c r="AD15" s="491">
        <f>AC15/'État des Résultats'!$E$14</f>
        <v>2.6106150217398965E-2</v>
      </c>
      <c r="AF15" s="463">
        <f>'Salaire (planification)'!AF24</f>
        <v>1000</v>
      </c>
      <c r="AG15" s="491">
        <f>AF15/'État des Résultats'!$E$14</f>
        <v>2.6106150217398965E-2</v>
      </c>
      <c r="AI15" s="463">
        <f>'Salaire (planification)'!AI24</f>
        <v>1000</v>
      </c>
      <c r="AJ15" s="491">
        <f>AI15/'État des Résultats'!$E$14</f>
        <v>2.6106150217398965E-2</v>
      </c>
      <c r="AL15" s="463">
        <f>'Salaire (planification)'!AL24</f>
        <v>1000</v>
      </c>
      <c r="AM15" s="491">
        <f>AL15/'État des Résultats'!$E$14</f>
        <v>2.6106150217398965E-2</v>
      </c>
      <c r="AP15" s="485">
        <f t="shared" si="1"/>
        <v>12000</v>
      </c>
      <c r="AQ15" s="496">
        <f>AP15/'État des Résultats'!$AP$14</f>
        <v>2.1227295914475225E-2</v>
      </c>
    </row>
    <row r="16" spans="2:55" x14ac:dyDescent="0.15">
      <c r="B16" s="191">
        <v>6140</v>
      </c>
      <c r="C16" s="394" t="s">
        <v>203</v>
      </c>
      <c r="E16" s="463">
        <f>'Salaire (planification)'!E30</f>
        <v>500</v>
      </c>
      <c r="F16" s="491">
        <f>E16/'État des Résultats'!$E$14</f>
        <v>1.3053075108699482E-2</v>
      </c>
      <c r="H16" s="463">
        <f>'Salaire (planification)'!H30</f>
        <v>500</v>
      </c>
      <c r="I16" s="491">
        <f>H16/'État des Résultats'!$E$14</f>
        <v>1.3053075108699482E-2</v>
      </c>
      <c r="K16" s="463">
        <f>'Salaire (planification)'!K30</f>
        <v>500</v>
      </c>
      <c r="L16" s="491">
        <f>K16/'État des Résultats'!$E$14</f>
        <v>1.3053075108699482E-2</v>
      </c>
      <c r="N16" s="463">
        <f>'Salaire (planification)'!N30</f>
        <v>500</v>
      </c>
      <c r="O16" s="491">
        <f>N16/'État des Résultats'!$E$14</f>
        <v>1.3053075108699482E-2</v>
      </c>
      <c r="Q16" s="463">
        <f>'Salaire (planification)'!Q30</f>
        <v>500</v>
      </c>
      <c r="R16" s="491">
        <f>Q16/'État des Résultats'!$E$14</f>
        <v>1.3053075108699482E-2</v>
      </c>
      <c r="T16" s="463">
        <f>'Salaire (planification)'!T30</f>
        <v>500</v>
      </c>
      <c r="U16" s="491">
        <f>T16/'État des Résultats'!$E$14</f>
        <v>1.3053075108699482E-2</v>
      </c>
      <c r="W16" s="463">
        <f>'Salaire (planification)'!W30</f>
        <v>500</v>
      </c>
      <c r="X16" s="491">
        <f>W16/'État des Résultats'!$E$14</f>
        <v>1.3053075108699482E-2</v>
      </c>
      <c r="Z16" s="463">
        <f>'Salaire (planification)'!Z30</f>
        <v>500</v>
      </c>
      <c r="AA16" s="491">
        <f>Z16/'État des Résultats'!$E$14</f>
        <v>1.3053075108699482E-2</v>
      </c>
      <c r="AC16" s="463">
        <f>'Salaire (planification)'!AC30</f>
        <v>500</v>
      </c>
      <c r="AD16" s="491">
        <f>AC16/'État des Résultats'!$E$14</f>
        <v>1.3053075108699482E-2</v>
      </c>
      <c r="AF16" s="463">
        <f>'Salaire (planification)'!AF30</f>
        <v>500</v>
      </c>
      <c r="AG16" s="491">
        <f>AF16/'État des Résultats'!$E$14</f>
        <v>1.3053075108699482E-2</v>
      </c>
      <c r="AI16" s="463">
        <f>'Salaire (planification)'!AI30</f>
        <v>500</v>
      </c>
      <c r="AJ16" s="491">
        <f>AI16/'État des Résultats'!$E$14</f>
        <v>1.3053075108699482E-2</v>
      </c>
      <c r="AL16" s="463">
        <f>'Salaire (planification)'!AL30</f>
        <v>500</v>
      </c>
      <c r="AM16" s="491">
        <f>AL16/'État des Résultats'!$E$14</f>
        <v>1.3053075108699482E-2</v>
      </c>
      <c r="AP16" s="485">
        <f t="shared" si="1"/>
        <v>6000</v>
      </c>
      <c r="AQ16" s="496">
        <f>AP16/'État des Résultats'!$AP$14</f>
        <v>1.0613647957237612E-2</v>
      </c>
    </row>
    <row r="17" spans="2:69" x14ac:dyDescent="0.15">
      <c r="B17" s="191">
        <v>6150</v>
      </c>
      <c r="C17" s="394" t="s">
        <v>204</v>
      </c>
      <c r="E17" s="463">
        <f>'Salaire (planification)'!E36</f>
        <v>500</v>
      </c>
      <c r="F17" s="491">
        <f>E17/'État des Résultats'!$E$14</f>
        <v>1.3053075108699482E-2</v>
      </c>
      <c r="H17" s="463">
        <f>'Salaire (planification)'!H36</f>
        <v>500</v>
      </c>
      <c r="I17" s="491">
        <f>H17/'État des Résultats'!$E$14</f>
        <v>1.3053075108699482E-2</v>
      </c>
      <c r="K17" s="463">
        <f>'Salaire (planification)'!K36</f>
        <v>500</v>
      </c>
      <c r="L17" s="491">
        <f>K17/'État des Résultats'!$E$14</f>
        <v>1.3053075108699482E-2</v>
      </c>
      <c r="N17" s="463">
        <f>'Salaire (planification)'!N36</f>
        <v>500</v>
      </c>
      <c r="O17" s="491">
        <f>N17/'État des Résultats'!$E$14</f>
        <v>1.3053075108699482E-2</v>
      </c>
      <c r="Q17" s="463">
        <f>'Salaire (planification)'!Q36</f>
        <v>500</v>
      </c>
      <c r="R17" s="491">
        <f>Q17/'État des Résultats'!$E$14</f>
        <v>1.3053075108699482E-2</v>
      </c>
      <c r="T17" s="463">
        <f>'Salaire (planification)'!T36</f>
        <v>500</v>
      </c>
      <c r="U17" s="491">
        <f>T17/'État des Résultats'!$E$14</f>
        <v>1.3053075108699482E-2</v>
      </c>
      <c r="W17" s="463">
        <f>'Salaire (planification)'!W36</f>
        <v>500</v>
      </c>
      <c r="X17" s="491">
        <f>W17/'État des Résultats'!$E$14</f>
        <v>1.3053075108699482E-2</v>
      </c>
      <c r="Z17" s="463">
        <f>'Salaire (planification)'!Z36</f>
        <v>500</v>
      </c>
      <c r="AA17" s="491">
        <f>Z17/'État des Résultats'!$E$14</f>
        <v>1.3053075108699482E-2</v>
      </c>
      <c r="AC17" s="463">
        <f>'Salaire (planification)'!AC36</f>
        <v>500</v>
      </c>
      <c r="AD17" s="491">
        <f>AC17/'État des Résultats'!$E$14</f>
        <v>1.3053075108699482E-2</v>
      </c>
      <c r="AF17" s="463">
        <f>'Salaire (planification)'!AF36</f>
        <v>500</v>
      </c>
      <c r="AG17" s="491">
        <f>AF17/'État des Résultats'!$E$14</f>
        <v>1.3053075108699482E-2</v>
      </c>
      <c r="AI17" s="463">
        <f>'Salaire (planification)'!AI36</f>
        <v>500</v>
      </c>
      <c r="AJ17" s="491">
        <f>AI17/'État des Résultats'!$E$14</f>
        <v>1.3053075108699482E-2</v>
      </c>
      <c r="AL17" s="463">
        <f>'Salaire (planification)'!AL36</f>
        <v>500</v>
      </c>
      <c r="AM17" s="491">
        <f>AL17/'État des Résultats'!$E$14</f>
        <v>1.3053075108699482E-2</v>
      </c>
      <c r="AP17" s="485">
        <f t="shared" si="1"/>
        <v>6000</v>
      </c>
      <c r="AQ17" s="496">
        <f>AP17/'État des Résultats'!$AP$14</f>
        <v>1.0613647957237612E-2</v>
      </c>
    </row>
    <row r="18" spans="2:69" x14ac:dyDescent="0.15">
      <c r="B18" s="191">
        <v>6160</v>
      </c>
      <c r="C18" s="394" t="s">
        <v>205</v>
      </c>
      <c r="E18" s="463">
        <f>'Salaire (planification)'!E42</f>
        <v>1500</v>
      </c>
      <c r="F18" s="491">
        <f>E18/'État des Résultats'!$E$14</f>
        <v>3.9159225326098446E-2</v>
      </c>
      <c r="H18" s="463">
        <f>'Salaire (planification)'!H42</f>
        <v>1500</v>
      </c>
      <c r="I18" s="491">
        <f>H18/'État des Résultats'!$E$14</f>
        <v>3.9159225326098446E-2</v>
      </c>
      <c r="K18" s="463">
        <f>'Salaire (planification)'!K42</f>
        <v>1500</v>
      </c>
      <c r="L18" s="491">
        <f>K18/'État des Résultats'!$E$14</f>
        <v>3.9159225326098446E-2</v>
      </c>
      <c r="N18" s="463">
        <f>'Salaire (planification)'!N42</f>
        <v>1500</v>
      </c>
      <c r="O18" s="491">
        <f>N18/'État des Résultats'!$E$14</f>
        <v>3.9159225326098446E-2</v>
      </c>
      <c r="Q18" s="463">
        <f>'Salaire (planification)'!Q42</f>
        <v>1500</v>
      </c>
      <c r="R18" s="491">
        <f>Q18/'État des Résultats'!$E$14</f>
        <v>3.9159225326098446E-2</v>
      </c>
      <c r="T18" s="463">
        <f>'Salaire (planification)'!T42</f>
        <v>1500</v>
      </c>
      <c r="U18" s="491">
        <f>T18/'État des Résultats'!$E$14</f>
        <v>3.9159225326098446E-2</v>
      </c>
      <c r="W18" s="463">
        <f>'Salaire (planification)'!W42</f>
        <v>1500</v>
      </c>
      <c r="X18" s="491">
        <f>W18/'État des Résultats'!$E$14</f>
        <v>3.9159225326098446E-2</v>
      </c>
      <c r="Z18" s="463">
        <f>'Salaire (planification)'!Z42</f>
        <v>1500</v>
      </c>
      <c r="AA18" s="491">
        <f>Z18/'État des Résultats'!$E$14</f>
        <v>3.9159225326098446E-2</v>
      </c>
      <c r="AC18" s="463">
        <f>'Salaire (planification)'!AC42</f>
        <v>1500</v>
      </c>
      <c r="AD18" s="491">
        <f>AC18/'État des Résultats'!$E$14</f>
        <v>3.9159225326098446E-2</v>
      </c>
      <c r="AF18" s="463">
        <f>'Salaire (planification)'!AF42</f>
        <v>1500</v>
      </c>
      <c r="AG18" s="491">
        <f>AF18/'État des Résultats'!$E$14</f>
        <v>3.9159225326098446E-2</v>
      </c>
      <c r="AI18" s="463">
        <f>'Salaire (planification)'!AI42</f>
        <v>1500</v>
      </c>
      <c r="AJ18" s="491">
        <f>AI18/'État des Résultats'!$E$14</f>
        <v>3.9159225326098446E-2</v>
      </c>
      <c r="AL18" s="463">
        <f>'Salaire (planification)'!AL42</f>
        <v>1500</v>
      </c>
      <c r="AM18" s="491">
        <f>AL18/'État des Résultats'!$E$14</f>
        <v>3.9159225326098446E-2</v>
      </c>
      <c r="AP18" s="485">
        <f t="shared" si="1"/>
        <v>18000</v>
      </c>
      <c r="AQ18" s="496">
        <f>AP18/'État des Résultats'!$AP$14</f>
        <v>3.1840943871712837E-2</v>
      </c>
    </row>
    <row r="19" spans="2:69" x14ac:dyDescent="0.15">
      <c r="B19" s="191">
        <v>6170</v>
      </c>
      <c r="C19" s="394" t="s">
        <v>206</v>
      </c>
      <c r="E19" s="463">
        <f>'Salaire (planification)'!E48</f>
        <v>1023</v>
      </c>
      <c r="F19" s="491">
        <f>E19/'État des Résultats'!$E$14</f>
        <v>2.6706591672399142E-2</v>
      </c>
      <c r="H19" s="463">
        <f>'Salaire (planification)'!H48</f>
        <v>924</v>
      </c>
      <c r="I19" s="491">
        <f>H19/'État des Résultats'!$E$14</f>
        <v>2.4122082800876642E-2</v>
      </c>
      <c r="K19" s="463">
        <f>'Salaire (planification)'!K48</f>
        <v>1000</v>
      </c>
      <c r="L19" s="491">
        <f>K19/'État des Résultats'!$E$14</f>
        <v>2.6106150217398965E-2</v>
      </c>
      <c r="N19" s="463">
        <f>'Salaire (planification)'!N48</f>
        <v>1000</v>
      </c>
      <c r="O19" s="491">
        <f>N19/'État des Résultats'!$E$14</f>
        <v>2.6106150217398965E-2</v>
      </c>
      <c r="Q19" s="463">
        <f>'Salaire (planification)'!Q48</f>
        <v>1000</v>
      </c>
      <c r="R19" s="491">
        <f>Q19/'État des Résultats'!$E$14</f>
        <v>2.6106150217398965E-2</v>
      </c>
      <c r="T19" s="463">
        <f>'Salaire (planification)'!T48</f>
        <v>1000</v>
      </c>
      <c r="U19" s="491">
        <f>T19/'État des Résultats'!$E$14</f>
        <v>2.6106150217398965E-2</v>
      </c>
      <c r="W19" s="463">
        <f>'Salaire (planification)'!W48</f>
        <v>1000</v>
      </c>
      <c r="X19" s="491">
        <f>W19/'État des Résultats'!$E$14</f>
        <v>2.6106150217398965E-2</v>
      </c>
      <c r="Z19" s="463">
        <f>'Salaire (planification)'!Z48</f>
        <v>1000</v>
      </c>
      <c r="AA19" s="491">
        <f>Z19/'État des Résultats'!$E$14</f>
        <v>2.6106150217398965E-2</v>
      </c>
      <c r="AC19" s="463">
        <f>'Salaire (planification)'!AC48</f>
        <v>1000</v>
      </c>
      <c r="AD19" s="491">
        <f>AC19/'État des Résultats'!$E$14</f>
        <v>2.6106150217398965E-2</v>
      </c>
      <c r="AF19" s="463">
        <f>'Salaire (planification)'!AF48</f>
        <v>1000</v>
      </c>
      <c r="AG19" s="491">
        <f>AF19/'État des Résultats'!$E$14</f>
        <v>2.6106150217398965E-2</v>
      </c>
      <c r="AI19" s="463">
        <f>'Salaire (planification)'!AI48</f>
        <v>1000</v>
      </c>
      <c r="AJ19" s="491">
        <f>AI19/'État des Résultats'!$E$14</f>
        <v>2.6106150217398965E-2</v>
      </c>
      <c r="AL19" s="463">
        <f>'Salaire (planification)'!AL48</f>
        <v>1000</v>
      </c>
      <c r="AM19" s="491">
        <f>AL19/'État des Résultats'!$E$14</f>
        <v>2.6106150217398965E-2</v>
      </c>
      <c r="AP19" s="485">
        <f t="shared" si="1"/>
        <v>11947</v>
      </c>
      <c r="AQ19" s="496">
        <f>AP19/'État des Résultats'!$AP$14</f>
        <v>2.1133542024186294E-2</v>
      </c>
    </row>
    <row r="20" spans="2:69" x14ac:dyDescent="0.15">
      <c r="B20" s="191">
        <v>6180</v>
      </c>
      <c r="C20" s="394" t="s">
        <v>207</v>
      </c>
      <c r="E20" s="463">
        <f>'Salaire (planification)'!E54</f>
        <v>500</v>
      </c>
      <c r="F20" s="491">
        <f>E20/'État des Résultats'!$E$14</f>
        <v>1.3053075108699482E-2</v>
      </c>
      <c r="H20" s="463">
        <f>'Salaire (planification)'!H54</f>
        <v>5000</v>
      </c>
      <c r="I20" s="491">
        <f>H20/'État des Résultats'!$E$14</f>
        <v>0.13053075108699483</v>
      </c>
      <c r="K20" s="463">
        <f>'Salaire (planification)'!K54</f>
        <v>500</v>
      </c>
      <c r="L20" s="491">
        <f>K20/'État des Résultats'!$E$14</f>
        <v>1.3053075108699482E-2</v>
      </c>
      <c r="N20" s="463">
        <f>'Salaire (planification)'!N54</f>
        <v>500</v>
      </c>
      <c r="O20" s="491">
        <f>N20/'État des Résultats'!$E$14</f>
        <v>1.3053075108699482E-2</v>
      </c>
      <c r="Q20" s="463">
        <f>'Salaire (planification)'!Q54</f>
        <v>500</v>
      </c>
      <c r="R20" s="491">
        <f>Q20/'État des Résultats'!$E$14</f>
        <v>1.3053075108699482E-2</v>
      </c>
      <c r="T20" s="463">
        <f>'Salaire (planification)'!T54</f>
        <v>500</v>
      </c>
      <c r="U20" s="491">
        <f>T20/'État des Résultats'!$E$14</f>
        <v>1.3053075108699482E-2</v>
      </c>
      <c r="W20" s="463">
        <f>'Salaire (planification)'!W54</f>
        <v>500</v>
      </c>
      <c r="X20" s="491">
        <f>W20/'État des Résultats'!$E$14</f>
        <v>1.3053075108699482E-2</v>
      </c>
      <c r="Z20" s="463">
        <f>'Salaire (planification)'!Z54</f>
        <v>500</v>
      </c>
      <c r="AA20" s="491">
        <f>Z20/'État des Résultats'!$E$14</f>
        <v>1.3053075108699482E-2</v>
      </c>
      <c r="AC20" s="463">
        <f>'Salaire (planification)'!AC54</f>
        <v>500</v>
      </c>
      <c r="AD20" s="491">
        <f>AC20/'État des Résultats'!$E$14</f>
        <v>1.3053075108699482E-2</v>
      </c>
      <c r="AF20" s="463">
        <f>'Salaire (planification)'!AF54</f>
        <v>500</v>
      </c>
      <c r="AG20" s="491">
        <f>AF20/'État des Résultats'!$E$14</f>
        <v>1.3053075108699482E-2</v>
      </c>
      <c r="AI20" s="463">
        <f>'Salaire (planification)'!AI54</f>
        <v>500</v>
      </c>
      <c r="AJ20" s="491">
        <f>AI20/'État des Résultats'!$E$14</f>
        <v>1.3053075108699482E-2</v>
      </c>
      <c r="AL20" s="463">
        <f>'Salaire (planification)'!AL54</f>
        <v>500</v>
      </c>
      <c r="AM20" s="491">
        <f>AL20/'État des Résultats'!$E$14</f>
        <v>1.3053075108699482E-2</v>
      </c>
      <c r="AP20" s="485">
        <f t="shared" si="1"/>
        <v>10500</v>
      </c>
      <c r="AQ20" s="496">
        <f>AP20/'État des Résultats'!$AP$14</f>
        <v>1.8573883925165822E-2</v>
      </c>
    </row>
    <row r="21" spans="2:69" x14ac:dyDescent="0.15">
      <c r="B21" s="191">
        <v>6190</v>
      </c>
      <c r="C21" s="394" t="s">
        <v>208</v>
      </c>
      <c r="E21" s="463">
        <f>'Salaire (planification)'!E60</f>
        <v>500</v>
      </c>
      <c r="F21" s="491">
        <f>E21/'État des Résultats'!$E$14</f>
        <v>1.3053075108699482E-2</v>
      </c>
      <c r="H21" s="463">
        <f>'Salaire (planification)'!H60</f>
        <v>500</v>
      </c>
      <c r="I21" s="491">
        <f>H21/'État des Résultats'!$E$14</f>
        <v>1.3053075108699482E-2</v>
      </c>
      <c r="K21" s="463">
        <f>'Salaire (planification)'!K60</f>
        <v>500</v>
      </c>
      <c r="L21" s="491">
        <f>K21/'État des Résultats'!$E$14</f>
        <v>1.3053075108699482E-2</v>
      </c>
      <c r="N21" s="463">
        <f>'Salaire (planification)'!N60</f>
        <v>500</v>
      </c>
      <c r="O21" s="491">
        <f>N21/'État des Résultats'!$E$14</f>
        <v>1.3053075108699482E-2</v>
      </c>
      <c r="Q21" s="463">
        <f>'Salaire (planification)'!Q60</f>
        <v>500</v>
      </c>
      <c r="R21" s="491">
        <f>Q21/'État des Résultats'!$E$14</f>
        <v>1.3053075108699482E-2</v>
      </c>
      <c r="T21" s="463">
        <f>'Salaire (planification)'!T60</f>
        <v>500</v>
      </c>
      <c r="U21" s="491">
        <f>T21/'État des Résultats'!$E$14</f>
        <v>1.3053075108699482E-2</v>
      </c>
      <c r="W21" s="463">
        <f>'Salaire (planification)'!W60</f>
        <v>500</v>
      </c>
      <c r="X21" s="491">
        <f>W21/'État des Résultats'!$E$14</f>
        <v>1.3053075108699482E-2</v>
      </c>
      <c r="Z21" s="463">
        <f>'Salaire (planification)'!Z60</f>
        <v>500</v>
      </c>
      <c r="AA21" s="491">
        <f>Z21/'État des Résultats'!$E$14</f>
        <v>1.3053075108699482E-2</v>
      </c>
      <c r="AC21" s="463">
        <f>'Salaire (planification)'!AC60</f>
        <v>500</v>
      </c>
      <c r="AD21" s="491">
        <f>AC21/'État des Résultats'!$E$14</f>
        <v>1.3053075108699482E-2</v>
      </c>
      <c r="AF21" s="463">
        <f>'Salaire (planification)'!AF60</f>
        <v>500</v>
      </c>
      <c r="AG21" s="491">
        <f>AF21/'État des Résultats'!$E$14</f>
        <v>1.3053075108699482E-2</v>
      </c>
      <c r="AI21" s="463">
        <f>'Salaire (planification)'!AI60</f>
        <v>500</v>
      </c>
      <c r="AJ21" s="491">
        <f>AI21/'État des Résultats'!$E$14</f>
        <v>1.3053075108699482E-2</v>
      </c>
      <c r="AL21" s="463">
        <f>'Salaire (planification)'!AL60</f>
        <v>500</v>
      </c>
      <c r="AM21" s="491">
        <f>AL21/'État des Résultats'!$E$14</f>
        <v>1.3053075108699482E-2</v>
      </c>
      <c r="AP21" s="485">
        <f t="shared" si="1"/>
        <v>6000</v>
      </c>
      <c r="AQ21" s="496">
        <f>AP21/'État des Résultats'!$AP$14</f>
        <v>1.0613647957237612E-2</v>
      </c>
    </row>
    <row r="22" spans="2:69" x14ac:dyDescent="0.15">
      <c r="B22" s="191"/>
      <c r="C22" s="394"/>
      <c r="E22" s="465"/>
      <c r="F22" s="491"/>
      <c r="H22" s="465"/>
      <c r="I22" s="491"/>
      <c r="K22" s="465"/>
      <c r="L22" s="491"/>
      <c r="N22" s="465"/>
      <c r="O22" s="491"/>
      <c r="Q22" s="465"/>
      <c r="R22" s="491"/>
      <c r="T22" s="465"/>
      <c r="U22" s="491"/>
      <c r="W22" s="465"/>
      <c r="X22" s="491"/>
      <c r="Z22" s="465"/>
      <c r="AA22" s="491"/>
      <c r="AC22" s="465"/>
      <c r="AD22" s="491"/>
      <c r="AF22" s="465"/>
      <c r="AG22" s="491"/>
      <c r="AI22" s="465"/>
      <c r="AJ22" s="491"/>
      <c r="AL22" s="465"/>
      <c r="AM22" s="491"/>
      <c r="AP22" s="485"/>
      <c r="AQ22" s="496"/>
    </row>
    <row r="23" spans="2:69" ht="14" thickBot="1" x14ac:dyDescent="0.2">
      <c r="B23" s="466"/>
      <c r="C23" s="467" t="s">
        <v>209</v>
      </c>
      <c r="D23" s="214"/>
      <c r="E23" s="468">
        <f>SUM(E13:E21)</f>
        <v>10523</v>
      </c>
      <c r="F23" s="492">
        <f>+SUM(F13:F21)</f>
        <v>0.27471501873768928</v>
      </c>
      <c r="G23" s="214"/>
      <c r="H23" s="468">
        <f>SUM(H13:H21)</f>
        <v>14924</v>
      </c>
      <c r="I23" s="492">
        <f>+SUM(I13:I21)</f>
        <v>0.38960818584446211</v>
      </c>
      <c r="J23" s="214"/>
      <c r="K23" s="468">
        <f>SUM(K13:K21)</f>
        <v>10500</v>
      </c>
      <c r="L23" s="492">
        <f>+SUM(L13:L21)</f>
        <v>0.27411457728268912</v>
      </c>
      <c r="M23" s="214"/>
      <c r="N23" s="468">
        <f>SUM(N13:N21)</f>
        <v>10500</v>
      </c>
      <c r="O23" s="492">
        <f>+SUM(O13:O21)</f>
        <v>0.27411457728268912</v>
      </c>
      <c r="P23" s="214"/>
      <c r="Q23" s="468">
        <f>SUM(Q13:Q21)</f>
        <v>10500</v>
      </c>
      <c r="R23" s="492">
        <f>+SUM(R13:R21)</f>
        <v>0.27411457728268912</v>
      </c>
      <c r="S23" s="214"/>
      <c r="T23" s="468">
        <f>SUM(T13:T21)</f>
        <v>10500</v>
      </c>
      <c r="U23" s="492">
        <f>+SUM(U13:U21)</f>
        <v>0.27411457728268912</v>
      </c>
      <c r="V23" s="214"/>
      <c r="W23" s="468">
        <f>SUM(W13:W21)</f>
        <v>10500</v>
      </c>
      <c r="X23" s="492">
        <f>+SUM(X13:X21)</f>
        <v>0.27411457728268912</v>
      </c>
      <c r="Y23" s="214"/>
      <c r="Z23" s="468">
        <f>SUM(Z13:Z21)</f>
        <v>10500</v>
      </c>
      <c r="AA23" s="492">
        <f>+SUM(AA13:AA21)</f>
        <v>0.27411457728268912</v>
      </c>
      <c r="AB23" s="214"/>
      <c r="AC23" s="468">
        <f>SUM(AC13:AC21)</f>
        <v>10500</v>
      </c>
      <c r="AD23" s="492">
        <f>+SUM(AD13:AD21)</f>
        <v>0.27411457728268912</v>
      </c>
      <c r="AE23" s="214"/>
      <c r="AF23" s="468">
        <f>SUM(AF13:AF21)</f>
        <v>10500</v>
      </c>
      <c r="AG23" s="492">
        <f>+SUM(AG13:AG21)</f>
        <v>0.27411457728268912</v>
      </c>
      <c r="AH23" s="214"/>
      <c r="AI23" s="468">
        <f>SUM(AI13:AI21)</f>
        <v>10500</v>
      </c>
      <c r="AJ23" s="492">
        <f>+SUM(AJ13:AJ21)</f>
        <v>0.27411457728268912</v>
      </c>
      <c r="AK23" s="214"/>
      <c r="AL23" s="468">
        <f>SUM(AL13:AL21)</f>
        <v>10500</v>
      </c>
      <c r="AM23" s="492">
        <f>+SUM(AM13:AM21)</f>
        <v>0.27411457728268912</v>
      </c>
      <c r="AN23" s="214"/>
      <c r="AO23" s="214"/>
      <c r="AP23" s="469">
        <f t="shared" si="1"/>
        <v>130447</v>
      </c>
      <c r="AQ23" s="492">
        <f>+SUM(AQ13:AQ21)</f>
        <v>0.23075308917962917</v>
      </c>
      <c r="AR23" s="252"/>
    </row>
    <row r="24" spans="2:69" ht="15" thickTop="1" thickBot="1" x14ac:dyDescent="0.2">
      <c r="B24" s="504"/>
      <c r="C24" s="504"/>
      <c r="D24" s="504"/>
      <c r="E24" s="559"/>
      <c r="F24" s="560"/>
      <c r="G24" s="504"/>
      <c r="H24" s="559"/>
      <c r="I24" s="560"/>
      <c r="J24" s="504"/>
      <c r="K24" s="559"/>
      <c r="L24" s="560"/>
      <c r="M24" s="504"/>
      <c r="N24" s="559"/>
      <c r="O24" s="560"/>
      <c r="P24" s="504"/>
      <c r="Q24" s="559"/>
      <c r="R24" s="560"/>
      <c r="S24" s="504"/>
      <c r="T24" s="559"/>
      <c r="U24" s="560"/>
      <c r="V24" s="504"/>
      <c r="W24" s="559"/>
      <c r="X24" s="560"/>
      <c r="Y24" s="504"/>
      <c r="Z24" s="559"/>
      <c r="AA24" s="560"/>
      <c r="AB24" s="504"/>
      <c r="AC24" s="559"/>
      <c r="AD24" s="560"/>
      <c r="AE24" s="504"/>
      <c r="AF24" s="559"/>
      <c r="AG24" s="560"/>
      <c r="AH24" s="504"/>
      <c r="AI24" s="559"/>
      <c r="AJ24" s="560"/>
      <c r="AK24" s="504"/>
      <c r="AL24" s="559"/>
      <c r="AM24" s="560"/>
      <c r="AN24" s="504"/>
      <c r="AO24" s="504"/>
      <c r="AP24" s="514"/>
      <c r="AQ24" s="561"/>
    </row>
    <row r="25" spans="2:69" x14ac:dyDescent="0.15">
      <c r="B25" s="454">
        <v>6200</v>
      </c>
      <c r="C25" s="455" t="s">
        <v>210</v>
      </c>
      <c r="D25" s="214"/>
      <c r="E25" s="470"/>
      <c r="F25" s="471"/>
      <c r="G25" s="214"/>
      <c r="H25" s="470"/>
      <c r="I25" s="471"/>
      <c r="J25" s="214"/>
      <c r="K25" s="470"/>
      <c r="L25" s="471"/>
      <c r="M25" s="214"/>
      <c r="N25" s="470"/>
      <c r="O25" s="471"/>
      <c r="P25" s="214"/>
      <c r="Q25" s="470"/>
      <c r="R25" s="471"/>
      <c r="S25" s="214"/>
      <c r="T25" s="470"/>
      <c r="U25" s="471"/>
      <c r="V25" s="214"/>
      <c r="W25" s="470"/>
      <c r="X25" s="471"/>
      <c r="Y25" s="214"/>
      <c r="Z25" s="470"/>
      <c r="AA25" s="471"/>
      <c r="AB25" s="214"/>
      <c r="AC25" s="470"/>
      <c r="AD25" s="471"/>
      <c r="AE25" s="214"/>
      <c r="AF25" s="470"/>
      <c r="AG25" s="471"/>
      <c r="AH25" s="214"/>
      <c r="AI25" s="470"/>
      <c r="AJ25" s="471"/>
      <c r="AK25" s="214"/>
      <c r="AL25" s="470"/>
      <c r="AM25" s="471"/>
      <c r="AN25" s="214"/>
      <c r="AO25" s="214"/>
      <c r="AP25" s="472"/>
      <c r="AQ25" s="497"/>
      <c r="AR25" s="214"/>
      <c r="AS25" s="214"/>
      <c r="AT25" s="211"/>
      <c r="AU25" s="211"/>
      <c r="AV25" s="211"/>
      <c r="AW25" s="211"/>
      <c r="AX25" s="211"/>
      <c r="AY25" s="211"/>
      <c r="AZ25" s="211"/>
      <c r="BA25" s="211"/>
      <c r="BB25" s="211"/>
      <c r="BC25" s="211"/>
      <c r="BD25" s="211"/>
      <c r="BE25" s="211"/>
      <c r="BF25" s="211"/>
      <c r="BG25" s="211"/>
      <c r="BH25" s="211"/>
    </row>
    <row r="26" spans="2:69" x14ac:dyDescent="0.15">
      <c r="B26" s="430"/>
      <c r="C26" s="429"/>
      <c r="D26" s="431"/>
      <c r="E26" s="473"/>
      <c r="F26" s="474"/>
      <c r="G26" s="431"/>
      <c r="H26" s="473"/>
      <c r="I26" s="474"/>
      <c r="J26" s="431"/>
      <c r="K26" s="473"/>
      <c r="L26" s="474"/>
      <c r="M26" s="431"/>
      <c r="N26" s="473"/>
      <c r="O26" s="474"/>
      <c r="P26" s="431"/>
      <c r="Q26" s="473"/>
      <c r="R26" s="474"/>
      <c r="S26" s="431"/>
      <c r="T26" s="473"/>
      <c r="U26" s="474"/>
      <c r="V26" s="431"/>
      <c r="W26" s="473"/>
      <c r="X26" s="474"/>
      <c r="Y26" s="431"/>
      <c r="Z26" s="473"/>
      <c r="AA26" s="474"/>
      <c r="AB26" s="431"/>
      <c r="AC26" s="473"/>
      <c r="AD26" s="474"/>
      <c r="AE26" s="431"/>
      <c r="AF26" s="473"/>
      <c r="AG26" s="474"/>
      <c r="AH26" s="431"/>
      <c r="AI26" s="473"/>
      <c r="AJ26" s="474"/>
      <c r="AK26" s="431"/>
      <c r="AL26" s="473"/>
      <c r="AM26" s="474"/>
      <c r="AN26" s="431"/>
      <c r="AO26" s="431"/>
      <c r="AP26" s="495"/>
      <c r="AQ26" s="498"/>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4" t="s">
        <v>211</v>
      </c>
      <c r="E27" s="475">
        <f>'Salaire (planification)'!E67</f>
        <v>1262.76</v>
      </c>
      <c r="F27" s="491">
        <f>E27/'État des Résultats'!$E$14</f>
        <v>3.2965802248522719E-2</v>
      </c>
      <c r="H27" s="475">
        <f>'Salaire (planification)'!H67</f>
        <v>1790.88</v>
      </c>
      <c r="I27" s="491">
        <f>H27/'État des Résultats'!$E$14</f>
        <v>4.6752982301335462E-2</v>
      </c>
      <c r="K27" s="475">
        <f>'Salaire (planification)'!K67</f>
        <v>1260</v>
      </c>
      <c r="L27" s="491">
        <f>K27/'État des Résultats'!$E$14</f>
        <v>3.2893749273922697E-2</v>
      </c>
      <c r="N27" s="475">
        <f>'Salaire (planification)'!N67</f>
        <v>1260</v>
      </c>
      <c r="O27" s="491">
        <f>N27/'État des Résultats'!$E$14</f>
        <v>3.2893749273922697E-2</v>
      </c>
      <c r="Q27" s="475">
        <f>'Salaire (planification)'!Q67</f>
        <v>1260</v>
      </c>
      <c r="R27" s="491">
        <f>Q27/'État des Résultats'!$E$14</f>
        <v>3.2893749273922697E-2</v>
      </c>
      <c r="T27" s="475">
        <f>'Salaire (planification)'!T67</f>
        <v>1260</v>
      </c>
      <c r="U27" s="491">
        <f>T27/'État des Résultats'!$E$14</f>
        <v>3.2893749273922697E-2</v>
      </c>
      <c r="W27" s="475">
        <f>'Salaire (planification)'!W67</f>
        <v>1260</v>
      </c>
      <c r="X27" s="491">
        <f>W27/'État des Résultats'!$E$14</f>
        <v>3.2893749273922697E-2</v>
      </c>
      <c r="Z27" s="475">
        <f>'Salaire (planification)'!Z67</f>
        <v>1260</v>
      </c>
      <c r="AA27" s="491">
        <f>Z27/'État des Résultats'!$E$14</f>
        <v>3.2893749273922697E-2</v>
      </c>
      <c r="AC27" s="475">
        <f>'Salaire (planification)'!AC67</f>
        <v>1260</v>
      </c>
      <c r="AD27" s="491">
        <f>AC27/'État des Résultats'!$E$14</f>
        <v>3.2893749273922697E-2</v>
      </c>
      <c r="AF27" s="475">
        <f>'Salaire (planification)'!AF67</f>
        <v>1260</v>
      </c>
      <c r="AG27" s="491">
        <f>AF27/'État des Résultats'!$E$14</f>
        <v>3.2893749273922697E-2</v>
      </c>
      <c r="AI27" s="475">
        <f>'Salaire (planification)'!AI67</f>
        <v>1260</v>
      </c>
      <c r="AJ27" s="491">
        <f>AI27/'État des Résultats'!$E$14</f>
        <v>3.2893749273922697E-2</v>
      </c>
      <c r="AL27" s="475">
        <f>'Salaire (planification)'!AL67</f>
        <v>1260</v>
      </c>
      <c r="AM27" s="491">
        <f>AL27/'État des Résultats'!$E$14</f>
        <v>3.2893749273922697E-2</v>
      </c>
      <c r="AP27" s="485">
        <f t="shared" ref="AP27:AP35" si="2">SUM(+$AL27+$AI27+$AF27+$AC27+$Z27+$W27+$T27+$Q27+$N27+$K27+$H27+$E27)</f>
        <v>15653.640000000001</v>
      </c>
      <c r="AQ27" s="496">
        <f>+AP27/'État des Résultats'!$AP$14</f>
        <v>2.76903707015555E-2</v>
      </c>
    </row>
    <row r="28" spans="2:69" x14ac:dyDescent="0.15">
      <c r="B28" s="191">
        <v>6220</v>
      </c>
      <c r="C28" s="394" t="s">
        <v>229</v>
      </c>
      <c r="E28" s="691">
        <v>0</v>
      </c>
      <c r="F28" s="491">
        <f>E28/'État des Résultats'!$E$14</f>
        <v>0</v>
      </c>
      <c r="H28" s="691">
        <v>0</v>
      </c>
      <c r="I28" s="491">
        <f>H28/'État des Résultats'!$E$14</f>
        <v>0</v>
      </c>
      <c r="K28" s="691">
        <v>0</v>
      </c>
      <c r="L28" s="491">
        <f>K28/'État des Résultats'!$E$14</f>
        <v>0</v>
      </c>
      <c r="N28" s="691">
        <v>0</v>
      </c>
      <c r="O28" s="491">
        <f>N28/'État des Résultats'!$E$14</f>
        <v>0</v>
      </c>
      <c r="Q28" s="691">
        <v>0</v>
      </c>
      <c r="R28" s="491">
        <f>Q28/'État des Résultats'!$E$14</f>
        <v>0</v>
      </c>
      <c r="T28" s="691">
        <v>0</v>
      </c>
      <c r="U28" s="491">
        <f>T28/'État des Résultats'!$E$14</f>
        <v>0</v>
      </c>
      <c r="W28" s="691">
        <v>0</v>
      </c>
      <c r="X28" s="491">
        <f>W28/'État des Résultats'!$E$14</f>
        <v>0</v>
      </c>
      <c r="Z28" s="691">
        <v>0</v>
      </c>
      <c r="AA28" s="491">
        <f>Z28/'État des Résultats'!$E$14</f>
        <v>0</v>
      </c>
      <c r="AC28" s="691">
        <v>0</v>
      </c>
      <c r="AD28" s="491">
        <f>AC28/'État des Résultats'!$E$14</f>
        <v>0</v>
      </c>
      <c r="AF28" s="691">
        <v>0</v>
      </c>
      <c r="AG28" s="491">
        <f>AF28/'État des Résultats'!$E$14</f>
        <v>0</v>
      </c>
      <c r="AI28" s="691">
        <v>0</v>
      </c>
      <c r="AJ28" s="491">
        <f>AI28/'État des Résultats'!$E$14</f>
        <v>0</v>
      </c>
      <c r="AL28" s="691">
        <v>0</v>
      </c>
      <c r="AM28" s="491">
        <f>AL28/'État des Résultats'!$E$14</f>
        <v>0</v>
      </c>
      <c r="AP28" s="485">
        <f t="shared" si="2"/>
        <v>0</v>
      </c>
      <c r="AQ28" s="496">
        <f>+AP28/'État des Résultats'!$AP$14</f>
        <v>0</v>
      </c>
    </row>
    <row r="29" spans="2:69" x14ac:dyDescent="0.15">
      <c r="B29" s="191">
        <v>6230</v>
      </c>
      <c r="C29" s="394" t="s">
        <v>212</v>
      </c>
      <c r="E29" s="692">
        <v>0</v>
      </c>
      <c r="F29" s="491">
        <f>E29/'État des Résultats'!$E$14</f>
        <v>0</v>
      </c>
      <c r="H29" s="692">
        <v>0</v>
      </c>
      <c r="I29" s="491">
        <f>H29/'État des Résultats'!$E$14</f>
        <v>0</v>
      </c>
      <c r="K29" s="692">
        <v>0</v>
      </c>
      <c r="L29" s="491">
        <f>K29/'État des Résultats'!$E$14</f>
        <v>0</v>
      </c>
      <c r="N29" s="692">
        <v>0</v>
      </c>
      <c r="O29" s="491">
        <f>N29/'État des Résultats'!$E$14</f>
        <v>0</v>
      </c>
      <c r="Q29" s="692">
        <v>0</v>
      </c>
      <c r="R29" s="491">
        <f>Q29/'État des Résultats'!$E$14</f>
        <v>0</v>
      </c>
      <c r="T29" s="692">
        <v>0</v>
      </c>
      <c r="U29" s="491">
        <f>T29/'État des Résultats'!$E$14</f>
        <v>0</v>
      </c>
      <c r="W29" s="692">
        <v>0</v>
      </c>
      <c r="X29" s="491">
        <f>W29/'État des Résultats'!$E$14</f>
        <v>0</v>
      </c>
      <c r="Z29" s="692">
        <v>0</v>
      </c>
      <c r="AA29" s="491">
        <f>Z29/'État des Résultats'!$E$14</f>
        <v>0</v>
      </c>
      <c r="AC29" s="692">
        <v>0</v>
      </c>
      <c r="AD29" s="491">
        <f>AC29/'État des Résultats'!$E$14</f>
        <v>0</v>
      </c>
      <c r="AF29" s="692">
        <v>0</v>
      </c>
      <c r="AG29" s="491">
        <f>AF29/'État des Résultats'!$E$14</f>
        <v>0</v>
      </c>
      <c r="AI29" s="692">
        <v>0</v>
      </c>
      <c r="AJ29" s="491">
        <f>AI29/'État des Résultats'!$E$14</f>
        <v>0</v>
      </c>
      <c r="AL29" s="692">
        <v>0</v>
      </c>
      <c r="AM29" s="491">
        <f>AL29/'État des Résultats'!$E$14</f>
        <v>0</v>
      </c>
      <c r="AP29" s="485">
        <f t="shared" si="2"/>
        <v>0</v>
      </c>
      <c r="AQ29" s="496">
        <f>+AP29/'État des Résultats'!$AP$14</f>
        <v>0</v>
      </c>
    </row>
    <row r="30" spans="2:69" x14ac:dyDescent="0.15">
      <c r="B30" s="191">
        <v>6240</v>
      </c>
      <c r="C30" s="394" t="s">
        <v>213</v>
      </c>
      <c r="E30" s="692">
        <v>0</v>
      </c>
      <c r="F30" s="491">
        <f>E30/'État des Résultats'!$E$14</f>
        <v>0</v>
      </c>
      <c r="H30" s="692">
        <v>0</v>
      </c>
      <c r="I30" s="491">
        <f>H30/'État des Résultats'!$E$14</f>
        <v>0</v>
      </c>
      <c r="K30" s="692">
        <v>0</v>
      </c>
      <c r="L30" s="491">
        <f>K30/'État des Résultats'!$E$14</f>
        <v>0</v>
      </c>
      <c r="N30" s="692">
        <v>0</v>
      </c>
      <c r="O30" s="491">
        <f>N30/'État des Résultats'!$E$14</f>
        <v>0</v>
      </c>
      <c r="Q30" s="692">
        <v>0</v>
      </c>
      <c r="R30" s="491">
        <f>Q30/'État des Résultats'!$E$14</f>
        <v>0</v>
      </c>
      <c r="T30" s="692">
        <v>0</v>
      </c>
      <c r="U30" s="491">
        <f>T30/'État des Résultats'!$E$14</f>
        <v>0</v>
      </c>
      <c r="W30" s="692">
        <v>0</v>
      </c>
      <c r="X30" s="491">
        <f>W30/'État des Résultats'!$E$14</f>
        <v>0</v>
      </c>
      <c r="Z30" s="692">
        <v>0</v>
      </c>
      <c r="AA30" s="491">
        <f>Z30/'État des Résultats'!$E$14</f>
        <v>0</v>
      </c>
      <c r="AC30" s="692">
        <v>0</v>
      </c>
      <c r="AD30" s="491">
        <f>AC30/'État des Résultats'!$E$14</f>
        <v>0</v>
      </c>
      <c r="AF30" s="692">
        <v>0</v>
      </c>
      <c r="AG30" s="491">
        <f>AF30/'État des Résultats'!$E$14</f>
        <v>0</v>
      </c>
      <c r="AI30" s="692">
        <v>0</v>
      </c>
      <c r="AJ30" s="491">
        <f>AI30/'État des Résultats'!$E$14</f>
        <v>0</v>
      </c>
      <c r="AL30" s="692">
        <v>0</v>
      </c>
      <c r="AM30" s="491">
        <f>AL30/'État des Résultats'!$E$14</f>
        <v>0</v>
      </c>
      <c r="AP30" s="485">
        <f t="shared" si="2"/>
        <v>0</v>
      </c>
      <c r="AQ30" s="496">
        <f>+AP30/'État des Résultats'!$AP$14</f>
        <v>0</v>
      </c>
    </row>
    <row r="31" spans="2:69" x14ac:dyDescent="0.15">
      <c r="B31" s="191">
        <v>6245</v>
      </c>
      <c r="C31" s="394" t="s">
        <v>214</v>
      </c>
      <c r="E31" s="476">
        <f>'Salaire (planification)'!E68</f>
        <v>252.55199999999999</v>
      </c>
      <c r="F31" s="491">
        <f>E31/'État des Résultats'!$E$14</f>
        <v>6.5931604497045434E-3</v>
      </c>
      <c r="H31" s="476">
        <f>'Salaire (planification)'!H68</f>
        <v>358.17599999999999</v>
      </c>
      <c r="I31" s="491">
        <f>H31/'État des Résultats'!$E$14</f>
        <v>9.350596460267091E-3</v>
      </c>
      <c r="K31" s="476">
        <f>'Salaire (planification)'!K68</f>
        <v>252</v>
      </c>
      <c r="L31" s="491">
        <f>K31/'État des Résultats'!$E$14</f>
        <v>6.5787498547845392E-3</v>
      </c>
      <c r="N31" s="476">
        <f>'Salaire (planification)'!N68</f>
        <v>252</v>
      </c>
      <c r="O31" s="491">
        <f>N31/'État des Résultats'!$E$14</f>
        <v>6.5787498547845392E-3</v>
      </c>
      <c r="Q31" s="476">
        <f>'Salaire (planification)'!Q68</f>
        <v>252</v>
      </c>
      <c r="R31" s="491">
        <f>Q31/'État des Résultats'!$E$14</f>
        <v>6.5787498547845392E-3</v>
      </c>
      <c r="T31" s="476">
        <f>'Salaire (planification)'!T68</f>
        <v>252</v>
      </c>
      <c r="U31" s="491">
        <f>T31/'État des Résultats'!$E$14</f>
        <v>6.5787498547845392E-3</v>
      </c>
      <c r="W31" s="476">
        <f>'Salaire (planification)'!W68</f>
        <v>252</v>
      </c>
      <c r="X31" s="491">
        <f>W31/'État des Résultats'!$E$14</f>
        <v>6.5787498547845392E-3</v>
      </c>
      <c r="Z31" s="476">
        <f>'Salaire (planification)'!Z68</f>
        <v>252</v>
      </c>
      <c r="AA31" s="491">
        <f>Z31/'État des Résultats'!$E$14</f>
        <v>6.5787498547845392E-3</v>
      </c>
      <c r="AC31" s="476">
        <f>'Salaire (planification)'!AC68</f>
        <v>252</v>
      </c>
      <c r="AD31" s="491">
        <f>AC31/'État des Résultats'!$E$14</f>
        <v>6.5787498547845392E-3</v>
      </c>
      <c r="AF31" s="476">
        <f>'Salaire (planification)'!AF68</f>
        <v>252</v>
      </c>
      <c r="AG31" s="491">
        <f>AF31/'État des Résultats'!$E$14</f>
        <v>6.5787498547845392E-3</v>
      </c>
      <c r="AI31" s="476">
        <f>'Salaire (planification)'!AI68</f>
        <v>252</v>
      </c>
      <c r="AJ31" s="491">
        <f>AI31/'État des Résultats'!$E$14</f>
        <v>6.5787498547845392E-3</v>
      </c>
      <c r="AL31" s="476">
        <f>'Salaire (planification)'!AL68</f>
        <v>252</v>
      </c>
      <c r="AM31" s="491">
        <f>AL31/'État des Résultats'!$E$14</f>
        <v>6.5787498547845392E-3</v>
      </c>
      <c r="AP31" s="485">
        <f t="shared" si="2"/>
        <v>3130.7280000000001</v>
      </c>
      <c r="AQ31" s="496">
        <f>+AP31/'État des Résultats'!$AP$14</f>
        <v>5.5380741403110991E-3</v>
      </c>
    </row>
    <row r="32" spans="2:69" x14ac:dyDescent="0.15">
      <c r="B32" s="191">
        <v>6255</v>
      </c>
      <c r="C32" s="394" t="s">
        <v>230</v>
      </c>
      <c r="E32" s="692">
        <v>0</v>
      </c>
      <c r="F32" s="491">
        <f>E32/'État des Résultats'!$E$14</f>
        <v>0</v>
      </c>
      <c r="G32" s="170"/>
      <c r="H32" s="692">
        <v>0</v>
      </c>
      <c r="I32" s="491">
        <f>H32/'État des Résultats'!$E$14</f>
        <v>0</v>
      </c>
      <c r="J32" s="170"/>
      <c r="K32" s="692">
        <v>0</v>
      </c>
      <c r="L32" s="491">
        <f>K32/'État des Résultats'!$E$14</f>
        <v>0</v>
      </c>
      <c r="M32" s="170"/>
      <c r="N32" s="692">
        <v>0</v>
      </c>
      <c r="O32" s="491">
        <f>N32/'État des Résultats'!$E$14</f>
        <v>0</v>
      </c>
      <c r="P32" s="170"/>
      <c r="Q32" s="692">
        <v>0</v>
      </c>
      <c r="R32" s="491">
        <f>Q32/'État des Résultats'!$E$14</f>
        <v>0</v>
      </c>
      <c r="S32" s="170"/>
      <c r="T32" s="692">
        <v>0</v>
      </c>
      <c r="U32" s="491">
        <f>T32/'État des Résultats'!$E$14</f>
        <v>0</v>
      </c>
      <c r="V32" s="170"/>
      <c r="W32" s="692">
        <v>0</v>
      </c>
      <c r="X32" s="491">
        <f>W32/'État des Résultats'!$E$14</f>
        <v>0</v>
      </c>
      <c r="Z32" s="692">
        <v>0</v>
      </c>
      <c r="AA32" s="491">
        <f>Z32/'État des Résultats'!$E$14</f>
        <v>0</v>
      </c>
      <c r="AB32" s="170"/>
      <c r="AC32" s="692">
        <v>0</v>
      </c>
      <c r="AD32" s="491">
        <f>AC32/'État des Résultats'!$E$14</f>
        <v>0</v>
      </c>
      <c r="AE32" s="170"/>
      <c r="AF32" s="692">
        <v>0</v>
      </c>
      <c r="AG32" s="491">
        <f>AF32/'État des Résultats'!$E$14</f>
        <v>0</v>
      </c>
      <c r="AH32" s="170"/>
      <c r="AI32" s="692">
        <v>0</v>
      </c>
      <c r="AJ32" s="491">
        <f>AI32/'État des Résultats'!$E$14</f>
        <v>0</v>
      </c>
      <c r="AK32" s="170"/>
      <c r="AL32" s="692">
        <v>0</v>
      </c>
      <c r="AM32" s="491">
        <f>AL32/'État des Résultats'!$E$14</f>
        <v>0</v>
      </c>
      <c r="AN32" s="170"/>
      <c r="AO32" s="170"/>
      <c r="AP32" s="485">
        <f t="shared" si="2"/>
        <v>0</v>
      </c>
      <c r="AQ32" s="496">
        <f>+AP32/'État des Résultats'!$AP$14</f>
        <v>0</v>
      </c>
      <c r="AR32" s="477"/>
      <c r="AS32" s="477"/>
      <c r="AT32" s="477"/>
      <c r="AU32" s="211"/>
      <c r="AV32" s="211"/>
      <c r="AW32" s="211"/>
      <c r="AX32" s="211"/>
      <c r="AY32" s="211"/>
      <c r="AZ32" s="211"/>
      <c r="BA32" s="211"/>
      <c r="BB32" s="477"/>
      <c r="BC32" s="477"/>
      <c r="BD32" s="477"/>
      <c r="BE32" s="477"/>
      <c r="BF32" s="477"/>
      <c r="BG32" s="170"/>
      <c r="BH32" s="170"/>
      <c r="BI32" s="170"/>
      <c r="BJ32" s="170"/>
      <c r="BK32" s="170"/>
      <c r="BL32" s="170"/>
      <c r="BM32" s="170"/>
      <c r="BN32" s="170"/>
      <c r="BO32" s="170"/>
      <c r="BP32" s="170"/>
      <c r="BQ32" s="170"/>
    </row>
    <row r="33" spans="2:54" x14ac:dyDescent="0.15">
      <c r="B33" s="191">
        <v>6260</v>
      </c>
      <c r="C33" s="394" t="s">
        <v>215</v>
      </c>
      <c r="E33" s="692">
        <v>1000</v>
      </c>
      <c r="F33" s="491">
        <f>E33/'État des Résultats'!$E$14</f>
        <v>2.6106150217398965E-2</v>
      </c>
      <c r="H33" s="692">
        <v>1000</v>
      </c>
      <c r="I33" s="491">
        <f>H33/'État des Résultats'!$E$14</f>
        <v>2.6106150217398965E-2</v>
      </c>
      <c r="K33" s="692">
        <v>1000</v>
      </c>
      <c r="L33" s="491">
        <f>K33/'État des Résultats'!$E$14</f>
        <v>2.6106150217398965E-2</v>
      </c>
      <c r="N33" s="692">
        <v>1000</v>
      </c>
      <c r="O33" s="491">
        <f>N33/'État des Résultats'!$E$14</f>
        <v>2.6106150217398965E-2</v>
      </c>
      <c r="Q33" s="692">
        <v>1000</v>
      </c>
      <c r="R33" s="491">
        <f>Q33/'État des Résultats'!$E$14</f>
        <v>2.6106150217398965E-2</v>
      </c>
      <c r="T33" s="692">
        <v>1000</v>
      </c>
      <c r="U33" s="491">
        <f>T33/'État des Résultats'!$E$14</f>
        <v>2.6106150217398965E-2</v>
      </c>
      <c r="W33" s="692">
        <v>1000</v>
      </c>
      <c r="X33" s="491">
        <f>W33/'État des Résultats'!$E$14</f>
        <v>2.6106150217398965E-2</v>
      </c>
      <c r="Z33" s="692">
        <v>1000</v>
      </c>
      <c r="AA33" s="491">
        <f>Z33/'État des Résultats'!$E$14</f>
        <v>2.6106150217398965E-2</v>
      </c>
      <c r="AC33" s="692">
        <v>1000</v>
      </c>
      <c r="AD33" s="491">
        <f>AC33/'État des Résultats'!$E$14</f>
        <v>2.6106150217398965E-2</v>
      </c>
      <c r="AF33" s="692">
        <v>1000</v>
      </c>
      <c r="AG33" s="491">
        <f>AF33/'État des Résultats'!$E$14</f>
        <v>2.6106150217398965E-2</v>
      </c>
      <c r="AI33" s="692">
        <v>1000</v>
      </c>
      <c r="AJ33" s="491">
        <f>AI33/'État des Résultats'!$E$14</f>
        <v>2.6106150217398965E-2</v>
      </c>
      <c r="AL33" s="692">
        <v>1000</v>
      </c>
      <c r="AM33" s="491">
        <f>AL33/'État des Résultats'!$E$14</f>
        <v>2.6106150217398965E-2</v>
      </c>
      <c r="AP33" s="485">
        <f t="shared" si="2"/>
        <v>12000</v>
      </c>
      <c r="AQ33" s="496">
        <f>+AP33/'État des Résultats'!$AP$14</f>
        <v>2.1227295914475225E-2</v>
      </c>
    </row>
    <row r="34" spans="2:54" x14ac:dyDescent="0.15">
      <c r="B34" s="191">
        <v>6265</v>
      </c>
      <c r="C34" s="394" t="s">
        <v>216</v>
      </c>
      <c r="E34" s="692">
        <v>0</v>
      </c>
      <c r="F34" s="491">
        <f>E34/'État des Résultats'!$E$14</f>
        <v>0</v>
      </c>
      <c r="H34" s="692">
        <v>0</v>
      </c>
      <c r="I34" s="491">
        <f>H34/'État des Résultats'!$E$14</f>
        <v>0</v>
      </c>
      <c r="K34" s="692">
        <v>0</v>
      </c>
      <c r="L34" s="491">
        <f>K34/'État des Résultats'!$E$14</f>
        <v>0</v>
      </c>
      <c r="N34" s="692">
        <v>0</v>
      </c>
      <c r="O34" s="491">
        <f>N34/'État des Résultats'!$E$14</f>
        <v>0</v>
      </c>
      <c r="Q34" s="692">
        <v>0</v>
      </c>
      <c r="R34" s="491">
        <f>Q34/'État des Résultats'!$E$14</f>
        <v>0</v>
      </c>
      <c r="T34" s="692">
        <v>0</v>
      </c>
      <c r="U34" s="491">
        <f>T34/'État des Résultats'!$E$14</f>
        <v>0</v>
      </c>
      <c r="W34" s="692">
        <v>0</v>
      </c>
      <c r="X34" s="491">
        <f>W34/'État des Résultats'!$E$14</f>
        <v>0</v>
      </c>
      <c r="Z34" s="692">
        <v>0</v>
      </c>
      <c r="AA34" s="491">
        <f>Z34/'État des Résultats'!$E$14</f>
        <v>0</v>
      </c>
      <c r="AC34" s="692">
        <v>0</v>
      </c>
      <c r="AD34" s="491">
        <f>AC34/'État des Résultats'!$E$14</f>
        <v>0</v>
      </c>
      <c r="AF34" s="692">
        <v>0</v>
      </c>
      <c r="AG34" s="491">
        <f>AF34/'État des Résultats'!$E$14</f>
        <v>0</v>
      </c>
      <c r="AI34" s="692">
        <v>0</v>
      </c>
      <c r="AJ34" s="491">
        <f>AI34/'État des Résultats'!$E$14</f>
        <v>0</v>
      </c>
      <c r="AL34" s="692">
        <v>0</v>
      </c>
      <c r="AM34" s="491">
        <f>AL34/'État des Résultats'!$E$14</f>
        <v>0</v>
      </c>
      <c r="AP34" s="485">
        <f t="shared" si="2"/>
        <v>0</v>
      </c>
      <c r="AQ34" s="496">
        <f>+AP34/'État des Résultats'!$AP$14</f>
        <v>0</v>
      </c>
    </row>
    <row r="35" spans="2:54" x14ac:dyDescent="0.15">
      <c r="B35" s="478" t="s">
        <v>217</v>
      </c>
      <c r="C35" s="394" t="s">
        <v>218</v>
      </c>
      <c r="E35" s="692">
        <v>0</v>
      </c>
      <c r="F35" s="491">
        <f>E35/'État des Résultats'!$E$14</f>
        <v>0</v>
      </c>
      <c r="H35" s="692">
        <v>0</v>
      </c>
      <c r="I35" s="491">
        <f>H35/'État des Résultats'!$E$14</f>
        <v>0</v>
      </c>
      <c r="K35" s="692">
        <v>0</v>
      </c>
      <c r="L35" s="491">
        <f>K35/'État des Résultats'!$E$14</f>
        <v>0</v>
      </c>
      <c r="N35" s="692">
        <v>0</v>
      </c>
      <c r="O35" s="491">
        <f>N35/'État des Résultats'!$E$14</f>
        <v>0</v>
      </c>
      <c r="Q35" s="692">
        <v>0</v>
      </c>
      <c r="R35" s="491">
        <f>Q35/'État des Résultats'!$E$14</f>
        <v>0</v>
      </c>
      <c r="T35" s="692">
        <v>0</v>
      </c>
      <c r="U35" s="491">
        <f>T35/'État des Résultats'!$E$14</f>
        <v>0</v>
      </c>
      <c r="W35" s="692">
        <v>0</v>
      </c>
      <c r="X35" s="491">
        <f>W35/'État des Résultats'!$E$14</f>
        <v>0</v>
      </c>
      <c r="Z35" s="692">
        <v>0</v>
      </c>
      <c r="AA35" s="491">
        <f>Z35/'État des Résultats'!$E$14</f>
        <v>0</v>
      </c>
      <c r="AC35" s="692">
        <v>0</v>
      </c>
      <c r="AD35" s="491">
        <f>AC35/'État des Résultats'!$E$14</f>
        <v>0</v>
      </c>
      <c r="AF35" s="692">
        <v>0</v>
      </c>
      <c r="AG35" s="491">
        <f>AF35/'État des Résultats'!$E$14</f>
        <v>0</v>
      </c>
      <c r="AI35" s="692">
        <v>0</v>
      </c>
      <c r="AJ35" s="491">
        <f>AI35/'État des Résultats'!$E$14</f>
        <v>0</v>
      </c>
      <c r="AL35" s="692">
        <v>0</v>
      </c>
      <c r="AM35" s="491">
        <f>AL35/'État des Résultats'!$E$14</f>
        <v>0</v>
      </c>
      <c r="AP35" s="485">
        <f t="shared" si="2"/>
        <v>0</v>
      </c>
      <c r="AQ35" s="496">
        <f>+AP35/'État des Résultats'!$AP$14</f>
        <v>0</v>
      </c>
    </row>
    <row r="36" spans="2:54" ht="14" thickBot="1" x14ac:dyDescent="0.2">
      <c r="B36" s="922" t="s">
        <v>219</v>
      </c>
      <c r="C36" s="923"/>
      <c r="D36" s="214"/>
      <c r="E36" s="468">
        <f>SUM(E27:E35)</f>
        <v>2515.3119999999999</v>
      </c>
      <c r="F36" s="492">
        <f>SUM(F27:F35)</f>
        <v>6.5665112915626225E-2</v>
      </c>
      <c r="G36" s="214"/>
      <c r="H36" s="468">
        <f>SUM(H27:H35)</f>
        <v>3149.056</v>
      </c>
      <c r="I36" s="492">
        <f>SUM(I27:I35)</f>
        <v>8.2209728979001515E-2</v>
      </c>
      <c r="J36" s="214"/>
      <c r="K36" s="468">
        <f>SUM(K27:K35)</f>
        <v>2512</v>
      </c>
      <c r="L36" s="492">
        <f>SUM(L27:L35)</f>
        <v>6.5578649346106202E-2</v>
      </c>
      <c r="M36" s="214"/>
      <c r="N36" s="468">
        <f>SUM(N27:N35)</f>
        <v>2512</v>
      </c>
      <c r="O36" s="492">
        <f>SUM(O27:O35)</f>
        <v>6.5578649346106202E-2</v>
      </c>
      <c r="P36" s="214"/>
      <c r="Q36" s="468">
        <f>SUM(Q27:Q35)</f>
        <v>2512</v>
      </c>
      <c r="R36" s="492">
        <f>SUM(R27:R35)</f>
        <v>6.5578649346106202E-2</v>
      </c>
      <c r="S36" s="214"/>
      <c r="T36" s="468">
        <f>SUM(T27:T35)</f>
        <v>2512</v>
      </c>
      <c r="U36" s="492">
        <f>SUM(U27:U35)</f>
        <v>6.5578649346106202E-2</v>
      </c>
      <c r="V36" s="214"/>
      <c r="W36" s="468">
        <f>SUM(W27:W35)</f>
        <v>2512</v>
      </c>
      <c r="X36" s="492">
        <f>SUM(X27:X35)</f>
        <v>6.5578649346106202E-2</v>
      </c>
      <c r="Y36" s="214"/>
      <c r="Z36" s="468">
        <f>SUM(Z27:Z35)</f>
        <v>2512</v>
      </c>
      <c r="AA36" s="492">
        <f>SUM(AA27:AA35)</f>
        <v>6.5578649346106202E-2</v>
      </c>
      <c r="AB36" s="214"/>
      <c r="AC36" s="468">
        <f>SUM(AC27:AC35)</f>
        <v>2512</v>
      </c>
      <c r="AD36" s="492">
        <f>SUM(AD27:AD35)</f>
        <v>6.5578649346106202E-2</v>
      </c>
      <c r="AE36" s="214"/>
      <c r="AF36" s="468">
        <f>SUM(AF27:AF35)</f>
        <v>2512</v>
      </c>
      <c r="AG36" s="492">
        <f>SUM(AG27:AG35)</f>
        <v>6.5578649346106202E-2</v>
      </c>
      <c r="AH36" s="214"/>
      <c r="AI36" s="468">
        <f>SUM(AI27:AI35)</f>
        <v>2512</v>
      </c>
      <c r="AJ36" s="492">
        <f>SUM(AJ27:AJ35)</f>
        <v>6.5578649346106202E-2</v>
      </c>
      <c r="AK36" s="214"/>
      <c r="AL36" s="468">
        <f>SUM(AL27:AL35)</f>
        <v>2512</v>
      </c>
      <c r="AM36" s="492">
        <f>SUM(AM27:AM35)</f>
        <v>6.5578649346106202E-2</v>
      </c>
      <c r="AN36" s="214"/>
      <c r="AO36" s="214"/>
      <c r="AP36" s="469">
        <f>SUM(AP27:AP35)</f>
        <v>30784.368000000002</v>
      </c>
      <c r="AQ36" s="492">
        <f>SUM(AQ27:AQ35)</f>
        <v>5.4455740756341825E-2</v>
      </c>
      <c r="AR36" s="252"/>
      <c r="AS36" s="252"/>
    </row>
    <row r="37" spans="2:54" ht="15" thickTop="1" thickBot="1" x14ac:dyDescent="0.2">
      <c r="B37" s="504"/>
      <c r="C37" s="504"/>
      <c r="D37" s="504"/>
      <c r="E37" s="556"/>
      <c r="F37" s="557"/>
      <c r="G37" s="504"/>
      <c r="H37" s="556"/>
      <c r="I37" s="557"/>
      <c r="J37" s="504"/>
      <c r="K37" s="556"/>
      <c r="L37" s="557"/>
      <c r="M37" s="504"/>
      <c r="N37" s="556"/>
      <c r="O37" s="557"/>
      <c r="P37" s="504"/>
      <c r="Q37" s="556"/>
      <c r="R37" s="557"/>
      <c r="S37" s="504"/>
      <c r="T37" s="556"/>
      <c r="U37" s="557"/>
      <c r="V37" s="504"/>
      <c r="W37" s="556"/>
      <c r="X37" s="557"/>
      <c r="Y37" s="504"/>
      <c r="Z37" s="556"/>
      <c r="AA37" s="557"/>
      <c r="AB37" s="504"/>
      <c r="AC37" s="556"/>
      <c r="AD37" s="557"/>
      <c r="AE37" s="504"/>
      <c r="AF37" s="556"/>
      <c r="AG37" s="557"/>
      <c r="AH37" s="504"/>
      <c r="AI37" s="556"/>
      <c r="AJ37" s="557"/>
      <c r="AK37" s="504"/>
      <c r="AL37" s="556"/>
      <c r="AM37" s="557"/>
      <c r="AN37" s="504"/>
      <c r="AO37" s="504"/>
      <c r="AP37" s="558"/>
      <c r="AQ37" s="557"/>
    </row>
    <row r="38" spans="2:54" ht="15" thickTop="1" thickBot="1" x14ac:dyDescent="0.2">
      <c r="B38" s="924" t="str">
        <f>'État des Résultats'!C21</f>
        <v xml:space="preserve">   Total des coûts de la main-d’œuvre</v>
      </c>
      <c r="C38" s="925"/>
      <c r="D38" s="252"/>
      <c r="E38" s="479">
        <f>+E23+E36</f>
        <v>13038.312</v>
      </c>
      <c r="F38" s="480">
        <f>E38/'État des Résultats'!E14</f>
        <v>0.34038013165331554</v>
      </c>
      <c r="G38" s="252"/>
      <c r="H38" s="479">
        <f>+H23+H36</f>
        <v>18073.056</v>
      </c>
      <c r="I38" s="480">
        <f>H38/'État des Résultats'!H14</f>
        <v>0.580410926965372</v>
      </c>
      <c r="J38" s="252"/>
      <c r="K38" s="479">
        <f>+K23+K36</f>
        <v>13012</v>
      </c>
      <c r="L38" s="480">
        <f>K38/'État des Résultats'!K14</f>
        <v>0.33969322662879531</v>
      </c>
      <c r="M38" s="252"/>
      <c r="N38" s="479">
        <f>+N23+N36</f>
        <v>13012</v>
      </c>
      <c r="O38" s="480">
        <f>N38/'État des Résultats'!N14</f>
        <v>0.31910575834826227</v>
      </c>
      <c r="P38" s="252"/>
      <c r="Q38" s="479">
        <f>+Q23+Q36</f>
        <v>13012</v>
      </c>
      <c r="R38" s="480">
        <f>Q38/'État des Résultats'!Q14</f>
        <v>0.28307768885732942</v>
      </c>
      <c r="S38" s="252"/>
      <c r="T38" s="479">
        <f>+T23+T36</f>
        <v>13012</v>
      </c>
      <c r="U38" s="480">
        <f>T38/'État des Résultats'!T14</f>
        <v>0.23401088945539231</v>
      </c>
      <c r="V38" s="252"/>
      <c r="W38" s="479">
        <f>+W23+W36</f>
        <v>13012</v>
      </c>
      <c r="X38" s="480">
        <f>W38/'État des Résultats'!W14</f>
        <v>0.16984661331439765</v>
      </c>
      <c r="Y38" s="252"/>
      <c r="Z38" s="479">
        <f>+Z23+Z36</f>
        <v>13012</v>
      </c>
      <c r="AA38" s="480">
        <f>Z38/'État des Résultats'!Z14</f>
        <v>0.18871845923821962</v>
      </c>
      <c r="AB38" s="252"/>
      <c r="AC38" s="479">
        <f>+AC23+AC36</f>
        <v>13012</v>
      </c>
      <c r="AD38" s="480">
        <f>AC38/'État des Résultats'!AC14</f>
        <v>0.2925136118192404</v>
      </c>
      <c r="AE38" s="252"/>
      <c r="AF38" s="479">
        <f>+AF23+AF36</f>
        <v>13012</v>
      </c>
      <c r="AG38" s="480">
        <f>AF38/'État des Résultats'!AF14</f>
        <v>0.30881202420799575</v>
      </c>
      <c r="AH38" s="252"/>
      <c r="AI38" s="479">
        <f>+AI23+AI36</f>
        <v>13012</v>
      </c>
      <c r="AJ38" s="480">
        <f>AI38/'État des Résultats'!AI14</f>
        <v>0.35101633418308853</v>
      </c>
      <c r="AK38" s="252"/>
      <c r="AL38" s="479">
        <f>+AL23+AL36</f>
        <v>13012</v>
      </c>
      <c r="AM38" s="480">
        <f>AL38/'État des Résultats'!AL14</f>
        <v>0.28307768885732942</v>
      </c>
      <c r="AN38" s="252"/>
      <c r="AO38" s="252"/>
      <c r="AP38" s="481">
        <f>+AP23+AP36</f>
        <v>161231.36800000002</v>
      </c>
      <c r="AQ38" s="480">
        <f>AP38/'État des Résultats'!AP14</f>
        <v>0.28520882993597096</v>
      </c>
    </row>
    <row r="39" spans="2:54" ht="15" thickTop="1" thickBot="1" x14ac:dyDescent="0.2">
      <c r="B39" s="579"/>
      <c r="C39" s="580"/>
      <c r="D39" s="330"/>
      <c r="E39" s="581"/>
      <c r="F39" s="582"/>
      <c r="G39" s="330"/>
      <c r="H39" s="581"/>
      <c r="I39" s="582"/>
      <c r="J39" s="330"/>
      <c r="K39" s="581"/>
      <c r="L39" s="582"/>
      <c r="M39" s="330"/>
      <c r="N39" s="581"/>
      <c r="O39" s="582"/>
      <c r="P39" s="330"/>
      <c r="Q39" s="581"/>
      <c r="R39" s="582"/>
      <c r="S39" s="330"/>
      <c r="T39" s="581"/>
      <c r="U39" s="582"/>
      <c r="V39" s="330"/>
      <c r="W39" s="581"/>
      <c r="X39" s="582"/>
      <c r="Y39" s="330"/>
      <c r="Z39" s="581"/>
      <c r="AA39" s="582"/>
      <c r="AB39" s="330"/>
      <c r="AC39" s="581"/>
      <c r="AD39" s="582"/>
      <c r="AE39" s="330"/>
      <c r="AF39" s="581"/>
      <c r="AG39" s="582"/>
      <c r="AH39" s="330"/>
      <c r="AI39" s="581"/>
      <c r="AJ39" s="582"/>
      <c r="AK39" s="330"/>
      <c r="AL39" s="581"/>
      <c r="AM39" s="582"/>
      <c r="AN39" s="330"/>
      <c r="AO39" s="330"/>
      <c r="AP39" s="583"/>
      <c r="AQ39" s="582"/>
    </row>
    <row r="40" spans="2:54" ht="14" thickTop="1" x14ac:dyDescent="0.15">
      <c r="B40" s="906" t="s">
        <v>231</v>
      </c>
      <c r="C40" s="907"/>
      <c r="D40" s="584"/>
      <c r="E40" s="588">
        <f>+E27+E31</f>
        <v>1515.3119999999999</v>
      </c>
      <c r="F40" s="589">
        <f>+(E40/E23)</f>
        <v>0.14399999999999999</v>
      </c>
      <c r="G40" s="585"/>
      <c r="H40" s="588">
        <f>+H27+H31</f>
        <v>2149.056</v>
      </c>
      <c r="I40" s="589">
        <f>+(H40/H23)</f>
        <v>0.14399999999999999</v>
      </c>
      <c r="J40" s="585"/>
      <c r="K40" s="588">
        <f>+K27+K31</f>
        <v>1512</v>
      </c>
      <c r="L40" s="589">
        <f>+(K40/K23)</f>
        <v>0.14399999999999999</v>
      </c>
      <c r="M40" s="585"/>
      <c r="N40" s="588">
        <f>+N27+N31</f>
        <v>1512</v>
      </c>
      <c r="O40" s="589">
        <f>+(N40/N23)</f>
        <v>0.14399999999999999</v>
      </c>
      <c r="P40" s="585"/>
      <c r="Q40" s="588">
        <f>+Q27+Q31</f>
        <v>1512</v>
      </c>
      <c r="R40" s="589">
        <f>+(Q40/Q23)</f>
        <v>0.14399999999999999</v>
      </c>
      <c r="S40" s="585"/>
      <c r="T40" s="588">
        <f>+T27+T31</f>
        <v>1512</v>
      </c>
      <c r="U40" s="589">
        <f>+(T40/T23)</f>
        <v>0.14399999999999999</v>
      </c>
      <c r="V40" s="585"/>
      <c r="W40" s="588">
        <f>+W27+W31</f>
        <v>1512</v>
      </c>
      <c r="X40" s="589">
        <f>+(W40/W23)</f>
        <v>0.14399999999999999</v>
      </c>
      <c r="Y40" s="585"/>
      <c r="Z40" s="588">
        <f>+Z27+Z31</f>
        <v>1512</v>
      </c>
      <c r="AA40" s="589">
        <f>+(Z40/Z23)</f>
        <v>0.14399999999999999</v>
      </c>
      <c r="AB40" s="585"/>
      <c r="AC40" s="588">
        <f>+AC27+AC31</f>
        <v>1512</v>
      </c>
      <c r="AD40" s="589">
        <f>+(AC40/AC23)</f>
        <v>0.14399999999999999</v>
      </c>
      <c r="AE40" s="585"/>
      <c r="AF40" s="588">
        <f>+AF27+AF31</f>
        <v>1512</v>
      </c>
      <c r="AG40" s="589">
        <f>+(AF40/AF23)</f>
        <v>0.14399999999999999</v>
      </c>
      <c r="AH40" s="585"/>
      <c r="AI40" s="588">
        <f>+AI27+AI31</f>
        <v>1512</v>
      </c>
      <c r="AJ40" s="589">
        <f>+(AI40/AI23)</f>
        <v>0.14399999999999999</v>
      </c>
      <c r="AK40" s="585"/>
      <c r="AL40" s="588">
        <f>+AL27+AL31</f>
        <v>1512</v>
      </c>
      <c r="AM40" s="589">
        <f>+(AL40/AL23)</f>
        <v>0.14399999999999999</v>
      </c>
      <c r="AN40" s="587"/>
      <c r="AO40" s="586"/>
      <c r="AP40" s="592">
        <f t="shared" ref="AP40:AP41" si="3">SUM(+$AL40+$AI40+$AF40+$AC40+$Z40+$W40+$T40+$Q40+$N40+$K40+$H40+$E40)</f>
        <v>18784.368000000002</v>
      </c>
      <c r="AQ40" s="589">
        <f>+(AP40/AP23)</f>
        <v>0.14400000000000002</v>
      </c>
      <c r="AR40" s="188"/>
      <c r="AS40" s="188"/>
      <c r="AT40" s="188"/>
      <c r="AU40" s="188"/>
      <c r="AV40" s="188"/>
      <c r="AW40" s="188"/>
      <c r="AX40" s="188"/>
      <c r="AY40" s="188"/>
      <c r="AZ40" s="188"/>
      <c r="BA40" s="188"/>
      <c r="BB40" s="188"/>
    </row>
    <row r="41" spans="2:54" ht="14" thickBot="1" x14ac:dyDescent="0.2">
      <c r="B41" s="908" t="s">
        <v>232</v>
      </c>
      <c r="C41" s="909"/>
      <c r="D41" s="509"/>
      <c r="E41" s="590">
        <f>+E36</f>
        <v>2515.3119999999999</v>
      </c>
      <c r="F41" s="591">
        <f>+E41/E23</f>
        <v>0.23902993442934523</v>
      </c>
      <c r="G41" s="259"/>
      <c r="H41" s="590">
        <f>+H36</f>
        <v>3149.056</v>
      </c>
      <c r="I41" s="591">
        <f>+H41/H23</f>
        <v>0.21100616456714019</v>
      </c>
      <c r="J41" s="259"/>
      <c r="K41" s="590">
        <f>+K36</f>
        <v>2512</v>
      </c>
      <c r="L41" s="591">
        <f>+K41/K23</f>
        <v>0.23923809523809525</v>
      </c>
      <c r="M41" s="259"/>
      <c r="N41" s="590">
        <f>+N36</f>
        <v>2512</v>
      </c>
      <c r="O41" s="591">
        <f>+N41/N23</f>
        <v>0.23923809523809525</v>
      </c>
      <c r="P41" s="259"/>
      <c r="Q41" s="590">
        <f>+Q36</f>
        <v>2512</v>
      </c>
      <c r="R41" s="591">
        <f>+Q41/Q23</f>
        <v>0.23923809523809525</v>
      </c>
      <c r="S41" s="259"/>
      <c r="T41" s="590">
        <f>+T36</f>
        <v>2512</v>
      </c>
      <c r="U41" s="591">
        <f>+T41/T23</f>
        <v>0.23923809523809525</v>
      </c>
      <c r="V41" s="259"/>
      <c r="W41" s="590">
        <f>+W36</f>
        <v>2512</v>
      </c>
      <c r="X41" s="591">
        <f>+W41/W23</f>
        <v>0.23923809523809525</v>
      </c>
      <c r="Y41" s="259"/>
      <c r="Z41" s="590">
        <f>+Z36</f>
        <v>2512</v>
      </c>
      <c r="AA41" s="591">
        <f>+Z41/Z23</f>
        <v>0.23923809523809525</v>
      </c>
      <c r="AB41" s="259"/>
      <c r="AC41" s="590">
        <f>+AC36</f>
        <v>2512</v>
      </c>
      <c r="AD41" s="591">
        <f>+AC41/AC23</f>
        <v>0.23923809523809525</v>
      </c>
      <c r="AE41" s="259"/>
      <c r="AF41" s="590">
        <f>+AF36</f>
        <v>2512</v>
      </c>
      <c r="AG41" s="591">
        <f>+AF41/AF23</f>
        <v>0.23923809523809525</v>
      </c>
      <c r="AH41" s="259"/>
      <c r="AI41" s="590">
        <f>+AI36</f>
        <v>2512</v>
      </c>
      <c r="AJ41" s="591">
        <f>+AI41/AI23</f>
        <v>0.23923809523809525</v>
      </c>
      <c r="AK41" s="259"/>
      <c r="AL41" s="590">
        <f>+AL36</f>
        <v>2512</v>
      </c>
      <c r="AM41" s="591">
        <f>+AL41/AL23</f>
        <v>0.23923809523809525</v>
      </c>
      <c r="AN41" s="428"/>
      <c r="AO41" s="432"/>
      <c r="AP41" s="593">
        <f t="shared" si="3"/>
        <v>30784.368000000002</v>
      </c>
      <c r="AQ41" s="591">
        <f>+AP41/AP23</f>
        <v>0.23599138347374798</v>
      </c>
    </row>
    <row r="42" spans="2:54" ht="14" thickTop="1" x14ac:dyDescent="0.15"/>
  </sheetData>
  <sheetProtection algorithmName="SHA-512" hashValue="l1HG6MeXuCs9w/wHiC1sKSNRk6Z3/QknDfS79/NIaLbexoOAxd6NrLLD+Bhk1AJJRYJGYxaVQrDqHcJD7GpFYg==" saltValue="pZssnHnlCgP0Oh5x79wPIw=="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25" zoomScaleNormal="125"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930" t="str">
        <f>'État des Résultats'!C2</f>
        <v xml:space="preserve">Entreprise de restauration alimentaire 12 inc. </v>
      </c>
      <c r="C2" s="931"/>
      <c r="AS2" s="898" t="s">
        <v>42</v>
      </c>
      <c r="AT2" s="369"/>
      <c r="AU2" s="369"/>
      <c r="AV2" s="369"/>
      <c r="AW2" s="369"/>
      <c r="AX2" s="369"/>
      <c r="AY2" s="369"/>
      <c r="AZ2" s="369"/>
      <c r="BA2" s="369"/>
      <c r="BB2" s="369"/>
      <c r="BC2" s="901" t="s">
        <v>43</v>
      </c>
    </row>
    <row r="3" spans="2:55" ht="20" customHeight="1" x14ac:dyDescent="0.2">
      <c r="B3" s="932" t="str">
        <f>'État des Résultats'!C3</f>
        <v xml:space="preserve">États des résultats prévisionnels </v>
      </c>
      <c r="C3" s="933"/>
      <c r="AS3" s="899"/>
      <c r="AT3" s="370"/>
      <c r="AU3" s="370"/>
      <c r="AV3" s="370"/>
      <c r="AW3" s="370"/>
      <c r="AX3" s="370"/>
      <c r="AY3" s="370"/>
      <c r="AZ3" s="370"/>
      <c r="BA3" s="370"/>
      <c r="BB3" s="370"/>
      <c r="BC3" s="902"/>
    </row>
    <row r="4" spans="2:55" ht="20" customHeight="1" thickBot="1" x14ac:dyDescent="0.3">
      <c r="B4" s="934" t="str">
        <f>'État des Résultats'!C4</f>
        <v>Pour la période du 1er janvier 2021 au 31 décembre 2021</v>
      </c>
      <c r="C4" s="93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5" ht="21" thickTop="1" thickBot="1" x14ac:dyDescent="0.3">
      <c r="B5" s="330"/>
      <c r="C5" s="210"/>
      <c r="P5" s="210"/>
      <c r="AS5" s="899"/>
      <c r="AT5" s="372" t="s">
        <v>2</v>
      </c>
      <c r="AU5" s="373"/>
      <c r="AV5" s="372"/>
      <c r="AW5" s="373"/>
      <c r="AX5" s="373"/>
      <c r="AY5" s="373"/>
      <c r="AZ5" s="373"/>
      <c r="BA5" s="373"/>
      <c r="BB5" s="373"/>
      <c r="BC5" s="902"/>
    </row>
    <row r="6" spans="2:55" ht="27" thickTop="1" x14ac:dyDescent="0.3">
      <c r="B6" s="936" t="str">
        <f>'État des Résultats'!C6</f>
        <v>Nb de places</v>
      </c>
      <c r="C6" s="917"/>
      <c r="D6" s="201"/>
      <c r="E6" s="603" t="s">
        <v>173</v>
      </c>
      <c r="F6" s="602">
        <f>E69/$B$7/'Calendrier 2021'!D8</f>
        <v>7.7666529032258067</v>
      </c>
      <c r="G6" s="170"/>
      <c r="H6" s="603" t="str">
        <f>+E6</f>
        <v>Coût / place / jour</v>
      </c>
      <c r="I6" s="602">
        <f>H69/$B$7/'Calendrier 2021'!E8</f>
        <v>12.195040000000001</v>
      </c>
      <c r="J6" s="170"/>
      <c r="K6" s="603" t="str">
        <f>+H6</f>
        <v>Coût / place / jour</v>
      </c>
      <c r="L6" s="602">
        <f>K69/$B$7/'Calendrier 2021'!F8</f>
        <v>7.749677419354839</v>
      </c>
      <c r="M6" s="170"/>
      <c r="N6" s="603" t="str">
        <f>+K6</f>
        <v>Coût / place / jour</v>
      </c>
      <c r="O6" s="602">
        <f>N69/$B$7/'Calendrier 2021'!G8</f>
        <v>8.0080000000000009</v>
      </c>
      <c r="P6" s="382"/>
      <c r="Q6" s="381" t="str">
        <f>+N6</f>
        <v>Coût / place / jour</v>
      </c>
      <c r="R6" s="602">
        <f>Q69/$B$7/'Calendrier 2021'!H8</f>
        <v>7.749677419354839</v>
      </c>
      <c r="S6" s="382"/>
      <c r="T6" s="603" t="str">
        <f>+Q6</f>
        <v>Coût / place / jour</v>
      </c>
      <c r="U6" s="602">
        <f>T69/$B$7/'Calendrier 2021'!I8</f>
        <v>8.0080000000000009</v>
      </c>
      <c r="V6" s="170"/>
      <c r="W6" s="603" t="str">
        <f>+T6</f>
        <v>Coût / place / jour</v>
      </c>
      <c r="X6" s="602">
        <f>W69/$B$7/'Calendrier 2021'!J8</f>
        <v>7.749677419354839</v>
      </c>
      <c r="Y6" s="641"/>
      <c r="Z6" s="603" t="str">
        <f>+W6</f>
        <v>Coût / place / jour</v>
      </c>
      <c r="AA6" s="602">
        <f>Z69/$B$7/'Calendrier 2021'!K8</f>
        <v>7.749677419354839</v>
      </c>
      <c r="AB6" s="170"/>
      <c r="AC6" s="603" t="str">
        <f>+Z6</f>
        <v>Coût / place / jour</v>
      </c>
      <c r="AD6" s="602">
        <f>AC69/$B$7/'Calendrier 2021'!L8</f>
        <v>8.0080000000000009</v>
      </c>
      <c r="AE6" s="170"/>
      <c r="AF6" s="603" t="str">
        <f>+AC6</f>
        <v>Coût / place / jour</v>
      </c>
      <c r="AG6" s="602">
        <f>AF69/$B$7/'Calendrier 2021'!M8</f>
        <v>7.749677419354839</v>
      </c>
      <c r="AH6" s="641"/>
      <c r="AI6" s="603" t="str">
        <f>+AF6</f>
        <v>Coût / place / jour</v>
      </c>
      <c r="AJ6" s="602">
        <f>AI69/$B$7/'Calendrier 2021'!N8</f>
        <v>8.0080000000000009</v>
      </c>
      <c r="AK6" s="655"/>
      <c r="AL6" s="603" t="str">
        <f>+AI6</f>
        <v>Coût / place / jour</v>
      </c>
      <c r="AM6" s="602">
        <f>AL69/$B$7/'Calendrier 2021'!O8</f>
        <v>7.749677419354839</v>
      </c>
      <c r="AN6" s="641"/>
      <c r="AO6" s="170"/>
      <c r="AP6" s="659" t="str">
        <f>+AL6</f>
        <v>Coût / place / jour</v>
      </c>
      <c r="AQ6" s="660">
        <f>AP69/$B$7/'% Occupation'!P8</f>
        <v>8.1770612602739732</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5" ht="21" x14ac:dyDescent="0.25">
      <c r="B7" s="937">
        <f>'État des Résultats'!C7</f>
        <v>50</v>
      </c>
      <c r="C7" s="919"/>
      <c r="D7" s="191"/>
      <c r="E7" s="625">
        <f>E69/$AP$69</f>
        <v>8.0668777357854132E-2</v>
      </c>
      <c r="F7" s="626"/>
      <c r="G7" s="385"/>
      <c r="H7" s="625">
        <f>H69/$AP$69</f>
        <v>0.11440661724685121</v>
      </c>
      <c r="I7" s="626"/>
      <c r="J7" s="385"/>
      <c r="K7" s="625">
        <f>K69/$AP$69</f>
        <v>8.0492460539529451E-2</v>
      </c>
      <c r="L7" s="626"/>
      <c r="M7" s="385"/>
      <c r="N7" s="625">
        <f>N69/$AP$69</f>
        <v>8.0492460539529451E-2</v>
      </c>
      <c r="O7" s="626" t="s">
        <v>2</v>
      </c>
      <c r="P7" s="386"/>
      <c r="Q7" s="383">
        <f>Q69/$AP$69</f>
        <v>8.0492460539529451E-2</v>
      </c>
      <c r="R7" s="384"/>
      <c r="S7" s="386"/>
      <c r="T7" s="625">
        <f>T69/$AP$69</f>
        <v>8.0492460539529451E-2</v>
      </c>
      <c r="U7" s="626"/>
      <c r="V7" s="385"/>
      <c r="W7" s="625">
        <f>W69/$AP$69</f>
        <v>8.0492460539529451E-2</v>
      </c>
      <c r="X7" s="626"/>
      <c r="Y7" s="642"/>
      <c r="Z7" s="625">
        <f>Z69/$AP$69</f>
        <v>8.0492460539529451E-2</v>
      </c>
      <c r="AA7" s="626"/>
      <c r="AB7" s="385"/>
      <c r="AC7" s="625">
        <f>AC69/$AP$69</f>
        <v>8.0492460539529451E-2</v>
      </c>
      <c r="AD7" s="626"/>
      <c r="AE7" s="385"/>
      <c r="AF7" s="625">
        <f>AF69/$AP$69</f>
        <v>8.0492460539529451E-2</v>
      </c>
      <c r="AG7" s="626"/>
      <c r="AH7" s="642"/>
      <c r="AI7" s="625">
        <f>AI69/$AP$69</f>
        <v>8.0492460539529451E-2</v>
      </c>
      <c r="AJ7" s="626"/>
      <c r="AK7" s="656"/>
      <c r="AL7" s="625">
        <f>AL69/$AP$69</f>
        <v>8.0492460539529451E-2</v>
      </c>
      <c r="AM7" s="626"/>
      <c r="AN7" s="642"/>
      <c r="AO7" s="385"/>
      <c r="AP7" s="661">
        <f>SUM(+$AL7+$AI7+$AF7+$AC7+$Z7+$W7+$T7+$Q7+$N7+$K7+$H7+$E7)</f>
        <v>0.99999999999999978</v>
      </c>
      <c r="AQ7" s="662"/>
      <c r="AR7" s="385"/>
      <c r="AS7" s="899"/>
      <c r="AT7" s="684">
        <f>AP69</f>
        <v>149231.36800000002</v>
      </c>
      <c r="AU7" s="371" t="s">
        <v>44</v>
      </c>
      <c r="AV7" s="685">
        <f>'Formule pour le calcul D'!G106</f>
        <v>22875</v>
      </c>
      <c r="AW7" s="371" t="s">
        <v>45</v>
      </c>
      <c r="AX7" s="371" t="s">
        <v>46</v>
      </c>
      <c r="AY7" s="686">
        <f>'Formule pour le calcul D'!J106</f>
        <v>2.2200000000000002</v>
      </c>
      <c r="AZ7" s="371" t="s">
        <v>45</v>
      </c>
      <c r="BA7" s="687">
        <f>AT7/AV7/AY7</f>
        <v>2.9386376803032541</v>
      </c>
      <c r="BB7" s="371" t="s">
        <v>49</v>
      </c>
      <c r="BC7" s="902"/>
    </row>
    <row r="8" spans="2:55" ht="17" thickBot="1" x14ac:dyDescent="0.25">
      <c r="B8" s="938" t="s">
        <v>197</v>
      </c>
      <c r="C8" s="921"/>
      <c r="D8" s="191"/>
      <c r="E8" s="648" t="str">
        <f>'État des Résultats'!E8</f>
        <v>Pér.01</v>
      </c>
      <c r="F8" s="636" t="str">
        <f>'État des Résultats'!F8</f>
        <v>(%)</v>
      </c>
      <c r="G8" s="188"/>
      <c r="H8" s="648" t="str">
        <f>'État des Résultats'!H8</f>
        <v>Pér.02</v>
      </c>
      <c r="I8" s="636" t="str">
        <f>F8</f>
        <v>(%)</v>
      </c>
      <c r="J8" s="188"/>
      <c r="K8" s="648" t="str">
        <f>'État des Résultats'!K8</f>
        <v>Pér.03</v>
      </c>
      <c r="L8" s="636" t="str">
        <f>I8</f>
        <v>(%)</v>
      </c>
      <c r="M8" s="188"/>
      <c r="N8" s="648" t="str">
        <f>'État des Résultats'!N8</f>
        <v>Pér.04</v>
      </c>
      <c r="O8" s="636" t="str">
        <f>L8</f>
        <v>(%)</v>
      </c>
      <c r="P8" s="389"/>
      <c r="Q8" s="387" t="str">
        <f>'État des Résultats'!Q8</f>
        <v>Pér.05</v>
      </c>
      <c r="R8" s="388" t="str">
        <f>O8</f>
        <v>(%)</v>
      </c>
      <c r="S8" s="389"/>
      <c r="T8" s="648" t="str">
        <f>'État des Résultats'!T8</f>
        <v>Pér.06</v>
      </c>
      <c r="U8" s="636" t="str">
        <f>R8</f>
        <v>(%)</v>
      </c>
      <c r="V8" s="188"/>
      <c r="W8" s="648" t="str">
        <f>'État des Résultats'!W8</f>
        <v>Pér.07</v>
      </c>
      <c r="X8" s="636" t="str">
        <f>U8</f>
        <v>(%)</v>
      </c>
      <c r="Y8" s="643"/>
      <c r="Z8" s="648" t="str">
        <f>'État des Résultats'!Z8</f>
        <v>Pér.08</v>
      </c>
      <c r="AA8" s="636" t="str">
        <f>X8</f>
        <v>(%)</v>
      </c>
      <c r="AB8" s="188"/>
      <c r="AC8" s="648" t="str">
        <f>'État des Résultats'!AC8</f>
        <v>Pér.09</v>
      </c>
      <c r="AD8" s="636" t="str">
        <f>AA8</f>
        <v>(%)</v>
      </c>
      <c r="AE8" s="188"/>
      <c r="AF8" s="648" t="str">
        <f>'État des Résultats'!AF8</f>
        <v>Pér.10</v>
      </c>
      <c r="AG8" s="636" t="str">
        <f>AD8</f>
        <v>(%)</v>
      </c>
      <c r="AH8" s="643"/>
      <c r="AI8" s="648" t="str">
        <f>'État des Résultats'!AI8</f>
        <v>Pér.11</v>
      </c>
      <c r="AJ8" s="636" t="str">
        <f>AG8</f>
        <v>(%)</v>
      </c>
      <c r="AK8" s="657"/>
      <c r="AL8" s="648" t="str">
        <f>'État des Résultats'!AL8</f>
        <v>Pér.12</v>
      </c>
      <c r="AM8" s="636" t="str">
        <f>AJ8</f>
        <v>(%)</v>
      </c>
      <c r="AN8" s="643"/>
      <c r="AO8" s="188"/>
      <c r="AP8" s="663" t="str">
        <f>'État des Résultats'!AP8</f>
        <v>Total</v>
      </c>
      <c r="AQ8" s="664" t="str">
        <f>AM8</f>
        <v>(%)</v>
      </c>
      <c r="AR8" s="188"/>
      <c r="AS8" s="900"/>
      <c r="AT8" s="376"/>
      <c r="AU8" s="376"/>
      <c r="AV8" s="376"/>
      <c r="AW8" s="376"/>
      <c r="AX8" s="376"/>
      <c r="AY8" s="376"/>
      <c r="AZ8" s="376"/>
      <c r="BA8" s="376"/>
      <c r="BB8" s="376"/>
      <c r="BC8" s="903"/>
    </row>
    <row r="9" spans="2:55" ht="15" thickTop="1" thickBot="1" x14ac:dyDescent="0.2">
      <c r="B9" s="926">
        <f>AP69/B7</f>
        <v>2984.6273600000004</v>
      </c>
      <c r="C9" s="927"/>
      <c r="D9" s="191"/>
      <c r="E9" s="649" t="str">
        <f>'État des Résultats'!E9</f>
        <v>Janvier 2021</v>
      </c>
      <c r="F9" s="650"/>
      <c r="G9" s="391"/>
      <c r="H9" s="649" t="str">
        <f>'État des Résultats'!H9</f>
        <v>Février 2021</v>
      </c>
      <c r="I9" s="651"/>
      <c r="J9" s="391"/>
      <c r="K9" s="649" t="str">
        <f>'État des Résultats'!K9</f>
        <v>Mars 2021</v>
      </c>
      <c r="L9" s="651"/>
      <c r="M9" s="391"/>
      <c r="N9" s="649" t="str">
        <f>'État des Résultats'!N9</f>
        <v>Avril 2021</v>
      </c>
      <c r="O9" s="652"/>
      <c r="P9" s="393"/>
      <c r="Q9" s="390" t="str">
        <f>'État des Résultats'!Q9</f>
        <v>Mai 2021</v>
      </c>
      <c r="R9" s="392"/>
      <c r="S9" s="393"/>
      <c r="T9" s="653" t="str">
        <f>'État des Résultats'!T9</f>
        <v>Juin 2021</v>
      </c>
      <c r="U9" s="651"/>
      <c r="V9" s="391"/>
      <c r="W9" s="653" t="str">
        <f>'État des Résultats'!W9</f>
        <v>Juillet 2021</v>
      </c>
      <c r="X9" s="651"/>
      <c r="Y9" s="643"/>
      <c r="Z9" s="653" t="str">
        <f>'État des Résultats'!Z9</f>
        <v>Août 2021</v>
      </c>
      <c r="AA9" s="651"/>
      <c r="AB9" s="391"/>
      <c r="AC9" s="653" t="str">
        <f>'État des Résultats'!AC9</f>
        <v>Septembre 2021</v>
      </c>
      <c r="AD9" s="651"/>
      <c r="AE9" s="391"/>
      <c r="AF9" s="653" t="str">
        <f>'État des Résultats'!AF9</f>
        <v>Octobre 2021</v>
      </c>
      <c r="AG9" s="651"/>
      <c r="AH9" s="654"/>
      <c r="AI9" s="653" t="str">
        <f>'État des Résultats'!AI9</f>
        <v>Novembre 2021</v>
      </c>
      <c r="AJ9" s="651"/>
      <c r="AK9" s="658"/>
      <c r="AL9" s="653" t="str">
        <f>'État des Résultats'!AL9</f>
        <v>Décembre 2021</v>
      </c>
      <c r="AM9" s="651"/>
      <c r="AN9" s="654"/>
      <c r="AO9" s="391"/>
      <c r="AP9" s="665" t="str">
        <f>'État des Résultats'!AP9</f>
        <v>Année</v>
      </c>
      <c r="AQ9" s="666"/>
      <c r="AR9" s="391"/>
      <c r="AS9"/>
      <c r="AT9" s="391"/>
    </row>
    <row r="10" spans="2:55" ht="15" thickTop="1" thickBot="1" x14ac:dyDescent="0.2">
      <c r="B10" s="502"/>
      <c r="C10" s="503"/>
      <c r="D10" s="504"/>
      <c r="E10" s="505"/>
      <c r="F10" s="506"/>
      <c r="G10" s="504"/>
      <c r="H10" s="507"/>
      <c r="I10" s="508"/>
      <c r="J10" s="504"/>
      <c r="K10" s="507"/>
      <c r="L10" s="508"/>
      <c r="M10" s="504"/>
      <c r="N10" s="507"/>
      <c r="O10" s="508"/>
      <c r="P10" s="509"/>
      <c r="Q10" s="507"/>
      <c r="R10" s="508"/>
      <c r="S10" s="504"/>
      <c r="T10" s="507"/>
      <c r="U10" s="508"/>
      <c r="V10" s="504"/>
      <c r="W10" s="507"/>
      <c r="X10" s="508"/>
      <c r="Y10" s="504"/>
      <c r="Z10" s="507"/>
      <c r="AA10" s="508"/>
      <c r="AB10" s="504"/>
      <c r="AC10" s="507"/>
      <c r="AD10" s="508"/>
      <c r="AE10" s="504"/>
      <c r="AF10" s="507"/>
      <c r="AG10" s="508"/>
      <c r="AH10" s="504"/>
      <c r="AI10" s="507"/>
      <c r="AJ10" s="508"/>
      <c r="AK10" s="504"/>
      <c r="AL10" s="507"/>
      <c r="AM10" s="508"/>
      <c r="AN10" s="504"/>
      <c r="AO10" s="504"/>
      <c r="AP10" s="510"/>
      <c r="AQ10" s="511"/>
    </row>
    <row r="11" spans="2:55" ht="18" customHeight="1" thickTop="1" thickBot="1" x14ac:dyDescent="0.2">
      <c r="B11" s="536"/>
      <c r="C11" s="537" t="str">
        <f>' Total des coûts de MO'!C13</f>
        <v>Salaires "Management"</v>
      </c>
      <c r="D11" s="191"/>
      <c r="E11" s="541"/>
      <c r="F11" s="542"/>
      <c r="H11" s="541"/>
      <c r="I11" s="542"/>
      <c r="K11" s="541"/>
      <c r="L11" s="542"/>
      <c r="N11" s="541"/>
      <c r="O11" s="542"/>
      <c r="Q11" s="541"/>
      <c r="R11" s="542"/>
      <c r="T11" s="541"/>
      <c r="U11" s="542"/>
      <c r="W11" s="541"/>
      <c r="X11" s="542"/>
      <c r="Z11" s="541"/>
      <c r="AA11" s="542"/>
      <c r="AC11" s="541"/>
      <c r="AD11" s="542"/>
      <c r="AF11" s="541"/>
      <c r="AG11" s="542"/>
      <c r="AI11" s="541"/>
      <c r="AJ11" s="542"/>
      <c r="AK11" s="201"/>
      <c r="AL11" s="541"/>
      <c r="AM11" s="542"/>
      <c r="AP11" s="543"/>
      <c r="AQ11" s="544"/>
    </row>
    <row r="12" spans="2:55" ht="14" thickTop="1" x14ac:dyDescent="0.15">
      <c r="B12" s="191">
        <f>' Total des coûts de MO'!B13</f>
        <v>6110</v>
      </c>
      <c r="C12" s="394" t="str">
        <f>' Total des coûts de MO'!C11</f>
        <v>Salaires</v>
      </c>
      <c r="D12" s="191"/>
      <c r="E12" s="395">
        <v>2000</v>
      </c>
      <c r="F12" s="488">
        <f>E12/'État des Résultats'!E14</f>
        <v>5.221230043479793E-2</v>
      </c>
      <c r="G12" s="396">
        <v>2.0471491084515695E-6</v>
      </c>
      <c r="H12" s="395">
        <v>2000</v>
      </c>
      <c r="I12" s="488">
        <f>H12/'État des Résultats'!H14</f>
        <v>6.4229417201537131E-2</v>
      </c>
      <c r="K12" s="395">
        <v>2000</v>
      </c>
      <c r="L12" s="488">
        <f>K12/'État des Résultats'!K14</f>
        <v>5.221230043479793E-2</v>
      </c>
      <c r="N12" s="395">
        <v>2000</v>
      </c>
      <c r="O12" s="488">
        <f>N12/'État des Résultats'!N14</f>
        <v>4.9047918590264722E-2</v>
      </c>
      <c r="Q12" s="395">
        <v>2000</v>
      </c>
      <c r="R12" s="488">
        <f>Q12/'État des Résultats'!Q14</f>
        <v>4.3510250362331603E-2</v>
      </c>
      <c r="T12" s="395">
        <v>2000</v>
      </c>
      <c r="U12" s="488">
        <f>T12/'État des Résultats'!T14</f>
        <v>3.5968473632860792E-2</v>
      </c>
      <c r="W12" s="395">
        <v>2000</v>
      </c>
      <c r="X12" s="488">
        <f>W12/'État des Résultats'!W14</f>
        <v>2.6106150217398965E-2</v>
      </c>
      <c r="Z12" s="395">
        <v>2000</v>
      </c>
      <c r="AA12" s="488">
        <f>Z12/'État des Résultats'!Z14</f>
        <v>2.9006833574887737E-2</v>
      </c>
      <c r="AC12" s="395">
        <v>2000</v>
      </c>
      <c r="AD12" s="488">
        <f>AC12/'État des Résultats'!AC14</f>
        <v>4.4960592041075997E-2</v>
      </c>
      <c r="AF12" s="395">
        <v>2000</v>
      </c>
      <c r="AG12" s="488">
        <f>AF12/'État des Résultats'!AF14</f>
        <v>4.7465727667998121E-2</v>
      </c>
      <c r="AI12" s="395">
        <v>2000</v>
      </c>
      <c r="AJ12" s="488">
        <f>AI12/'État des Résultats'!AI14</f>
        <v>5.3952710449291195E-2</v>
      </c>
      <c r="AK12" s="201"/>
      <c r="AL12" s="395">
        <v>2000</v>
      </c>
      <c r="AM12" s="488">
        <f>AL12/'État des Résultats'!AL14</f>
        <v>4.3510250362331603E-2</v>
      </c>
      <c r="AP12" s="482">
        <f>SUM(+$AL12+$AI12+$AF12+$AC12+$Z12+$W12+$T12+$Q12+$N12+$K12+$H12+$E12)</f>
        <v>24000</v>
      </c>
      <c r="AQ12" s="483">
        <f>AP12/'État des Résultats'!AP14</f>
        <v>4.245459182895045E-2</v>
      </c>
    </row>
    <row r="13" spans="2:55" x14ac:dyDescent="0.15">
      <c r="B13" s="191">
        <f>' Total des coûts de MO'!B27</f>
        <v>6205</v>
      </c>
      <c r="C13" s="394" t="str">
        <f>' Total des coûts de MO'!C27</f>
        <v>Bénéfices gouvernementaux</v>
      </c>
      <c r="D13" s="191"/>
      <c r="E13" s="397">
        <f>+E12*$H$76</f>
        <v>240</v>
      </c>
      <c r="F13" s="398">
        <f>E13/'État des Résultats'!E14</f>
        <v>6.2654760521757514E-3</v>
      </c>
      <c r="H13" s="397">
        <f>+H12*$H$76</f>
        <v>240</v>
      </c>
      <c r="I13" s="398">
        <f>H13/'État des Résultats'!H14</f>
        <v>7.7075300641844561E-3</v>
      </c>
      <c r="K13" s="397">
        <f>+K12*$H$76</f>
        <v>240</v>
      </c>
      <c r="L13" s="398">
        <f>K13/'État des Résultats'!K14</f>
        <v>6.2654760521757514E-3</v>
      </c>
      <c r="N13" s="397">
        <f>+N12*$H$76</f>
        <v>240</v>
      </c>
      <c r="O13" s="398">
        <f>N13/'État des Résultats'!N14</f>
        <v>5.8857502308317664E-3</v>
      </c>
      <c r="Q13" s="397">
        <f>+Q12*$H$76</f>
        <v>240</v>
      </c>
      <c r="R13" s="398">
        <f>Q13/'État des Résultats'!Q14</f>
        <v>5.2212300434797921E-3</v>
      </c>
      <c r="T13" s="397">
        <f>+T12*$H$76</f>
        <v>240</v>
      </c>
      <c r="U13" s="398">
        <f>T13/'État des Résultats'!T14</f>
        <v>4.3162168359432949E-3</v>
      </c>
      <c r="W13" s="397">
        <f>+W12*$H$76</f>
        <v>240</v>
      </c>
      <c r="X13" s="398">
        <f>W13/'État des Résultats'!W14</f>
        <v>3.1327380260878757E-3</v>
      </c>
      <c r="Z13" s="397">
        <f>+Z12*$H$76</f>
        <v>240</v>
      </c>
      <c r="AA13" s="398">
        <f>Z13/'État des Résultats'!Z14</f>
        <v>3.4808200289865284E-3</v>
      </c>
      <c r="AC13" s="397">
        <f>+AC12*$H$76</f>
        <v>240</v>
      </c>
      <c r="AD13" s="398">
        <f>AC13/'État des Résultats'!AC14</f>
        <v>5.3952710449291195E-3</v>
      </c>
      <c r="AF13" s="397">
        <f>+AF12*$H$76</f>
        <v>240</v>
      </c>
      <c r="AG13" s="398">
        <f>AF13/'État des Résultats'!AF14</f>
        <v>5.6958873201597739E-3</v>
      </c>
      <c r="AI13" s="397">
        <f>+AI12*$H$76</f>
        <v>240</v>
      </c>
      <c r="AJ13" s="398">
        <f>AI13/'État des Résultats'!AI14</f>
        <v>6.4743252539149433E-3</v>
      </c>
      <c r="AK13" s="201"/>
      <c r="AL13" s="397">
        <f>+AL12*$H$76</f>
        <v>240</v>
      </c>
      <c r="AM13" s="398">
        <f>AL13/'État des Résultats'!AL14</f>
        <v>5.2212300434797921E-3</v>
      </c>
      <c r="AP13" s="482">
        <f>SUM(+$AL13+$AI13+$AF13+$AC13+$Z13+$W13+$T13+$Q13+$N13+$K13+$H13+$E13)</f>
        <v>2880</v>
      </c>
      <c r="AQ13" s="484">
        <f>AP13/'État des Résultats'!AP14</f>
        <v>5.0945510194740536E-3</v>
      </c>
    </row>
    <row r="14" spans="2:55" ht="14" thickBot="1" x14ac:dyDescent="0.2">
      <c r="B14" s="191">
        <f>' Total des coûts de MO'!B31</f>
        <v>6245</v>
      </c>
      <c r="C14" s="394" t="str">
        <f>' Total des coûts de MO'!C31</f>
        <v>CSST et CNT</v>
      </c>
      <c r="D14" s="191"/>
      <c r="E14" s="397">
        <f>(E12/100)*$F$72</f>
        <v>48</v>
      </c>
      <c r="F14" s="398">
        <f>E14/'État des Résultats'!E14</f>
        <v>1.2530952104351503E-3</v>
      </c>
      <c r="H14" s="397">
        <f>(H12/100)*$F$72</f>
        <v>48</v>
      </c>
      <c r="I14" s="398">
        <f>H14/'État des Résultats'!H14</f>
        <v>1.5415060128368913E-3</v>
      </c>
      <c r="K14" s="397">
        <f>(K12/100)*$F$72</f>
        <v>48</v>
      </c>
      <c r="L14" s="398">
        <f>K14/'État des Résultats'!K14</f>
        <v>1.2530952104351503E-3</v>
      </c>
      <c r="N14" s="397">
        <f>(N12/100)*$F$72</f>
        <v>48</v>
      </c>
      <c r="O14" s="398">
        <f>N14/'État des Résultats'!N14</f>
        <v>1.1771500461663531E-3</v>
      </c>
      <c r="Q14" s="397">
        <f>(Q12/100)*$F$72</f>
        <v>48</v>
      </c>
      <c r="R14" s="398">
        <f>Q14/'État des Résultats'!Q14</f>
        <v>1.0442460086959584E-3</v>
      </c>
      <c r="T14" s="397">
        <f>(T12/100)*$F$72</f>
        <v>48</v>
      </c>
      <c r="U14" s="398">
        <f>T14/'État des Résultats'!T14</f>
        <v>8.6324336718865901E-4</v>
      </c>
      <c r="W14" s="397">
        <f>(W12/100)*$F$72</f>
        <v>48</v>
      </c>
      <c r="X14" s="398">
        <f>W14/'État des Résultats'!W14</f>
        <v>6.2654760521757514E-4</v>
      </c>
      <c r="Z14" s="397">
        <f>(Z12/100)*$F$72</f>
        <v>48</v>
      </c>
      <c r="AA14" s="398">
        <f>Z14/'État des Résultats'!Z14</f>
        <v>6.9616400579730576E-4</v>
      </c>
      <c r="AC14" s="397">
        <f>(AC12/100)*$F$72</f>
        <v>48</v>
      </c>
      <c r="AD14" s="398">
        <f>AC14/'État des Résultats'!AC14</f>
        <v>1.079054208985824E-3</v>
      </c>
      <c r="AF14" s="397">
        <f>(AF12/100)*$F$72</f>
        <v>48</v>
      </c>
      <c r="AG14" s="398">
        <f>AF14/'État des Résultats'!AF14</f>
        <v>1.1391774640319549E-3</v>
      </c>
      <c r="AI14" s="397">
        <f>(AI12/100)*$F$72</f>
        <v>48</v>
      </c>
      <c r="AJ14" s="398">
        <f>AI14/'État des Résultats'!AI14</f>
        <v>1.2948650507829888E-3</v>
      </c>
      <c r="AK14" s="201"/>
      <c r="AL14" s="397">
        <f>(AL12/100)*$F$72</f>
        <v>48</v>
      </c>
      <c r="AM14" s="398">
        <f>AL14/'État des Résultats'!AL14</f>
        <v>1.0442460086959584E-3</v>
      </c>
      <c r="AP14" s="482">
        <f>SUM(+$AL14+$AI14+$AF14+$AC14+$Z14+$W14+$T14+$Q14+$N14+$K14+$H14+$E14)</f>
        <v>576</v>
      </c>
      <c r="AQ14" s="484">
        <f>AP14/'État des Résultats'!AP14</f>
        <v>1.0189102038948108E-3</v>
      </c>
    </row>
    <row r="15" spans="2:55" ht="15" thickTop="1" thickBot="1" x14ac:dyDescent="0.2">
      <c r="B15" s="499"/>
      <c r="C15" s="500" t="s">
        <v>220</v>
      </c>
      <c r="D15" s="401"/>
      <c r="E15" s="402">
        <f>SUM(E12:E14)</f>
        <v>2288</v>
      </c>
      <c r="F15" s="403">
        <f>E15/'État des Résultats'!E14</f>
        <v>5.973087169740883E-2</v>
      </c>
      <c r="G15" s="214"/>
      <c r="H15" s="402">
        <f>SUM(H12:H14)</f>
        <v>2288</v>
      </c>
      <c r="I15" s="403">
        <f>H15/'État des Résultats'!H14</f>
        <v>7.3478453278558481E-2</v>
      </c>
      <c r="J15" s="214"/>
      <c r="K15" s="402">
        <f>SUM(K12:K14)</f>
        <v>2288</v>
      </c>
      <c r="L15" s="403">
        <f>K15/'État des Résultats'!K14</f>
        <v>5.973087169740883E-2</v>
      </c>
      <c r="M15" s="214"/>
      <c r="N15" s="402">
        <f>SUM(N12:N14)</f>
        <v>2288</v>
      </c>
      <c r="O15" s="403">
        <f>N15/'État des Résultats'!N14</f>
        <v>5.6110818867262838E-2</v>
      </c>
      <c r="P15" s="214"/>
      <c r="Q15" s="402">
        <f>SUM(Q12:Q14)</f>
        <v>2288</v>
      </c>
      <c r="R15" s="403">
        <f>Q15/'État des Résultats'!Q14</f>
        <v>4.9775726414507351E-2</v>
      </c>
      <c r="S15" s="214"/>
      <c r="T15" s="402">
        <f>SUM(T12:T14)</f>
        <v>2288</v>
      </c>
      <c r="U15" s="403">
        <f>T15/'État des Résultats'!T14</f>
        <v>4.1147933835992745E-2</v>
      </c>
      <c r="V15" s="214"/>
      <c r="W15" s="402">
        <f>SUM(W12:W14)</f>
        <v>2288</v>
      </c>
      <c r="X15" s="403">
        <f>W15/'État des Résultats'!W14</f>
        <v>2.9865435848704415E-2</v>
      </c>
      <c r="Y15" s="214"/>
      <c r="Z15" s="402">
        <f>SUM(Z12:Z14)</f>
        <v>2288</v>
      </c>
      <c r="AA15" s="403">
        <f>Z15/'État des Résultats'!Z14</f>
        <v>3.3183817609671575E-2</v>
      </c>
      <c r="AB15" s="214"/>
      <c r="AC15" s="402">
        <f>SUM(AC12:AC14)</f>
        <v>2288</v>
      </c>
      <c r="AD15" s="403">
        <f>AC15/'État des Résultats'!AC14</f>
        <v>5.1434917294990938E-2</v>
      </c>
      <c r="AE15" s="214"/>
      <c r="AF15" s="402">
        <f>SUM(AF12:AF14)</f>
        <v>2288</v>
      </c>
      <c r="AG15" s="403">
        <f>AF15/'État des Résultats'!AF14</f>
        <v>5.4300792452189849E-2</v>
      </c>
      <c r="AH15" s="214"/>
      <c r="AI15" s="402">
        <f>SUM(AI12:AI14)</f>
        <v>2288</v>
      </c>
      <c r="AJ15" s="403">
        <f>AI15/'État des Résultats'!AI14</f>
        <v>6.1721900753989131E-2</v>
      </c>
      <c r="AK15" s="404"/>
      <c r="AL15" s="402">
        <f>SUM(AL12:AL14)</f>
        <v>2288</v>
      </c>
      <c r="AM15" s="403">
        <f>AL15/'État des Résultats'!AL14</f>
        <v>4.9775726414507351E-2</v>
      </c>
      <c r="AN15" s="214"/>
      <c r="AO15" s="214"/>
      <c r="AP15" s="554">
        <f>SUM(AP12:AP14)</f>
        <v>27456</v>
      </c>
      <c r="AQ15" s="555">
        <f>+SUM(AQ12:AQ14)</f>
        <v>4.8568053052319309E-2</v>
      </c>
      <c r="AR15" s="252"/>
      <c r="AS15" s="252"/>
      <c r="AT15" s="252"/>
      <c r="AU15" s="252"/>
      <c r="AV15" s="252"/>
      <c r="AW15" s="252"/>
    </row>
    <row r="16" spans="2:55" ht="15" thickTop="1" thickBot="1" x14ac:dyDescent="0.2">
      <c r="B16" s="504"/>
      <c r="C16" s="504" t="s">
        <v>2</v>
      </c>
      <c r="D16" s="504"/>
      <c r="E16" s="512"/>
      <c r="F16" s="513"/>
      <c r="G16" s="504"/>
      <c r="H16" s="512"/>
      <c r="I16" s="513"/>
      <c r="J16" s="504"/>
      <c r="K16" s="512"/>
      <c r="L16" s="513"/>
      <c r="M16" s="504"/>
      <c r="N16" s="512"/>
      <c r="O16" s="513"/>
      <c r="P16" s="504"/>
      <c r="Q16" s="512"/>
      <c r="R16" s="513"/>
      <c r="S16" s="504"/>
      <c r="T16" s="512"/>
      <c r="U16" s="513"/>
      <c r="V16" s="504"/>
      <c r="W16" s="512"/>
      <c r="X16" s="513"/>
      <c r="Y16" s="504"/>
      <c r="Z16" s="512"/>
      <c r="AA16" s="513"/>
      <c r="AB16" s="504"/>
      <c r="AC16" s="512"/>
      <c r="AD16" s="513"/>
      <c r="AE16" s="504"/>
      <c r="AF16" s="512"/>
      <c r="AG16" s="513"/>
      <c r="AH16" s="504"/>
      <c r="AI16" s="512"/>
      <c r="AJ16" s="513"/>
      <c r="AK16" s="504"/>
      <c r="AL16" s="512"/>
      <c r="AM16" s="513"/>
      <c r="AN16" s="504"/>
      <c r="AO16" s="504"/>
      <c r="AP16" s="514"/>
      <c r="AQ16" s="515"/>
    </row>
    <row r="17" spans="2:69" ht="15" thickTop="1" thickBot="1" x14ac:dyDescent="0.2">
      <c r="B17" s="546"/>
      <c r="C17" s="537" t="str">
        <f>' Total des coûts de MO'!C14</f>
        <v>Salaire "Production"</v>
      </c>
      <c r="D17" s="191"/>
      <c r="E17" s="552"/>
      <c r="F17" s="539"/>
      <c r="H17" s="552"/>
      <c r="I17" s="539"/>
      <c r="K17" s="552"/>
      <c r="L17" s="539"/>
      <c r="N17" s="552"/>
      <c r="O17" s="539"/>
      <c r="Q17" s="552"/>
      <c r="R17" s="539"/>
      <c r="T17" s="552"/>
      <c r="U17" s="539"/>
      <c r="W17" s="552"/>
      <c r="X17" s="539"/>
      <c r="Z17" s="552"/>
      <c r="AA17" s="539"/>
      <c r="AC17" s="552"/>
      <c r="AD17" s="539"/>
      <c r="AF17" s="552"/>
      <c r="AG17" s="539"/>
      <c r="AI17" s="552"/>
      <c r="AJ17" s="539"/>
      <c r="AK17" s="201"/>
      <c r="AL17" s="552"/>
      <c r="AM17" s="539"/>
      <c r="AP17" s="540"/>
      <c r="AQ17" s="539"/>
    </row>
    <row r="18" spans="2:69" ht="14" thickTop="1" x14ac:dyDescent="0.15">
      <c r="B18" s="191">
        <f>' Total des coûts de MO'!B14</f>
        <v>6120</v>
      </c>
      <c r="C18" s="394" t="str">
        <f>' Total des coûts de MO'!C11</f>
        <v>Salaires</v>
      </c>
      <c r="D18" s="191"/>
      <c r="E18" s="406">
        <v>3000</v>
      </c>
      <c r="F18" s="489">
        <f>+E18/'État des Résultats'!E14</f>
        <v>7.8318450652196892E-2</v>
      </c>
      <c r="H18" s="406">
        <v>3000</v>
      </c>
      <c r="I18" s="489">
        <f>+H18/'État des Résultats'!H14</f>
        <v>9.6344125802305711E-2</v>
      </c>
      <c r="K18" s="406">
        <v>3000</v>
      </c>
      <c r="L18" s="489">
        <f>+K18/'État des Résultats'!K14</f>
        <v>7.8318450652196892E-2</v>
      </c>
      <c r="N18" s="406">
        <v>3000</v>
      </c>
      <c r="O18" s="489">
        <f>+N18/'État des Résultats'!N14</f>
        <v>7.3571877885397083E-2</v>
      </c>
      <c r="Q18" s="406">
        <v>3000</v>
      </c>
      <c r="R18" s="489">
        <f>+Q18/'État des Résultats'!Q14</f>
        <v>6.52653755434974E-2</v>
      </c>
      <c r="T18" s="406">
        <v>3000</v>
      </c>
      <c r="U18" s="489">
        <f>+T18/'État des Résultats'!T14</f>
        <v>5.3952710449291189E-2</v>
      </c>
      <c r="W18" s="406">
        <v>3000</v>
      </c>
      <c r="X18" s="489">
        <f>+W18/'État des Résultats'!W14</f>
        <v>3.9159225326098446E-2</v>
      </c>
      <c r="Z18" s="406">
        <v>3000</v>
      </c>
      <c r="AA18" s="489">
        <f>+Z18/'État des Résultats'!Z14</f>
        <v>4.3510250362331609E-2</v>
      </c>
      <c r="AC18" s="406">
        <v>3000</v>
      </c>
      <c r="AD18" s="489">
        <f>+AC18/'État des Résultats'!AC14</f>
        <v>6.7440888061613996E-2</v>
      </c>
      <c r="AF18" s="406">
        <v>3000</v>
      </c>
      <c r="AG18" s="489">
        <f>+AF18/'État des Résultats'!AF14</f>
        <v>7.1198591501997172E-2</v>
      </c>
      <c r="AI18" s="406">
        <v>3000</v>
      </c>
      <c r="AJ18" s="489">
        <f>+AI18/'État des Résultats'!AI14</f>
        <v>8.092906567393679E-2</v>
      </c>
      <c r="AK18" s="201"/>
      <c r="AL18" s="406">
        <v>3000</v>
      </c>
      <c r="AM18" s="489">
        <f>+AL18/'État des Résultats'!AL14</f>
        <v>6.52653755434974E-2</v>
      </c>
      <c r="AP18" s="485">
        <f>SUM(+$AL18+$AI18+$AF18+$AC18+$Z18+$W18+$T18+$Q18+$N18+$K18+$H18+$E18)</f>
        <v>36000</v>
      </c>
      <c r="AQ18" s="484">
        <f>AP18/'État des Résultats'!AP14</f>
        <v>6.3681887743425675E-2</v>
      </c>
    </row>
    <row r="19" spans="2:69" x14ac:dyDescent="0.15">
      <c r="B19" s="191">
        <f>B13</f>
        <v>6205</v>
      </c>
      <c r="C19" s="394" t="str">
        <f>' Total des coûts de MO'!C27</f>
        <v>Bénéfices gouvernementaux</v>
      </c>
      <c r="D19" s="191"/>
      <c r="E19" s="397">
        <f>+E18*$H$76</f>
        <v>360</v>
      </c>
      <c r="F19" s="398">
        <f>E19/'État des Résultats'!E14</f>
        <v>9.3982140782636267E-3</v>
      </c>
      <c r="H19" s="397">
        <f>+H18*$H$76</f>
        <v>360</v>
      </c>
      <c r="I19" s="398">
        <f>H19/'État des Résultats'!H14</f>
        <v>1.1561295096276684E-2</v>
      </c>
      <c r="K19" s="397">
        <f>+K18*$H$76</f>
        <v>360</v>
      </c>
      <c r="L19" s="398">
        <f>K19/'État des Résultats'!K14</f>
        <v>9.3982140782636267E-3</v>
      </c>
      <c r="N19" s="397">
        <f>+N18*$H$76</f>
        <v>360</v>
      </c>
      <c r="O19" s="398">
        <f>N19/'État des Résultats'!N14</f>
        <v>8.82862534624765E-3</v>
      </c>
      <c r="Q19" s="397">
        <f>+Q18*$H$76</f>
        <v>360</v>
      </c>
      <c r="R19" s="398">
        <f>Q19/'État des Résultats'!Q14</f>
        <v>7.8318450652196878E-3</v>
      </c>
      <c r="T19" s="397">
        <f>+T18*$H$76</f>
        <v>360</v>
      </c>
      <c r="U19" s="398">
        <f>T19/'État des Résultats'!T14</f>
        <v>6.4743252539149424E-3</v>
      </c>
      <c r="W19" s="397">
        <f>+W18*$H$76</f>
        <v>360</v>
      </c>
      <c r="X19" s="398">
        <f>W19/'État des Résultats'!W14</f>
        <v>4.6991070391318134E-3</v>
      </c>
      <c r="Z19" s="397">
        <f>+Z18*$H$76</f>
        <v>360</v>
      </c>
      <c r="AA19" s="398">
        <f>Z19/'État des Résultats'!Z14</f>
        <v>5.221230043479793E-3</v>
      </c>
      <c r="AC19" s="397">
        <f>+AC18*$H$76</f>
        <v>360</v>
      </c>
      <c r="AD19" s="398">
        <f>AC19/'État des Résultats'!AC14</f>
        <v>8.0929065673936793E-3</v>
      </c>
      <c r="AF19" s="397">
        <f>+AF18*$H$76</f>
        <v>360</v>
      </c>
      <c r="AG19" s="398">
        <f>AF19/'État des Résultats'!AF14</f>
        <v>8.5438309802396608E-3</v>
      </c>
      <c r="AI19" s="397">
        <f>+AI18*$H$76</f>
        <v>360</v>
      </c>
      <c r="AJ19" s="398">
        <f>AI19/'État des Résultats'!AI14</f>
        <v>9.7114878808724145E-3</v>
      </c>
      <c r="AK19" s="201"/>
      <c r="AL19" s="397">
        <f>+AL18*$H$76</f>
        <v>360</v>
      </c>
      <c r="AM19" s="398">
        <f>AL19/'État des Résultats'!AL14</f>
        <v>7.8318450652196878E-3</v>
      </c>
      <c r="AP19" s="485">
        <f>SUM(+$AL19+$AI19+$AF19+$AC19+$Z19+$W19+$T19+$Q19+$N19+$K19+$H19+$E19)</f>
        <v>4320</v>
      </c>
      <c r="AQ19" s="484">
        <f>AP19/'État des Résultats'!AP14</f>
        <v>7.6418265292110812E-3</v>
      </c>
    </row>
    <row r="20" spans="2:69" ht="14" thickBot="1" x14ac:dyDescent="0.2">
      <c r="B20" s="191">
        <f>B14</f>
        <v>6245</v>
      </c>
      <c r="C20" s="394" t="str">
        <f>' Total des coûts de MO'!C31</f>
        <v>CSST et CNT</v>
      </c>
      <c r="D20" s="191"/>
      <c r="E20" s="397">
        <f>(E18/100)*$F$72</f>
        <v>72</v>
      </c>
      <c r="F20" s="398">
        <f>E20/'État des Résultats'!E14</f>
        <v>1.8796428156527254E-3</v>
      </c>
      <c r="H20" s="397">
        <f>(H18/100)*$F$72</f>
        <v>72</v>
      </c>
      <c r="I20" s="398">
        <f>H20/'État des Résultats'!H14</f>
        <v>2.312259019255337E-3</v>
      </c>
      <c r="K20" s="397">
        <f>(K18/100)*$F$72</f>
        <v>72</v>
      </c>
      <c r="L20" s="398">
        <f>K20/'État des Résultats'!K14</f>
        <v>1.8796428156527254E-3</v>
      </c>
      <c r="N20" s="397">
        <f>(N18/100)*$F$72</f>
        <v>72</v>
      </c>
      <c r="O20" s="398">
        <f>N20/'État des Résultats'!N14</f>
        <v>1.7657250692495298E-3</v>
      </c>
      <c r="Q20" s="397">
        <f>(Q18/100)*$F$72</f>
        <v>72</v>
      </c>
      <c r="R20" s="398">
        <f>Q20/'État des Résultats'!Q14</f>
        <v>1.5663690130439376E-3</v>
      </c>
      <c r="T20" s="397">
        <f>(T18/100)*$F$72</f>
        <v>72</v>
      </c>
      <c r="U20" s="398">
        <f>T20/'État des Résultats'!T14</f>
        <v>1.2948650507829886E-3</v>
      </c>
      <c r="W20" s="397">
        <f>(W18/100)*$F$72</f>
        <v>72</v>
      </c>
      <c r="X20" s="398">
        <f>W20/'État des Résultats'!W14</f>
        <v>9.3982140782636271E-4</v>
      </c>
      <c r="Z20" s="397">
        <f>(Z18/100)*$F$72</f>
        <v>72</v>
      </c>
      <c r="AA20" s="398">
        <f>Z20/'État des Résultats'!Z14</f>
        <v>1.0442460086959586E-3</v>
      </c>
      <c r="AC20" s="397">
        <f>(AC18/100)*$F$72</f>
        <v>72</v>
      </c>
      <c r="AD20" s="398">
        <f>AC20/'État des Résultats'!AC14</f>
        <v>1.6185813134787358E-3</v>
      </c>
      <c r="AF20" s="397">
        <f>(AF18/100)*$F$72</f>
        <v>72</v>
      </c>
      <c r="AG20" s="398">
        <f>AF20/'État des Résultats'!AF14</f>
        <v>1.7087661960479322E-3</v>
      </c>
      <c r="AI20" s="397">
        <f>(AI18/100)*$F$72</f>
        <v>72</v>
      </c>
      <c r="AJ20" s="398">
        <f>AI20/'État des Résultats'!AI14</f>
        <v>1.9422975761744831E-3</v>
      </c>
      <c r="AK20" s="201"/>
      <c r="AL20" s="397">
        <f>(AL18/100)*$F$72</f>
        <v>72</v>
      </c>
      <c r="AM20" s="398">
        <f>AL20/'État des Résultats'!AL14</f>
        <v>1.5663690130439376E-3</v>
      </c>
      <c r="AP20" s="485">
        <f>SUM(+$AL20+$AI20+$AF20+$AC20+$Z20+$W20+$T20+$Q20+$N20+$K20+$H20+$E20)</f>
        <v>864</v>
      </c>
      <c r="AQ20" s="484">
        <f>AP20/'État des Résultats'!AP14</f>
        <v>1.5283653058422162E-3</v>
      </c>
    </row>
    <row r="21" spans="2:69" ht="15" thickTop="1" thickBot="1" x14ac:dyDescent="0.2">
      <c r="B21" s="499"/>
      <c r="C21" s="500" t="s">
        <v>221</v>
      </c>
      <c r="D21" s="401"/>
      <c r="E21" s="408">
        <f>SUM(E18:E20)</f>
        <v>3432</v>
      </c>
      <c r="F21" s="409">
        <f>SUM(F18:F20)</f>
        <v>8.9596307546113252E-2</v>
      </c>
      <c r="G21" s="214"/>
      <c r="H21" s="408">
        <f>SUM(H18:H20)</f>
        <v>3432</v>
      </c>
      <c r="I21" s="409">
        <f>SUM(I18:I20)</f>
        <v>0.11021767991783772</v>
      </c>
      <c r="J21" s="214"/>
      <c r="K21" s="408">
        <f>SUM(K18:K20)</f>
        <v>3432</v>
      </c>
      <c r="L21" s="409">
        <f>SUM(L18:L20)</f>
        <v>8.9596307546113252E-2</v>
      </c>
      <c r="M21" s="214"/>
      <c r="N21" s="408">
        <f>SUM(N18:N20)</f>
        <v>3432</v>
      </c>
      <c r="O21" s="409">
        <f>SUM(O18:O20)</f>
        <v>8.4166228300894264E-2</v>
      </c>
      <c r="P21" s="214"/>
      <c r="Q21" s="408">
        <f>SUM(Q18:Q20)</f>
        <v>3432</v>
      </c>
      <c r="R21" s="409">
        <f>SUM(R18:R20)</f>
        <v>7.4663589621761034E-2</v>
      </c>
      <c r="S21" s="214"/>
      <c r="T21" s="408">
        <f>SUM(T18:T20)</f>
        <v>3432</v>
      </c>
      <c r="U21" s="409">
        <f>SUM(U18:U20)</f>
        <v>6.1721900753989117E-2</v>
      </c>
      <c r="V21" s="214"/>
      <c r="W21" s="408">
        <f>SUM(W18:W20)</f>
        <v>3432</v>
      </c>
      <c r="X21" s="409">
        <f>SUM(X18:X20)</f>
        <v>4.4798153773056626E-2</v>
      </c>
      <c r="Y21" s="214"/>
      <c r="Z21" s="408">
        <f>SUM(Z18:Z20)</f>
        <v>3432</v>
      </c>
      <c r="AA21" s="409">
        <f>SUM(AA18:AA20)</f>
        <v>4.9775726414507365E-2</v>
      </c>
      <c r="AB21" s="214"/>
      <c r="AC21" s="408">
        <f>SUM(AC18:AC20)</f>
        <v>3432</v>
      </c>
      <c r="AD21" s="409">
        <f>SUM(AD18:AD20)</f>
        <v>7.7152375942486418E-2</v>
      </c>
      <c r="AE21" s="214"/>
      <c r="AF21" s="408">
        <f>SUM(AF18:AF20)</f>
        <v>3432</v>
      </c>
      <c r="AG21" s="409">
        <f>SUM(AG18:AG20)</f>
        <v>8.1451188678284756E-2</v>
      </c>
      <c r="AH21" s="214"/>
      <c r="AI21" s="408">
        <f>SUM(AI18:AI20)</f>
        <v>3432</v>
      </c>
      <c r="AJ21" s="409">
        <f>SUM(AJ18:AJ20)</f>
        <v>9.258285113098369E-2</v>
      </c>
      <c r="AK21" s="404"/>
      <c r="AL21" s="408">
        <f>SUM(AL18:AL20)</f>
        <v>3432</v>
      </c>
      <c r="AM21" s="409">
        <f>SUM(AM18:AM20)</f>
        <v>7.4663589621761034E-2</v>
      </c>
      <c r="AN21" s="214"/>
      <c r="AO21" s="214"/>
      <c r="AP21" s="410">
        <f>SUM(AP18+AP19+AP20)</f>
        <v>41184</v>
      </c>
      <c r="AQ21" s="411">
        <f>AP21/'État des Résultats'!AP14</f>
        <v>7.2852079578478973E-2</v>
      </c>
      <c r="AR21" s="252"/>
      <c r="AS21" s="252"/>
      <c r="AT21" s="252"/>
      <c r="AU21" s="252"/>
    </row>
    <row r="22" spans="2:69" ht="15" thickTop="1" thickBot="1" x14ac:dyDescent="0.2">
      <c r="B22" s="504"/>
      <c r="C22" s="504"/>
      <c r="D22" s="504"/>
      <c r="E22" s="512"/>
      <c r="F22" s="513"/>
      <c r="G22" s="504"/>
      <c r="H22" s="512"/>
      <c r="I22" s="513"/>
      <c r="J22" s="504"/>
      <c r="K22" s="512"/>
      <c r="L22" s="513"/>
      <c r="M22" s="504"/>
      <c r="N22" s="512"/>
      <c r="O22" s="513"/>
      <c r="P22" s="504"/>
      <c r="Q22" s="512"/>
      <c r="R22" s="513"/>
      <c r="S22" s="504"/>
      <c r="T22" s="512"/>
      <c r="U22" s="513"/>
      <c r="V22" s="504"/>
      <c r="W22" s="512"/>
      <c r="X22" s="513"/>
      <c r="Y22" s="504"/>
      <c r="Z22" s="512"/>
      <c r="AA22" s="513"/>
      <c r="AB22" s="504"/>
      <c r="AC22" s="512"/>
      <c r="AD22" s="513"/>
      <c r="AE22" s="504"/>
      <c r="AF22" s="512"/>
      <c r="AG22" s="513"/>
      <c r="AH22" s="504"/>
      <c r="AI22" s="512"/>
      <c r="AJ22" s="513"/>
      <c r="AK22" s="504"/>
      <c r="AL22" s="512"/>
      <c r="AM22" s="513"/>
      <c r="AN22" s="504"/>
      <c r="AO22" s="504"/>
      <c r="AP22" s="514"/>
      <c r="AQ22" s="515"/>
    </row>
    <row r="23" spans="2:69" ht="15" thickTop="1" thickBot="1" x14ac:dyDescent="0.2">
      <c r="B23" s="547"/>
      <c r="C23" s="537" t="str">
        <f>' Total des coûts de MO'!C15</f>
        <v>Salaire "Vente et service"</v>
      </c>
      <c r="D23" s="191"/>
      <c r="E23" s="538"/>
      <c r="F23" s="539"/>
      <c r="H23" s="538"/>
      <c r="I23" s="539"/>
      <c r="K23" s="538"/>
      <c r="L23" s="539"/>
      <c r="N23" s="538"/>
      <c r="O23" s="539"/>
      <c r="Q23" s="538"/>
      <c r="R23" s="539"/>
      <c r="T23" s="538"/>
      <c r="U23" s="539"/>
      <c r="W23" s="538"/>
      <c r="X23" s="539"/>
      <c r="Z23" s="538"/>
      <c r="AA23" s="539"/>
      <c r="AC23" s="538"/>
      <c r="AD23" s="539"/>
      <c r="AF23" s="538"/>
      <c r="AG23" s="539"/>
      <c r="AI23" s="538"/>
      <c r="AJ23" s="539"/>
      <c r="AK23" s="201"/>
      <c r="AL23" s="538"/>
      <c r="AM23" s="539"/>
      <c r="AP23" s="540" t="s">
        <v>2</v>
      </c>
      <c r="AQ23" s="539" t="s">
        <v>2</v>
      </c>
    </row>
    <row r="24" spans="2:69" ht="14" thickTop="1" x14ac:dyDescent="0.15">
      <c r="B24" s="191">
        <f>' Total des coûts de MO'!B15</f>
        <v>6130</v>
      </c>
      <c r="C24" s="394" t="str">
        <f>' Total des coûts de MO'!C11</f>
        <v>Salaires</v>
      </c>
      <c r="D24" s="191"/>
      <c r="E24" s="406">
        <v>1000</v>
      </c>
      <c r="F24" s="489">
        <f>E24/'État des Résultats'!E14</f>
        <v>2.6106150217398965E-2</v>
      </c>
      <c r="H24" s="406">
        <v>1000</v>
      </c>
      <c r="I24" s="489">
        <f>H24/'État des Résultats'!H14</f>
        <v>3.2114708600768566E-2</v>
      </c>
      <c r="K24" s="406">
        <v>1000</v>
      </c>
      <c r="L24" s="489">
        <f>K24/'État des Résultats'!K14</f>
        <v>2.6106150217398965E-2</v>
      </c>
      <c r="N24" s="406">
        <v>1000</v>
      </c>
      <c r="O24" s="489">
        <f>N24/'État des Résultats'!N14</f>
        <v>2.4523959295132361E-2</v>
      </c>
      <c r="Q24" s="406">
        <v>1000</v>
      </c>
      <c r="R24" s="489">
        <f>Q24/'État des Résultats'!Q14</f>
        <v>2.1755125181165801E-2</v>
      </c>
      <c r="T24" s="406">
        <v>1000</v>
      </c>
      <c r="U24" s="489">
        <f>T24/'État des Résultats'!T14</f>
        <v>1.7984236816430396E-2</v>
      </c>
      <c r="W24" s="406">
        <v>1000</v>
      </c>
      <c r="X24" s="489">
        <f>W24/'État des Résultats'!W14</f>
        <v>1.3053075108699482E-2</v>
      </c>
      <c r="Z24" s="406">
        <v>1000</v>
      </c>
      <c r="AA24" s="489">
        <f>Z24/'État des Résultats'!Z14</f>
        <v>1.4503416787443869E-2</v>
      </c>
      <c r="AC24" s="406">
        <v>1000</v>
      </c>
      <c r="AD24" s="489">
        <f>AC24/'État des Résultats'!AC14</f>
        <v>2.2480296020537999E-2</v>
      </c>
      <c r="AF24" s="406">
        <v>1000</v>
      </c>
      <c r="AG24" s="489">
        <f>AF24/'État des Résultats'!AF14</f>
        <v>2.3732863833999061E-2</v>
      </c>
      <c r="AI24" s="406">
        <v>1000</v>
      </c>
      <c r="AJ24" s="489">
        <f>AI24/'État des Résultats'!AI14</f>
        <v>2.6976355224645598E-2</v>
      </c>
      <c r="AK24" s="201"/>
      <c r="AL24" s="406">
        <v>1000</v>
      </c>
      <c r="AM24" s="489">
        <f>AL24/'État des Résultats'!AL14</f>
        <v>2.1755125181165801E-2</v>
      </c>
      <c r="AP24" s="485">
        <f>SUM(+$AL24+$AI24+$AF24+$AC24+$Z24+$W24+$T24+$Q24+$N24+$K24+$H24+$E24)</f>
        <v>12000</v>
      </c>
      <c r="AQ24" s="484">
        <f>AP24/'État des Résultats'!AP14</f>
        <v>2.1227295914475225E-2</v>
      </c>
    </row>
    <row r="25" spans="2:69" x14ac:dyDescent="0.15">
      <c r="B25" s="191">
        <f>B19</f>
        <v>6205</v>
      </c>
      <c r="C25" s="161" t="str">
        <f>' Total des coûts de MO'!C27</f>
        <v>Bénéfices gouvernementaux</v>
      </c>
      <c r="D25" s="191"/>
      <c r="E25" s="407">
        <f>E24*$H$76</f>
        <v>120</v>
      </c>
      <c r="F25" s="398">
        <f>E25/'État des Résultats'!E14</f>
        <v>3.1327380260878757E-3</v>
      </c>
      <c r="H25" s="407">
        <f>H24*$H$76</f>
        <v>120</v>
      </c>
      <c r="I25" s="398">
        <f>H25/'État des Résultats'!H14</f>
        <v>3.8537650320922281E-3</v>
      </c>
      <c r="K25" s="407">
        <f>K24*$H$76</f>
        <v>120</v>
      </c>
      <c r="L25" s="398">
        <f>K25/'État des Résultats'!K14</f>
        <v>3.1327380260878757E-3</v>
      </c>
      <c r="N25" s="407">
        <f>N24*$H$76</f>
        <v>120</v>
      </c>
      <c r="O25" s="398">
        <f>N25/'État des Résultats'!N14</f>
        <v>2.9428751154158832E-3</v>
      </c>
      <c r="Q25" s="407">
        <f>Q24*$H$76</f>
        <v>120</v>
      </c>
      <c r="R25" s="398">
        <f>Q25/'État des Résultats'!Q14</f>
        <v>2.6106150217398961E-3</v>
      </c>
      <c r="T25" s="407">
        <f>T24*$H$76</f>
        <v>120</v>
      </c>
      <c r="U25" s="398">
        <f>T25/'État des Résultats'!T14</f>
        <v>2.1581084179716475E-3</v>
      </c>
      <c r="W25" s="407">
        <f>W24*$H$76</f>
        <v>120</v>
      </c>
      <c r="X25" s="398">
        <f>W25/'État des Résultats'!W14</f>
        <v>1.5663690130439379E-3</v>
      </c>
      <c r="Z25" s="407">
        <f>Z24*$H$76</f>
        <v>120</v>
      </c>
      <c r="AA25" s="398">
        <f>Z25/'État des Résultats'!Z14</f>
        <v>1.7404100144932642E-3</v>
      </c>
      <c r="AC25" s="407">
        <f>AC24*$H$76</f>
        <v>120</v>
      </c>
      <c r="AD25" s="398">
        <f>AC25/'État des Résultats'!AC14</f>
        <v>2.6976355224645598E-3</v>
      </c>
      <c r="AF25" s="407">
        <f>AF24*$H$76</f>
        <v>120</v>
      </c>
      <c r="AG25" s="398">
        <f>AF25/'État des Résultats'!AF14</f>
        <v>2.8479436600798869E-3</v>
      </c>
      <c r="AI25" s="407">
        <f>AI24*$H$76</f>
        <v>120</v>
      </c>
      <c r="AJ25" s="398">
        <f>AI25/'État des Résultats'!AI14</f>
        <v>3.2371626269574716E-3</v>
      </c>
      <c r="AK25" s="201"/>
      <c r="AL25" s="407">
        <f>AL24*$H$76</f>
        <v>120</v>
      </c>
      <c r="AM25" s="398">
        <f>AL25/'État des Résultats'!AL14</f>
        <v>2.6106150217398961E-3</v>
      </c>
      <c r="AP25" s="485">
        <f>SUM(+$AL25+$AI25+$AF25+$AC25+$Z25+$W25+$T25+$Q25+$N25+$K25+$H25+$E25)</f>
        <v>1440</v>
      </c>
      <c r="AQ25" s="484">
        <f>AP25/'État des Résultats'!AP14</f>
        <v>2.5472755097370268E-3</v>
      </c>
    </row>
    <row r="26" spans="2:69" ht="14" thickBot="1" x14ac:dyDescent="0.2">
      <c r="B26" s="191">
        <f>B14</f>
        <v>6245</v>
      </c>
      <c r="C26" s="394" t="str">
        <f>' Total des coûts de MO'!C31</f>
        <v>CSST et CNT</v>
      </c>
      <c r="D26" s="191"/>
      <c r="E26" s="407">
        <f>(E24/100)*$F$72</f>
        <v>24</v>
      </c>
      <c r="F26" s="398">
        <f>E26/'État des Résultats'!E14</f>
        <v>6.2654760521757514E-4</v>
      </c>
      <c r="H26" s="407">
        <f>(H24/100)*$F$72</f>
        <v>24</v>
      </c>
      <c r="I26" s="398">
        <f>H26/'État des Résultats'!H14</f>
        <v>7.7075300641844563E-4</v>
      </c>
      <c r="K26" s="407">
        <f>(K24/100)*$F$72</f>
        <v>24</v>
      </c>
      <c r="L26" s="398">
        <f>K26/'État des Résultats'!K14</f>
        <v>6.2654760521757514E-4</v>
      </c>
      <c r="N26" s="407">
        <f>(N24/100)*$F$72</f>
        <v>24</v>
      </c>
      <c r="O26" s="398">
        <f>N26/'État des Résultats'!N14</f>
        <v>5.8857502308317657E-4</v>
      </c>
      <c r="Q26" s="407">
        <f>(Q24/100)*$F$72</f>
        <v>24</v>
      </c>
      <c r="R26" s="398">
        <f>Q26/'État des Résultats'!Q14</f>
        <v>5.2212300434797921E-4</v>
      </c>
      <c r="T26" s="407">
        <f>(T24/100)*$F$72</f>
        <v>24</v>
      </c>
      <c r="U26" s="398">
        <f>T26/'État des Résultats'!T14</f>
        <v>4.3162168359432951E-4</v>
      </c>
      <c r="W26" s="407">
        <f>(W24/100)*$F$72</f>
        <v>24</v>
      </c>
      <c r="X26" s="398">
        <f>W26/'État des Résultats'!W14</f>
        <v>3.1327380260878757E-4</v>
      </c>
      <c r="Z26" s="407">
        <f>(Z24/100)*$F$72</f>
        <v>24</v>
      </c>
      <c r="AA26" s="398">
        <f>Z26/'État des Résultats'!Z14</f>
        <v>3.4808200289865288E-4</v>
      </c>
      <c r="AC26" s="407">
        <f>(AC24/100)*$F$72</f>
        <v>24</v>
      </c>
      <c r="AD26" s="398">
        <f>AC26/'État des Résultats'!AC14</f>
        <v>5.3952710449291198E-4</v>
      </c>
      <c r="AF26" s="407">
        <f>(AF24/100)*$F$72</f>
        <v>24</v>
      </c>
      <c r="AG26" s="398">
        <f>AF26/'État des Résultats'!AF14</f>
        <v>5.6958873201597745E-4</v>
      </c>
      <c r="AI26" s="407">
        <f>(AI24/100)*$F$72</f>
        <v>24</v>
      </c>
      <c r="AJ26" s="398">
        <f>AI26/'État des Résultats'!AI14</f>
        <v>6.4743252539149439E-4</v>
      </c>
      <c r="AK26" s="201"/>
      <c r="AL26" s="407">
        <f>(AL24/100)*$F$72</f>
        <v>24</v>
      </c>
      <c r="AM26" s="398">
        <f>AL26/'État des Résultats'!AL14</f>
        <v>5.2212300434797921E-4</v>
      </c>
      <c r="AP26" s="485">
        <f>SUM(+$AL26+$AI26+$AF26+$AC26+$Z26+$W26+$T26+$Q26+$N26+$K26+$H26+$E26)</f>
        <v>288</v>
      </c>
      <c r="AQ26" s="484">
        <f>AP26/'État des Résultats'!AP14</f>
        <v>5.094551019474054E-4</v>
      </c>
    </row>
    <row r="27" spans="2:69" ht="15" thickTop="1" thickBot="1" x14ac:dyDescent="0.2">
      <c r="B27" s="499"/>
      <c r="C27" s="500" t="s">
        <v>222</v>
      </c>
      <c r="D27" s="401"/>
      <c r="E27" s="412">
        <f>SUM(E24:E26)</f>
        <v>1144</v>
      </c>
      <c r="F27" s="409">
        <f>SUM(F24:F26)</f>
        <v>2.9865435848704415E-2</v>
      </c>
      <c r="G27" s="413"/>
      <c r="H27" s="412">
        <f>SUM(H24:H26)</f>
        <v>1144</v>
      </c>
      <c r="I27" s="409">
        <f>SUM(I24:I26)</f>
        <v>3.673922663927924E-2</v>
      </c>
      <c r="J27" s="413"/>
      <c r="K27" s="412">
        <f>SUM(K24:K26)</f>
        <v>1144</v>
      </c>
      <c r="L27" s="409">
        <f>SUM(L24:L26)</f>
        <v>2.9865435848704415E-2</v>
      </c>
      <c r="M27" s="413"/>
      <c r="N27" s="412">
        <f>SUM(N24:N26)</f>
        <v>1144</v>
      </c>
      <c r="O27" s="409">
        <f>SUM(O24:O26)</f>
        <v>2.8055409433631419E-2</v>
      </c>
      <c r="P27" s="413"/>
      <c r="Q27" s="412">
        <f>SUM(Q24:Q26)</f>
        <v>1144</v>
      </c>
      <c r="R27" s="409">
        <f>SUM(R24:R26)</f>
        <v>2.4887863207253676E-2</v>
      </c>
      <c r="S27" s="413"/>
      <c r="T27" s="412">
        <f>SUM(T24:T26)</f>
        <v>1144</v>
      </c>
      <c r="U27" s="409">
        <f>SUM(U24:U26)</f>
        <v>2.0573966917996376E-2</v>
      </c>
      <c r="V27" s="413"/>
      <c r="W27" s="412">
        <f>SUM(W24:W26)</f>
        <v>1144</v>
      </c>
      <c r="X27" s="409">
        <f>SUM(X24:X26)</f>
        <v>1.4932717924352207E-2</v>
      </c>
      <c r="Y27" s="214"/>
      <c r="Z27" s="412">
        <f>SUM(Z24:Z26)</f>
        <v>1144</v>
      </c>
      <c r="AA27" s="409">
        <f>SUM(AA24:AA26)</f>
        <v>1.6591908804835787E-2</v>
      </c>
      <c r="AB27" s="413"/>
      <c r="AC27" s="412">
        <f>SUM(AC24:AC26)</f>
        <v>1144</v>
      </c>
      <c r="AD27" s="409">
        <f>SUM(AD24:AD26)</f>
        <v>2.5717458647495473E-2</v>
      </c>
      <c r="AE27" s="413"/>
      <c r="AF27" s="412">
        <f>SUM(AF24:AF26)</f>
        <v>1144</v>
      </c>
      <c r="AG27" s="409">
        <f>SUM(AG24:AG26)</f>
        <v>2.7150396226094928E-2</v>
      </c>
      <c r="AH27" s="413"/>
      <c r="AI27" s="412">
        <f>SUM(AI24:AI26)</f>
        <v>1144</v>
      </c>
      <c r="AJ27" s="409">
        <f>SUM(AJ24:AJ26)</f>
        <v>3.0860950376994562E-2</v>
      </c>
      <c r="AK27" s="414"/>
      <c r="AL27" s="412">
        <f>SUM(AL24:AL26)</f>
        <v>1144</v>
      </c>
      <c r="AM27" s="409">
        <f>SUM(AM24:AM26)</f>
        <v>2.4887863207253676E-2</v>
      </c>
      <c r="AN27" s="413"/>
      <c r="AO27" s="413"/>
      <c r="AP27" s="405">
        <f>+SUM(AP24:AP26)</f>
        <v>13728</v>
      </c>
      <c r="AQ27" s="415">
        <f>+SUM(AQ24:AQ26)</f>
        <v>2.4284026526159654E-2</v>
      </c>
      <c r="AR27" s="416"/>
      <c r="AS27" s="416"/>
      <c r="AT27" s="41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504"/>
      <c r="C28" s="504"/>
      <c r="D28" s="504"/>
      <c r="E28" s="516"/>
      <c r="F28" s="513"/>
      <c r="G28" s="504"/>
      <c r="H28" s="516"/>
      <c r="I28" s="513"/>
      <c r="J28" s="504"/>
      <c r="K28" s="516"/>
      <c r="L28" s="513"/>
      <c r="M28" s="504"/>
      <c r="N28" s="516"/>
      <c r="O28" s="513"/>
      <c r="P28" s="504"/>
      <c r="Q28" s="516"/>
      <c r="R28" s="513"/>
      <c r="S28" s="504"/>
      <c r="T28" s="516"/>
      <c r="U28" s="513"/>
      <c r="V28" s="504"/>
      <c r="W28" s="516"/>
      <c r="X28" s="513"/>
      <c r="Y28" s="504"/>
      <c r="Z28" s="516"/>
      <c r="AA28" s="513"/>
      <c r="AB28" s="504"/>
      <c r="AC28" s="516"/>
      <c r="AD28" s="513"/>
      <c r="AE28" s="504"/>
      <c r="AF28" s="516"/>
      <c r="AG28" s="513"/>
      <c r="AH28" s="504"/>
      <c r="AI28" s="516"/>
      <c r="AJ28" s="513"/>
      <c r="AK28" s="504"/>
      <c r="AL28" s="516"/>
      <c r="AM28" s="513"/>
      <c r="AN28" s="504"/>
      <c r="AO28" s="504"/>
      <c r="AP28" s="514"/>
      <c r="AQ28" s="515"/>
    </row>
    <row r="29" spans="2:69" ht="15" thickTop="1" thickBot="1" x14ac:dyDescent="0.2">
      <c r="B29" s="546"/>
      <c r="C29" s="537" t="str">
        <f>' Total des coûts de MO'!C16</f>
        <v>Salaire "Approvisionnement"</v>
      </c>
      <c r="D29" s="191"/>
      <c r="E29" s="552"/>
      <c r="F29" s="539"/>
      <c r="H29" s="552"/>
      <c r="I29" s="539"/>
      <c r="K29" s="552"/>
      <c r="L29" s="539"/>
      <c r="N29" s="552"/>
      <c r="O29" s="539"/>
      <c r="Q29" s="552"/>
      <c r="R29" s="539"/>
      <c r="T29" s="552"/>
      <c r="U29" s="539"/>
      <c r="W29" s="552"/>
      <c r="X29" s="539"/>
      <c r="Z29" s="552"/>
      <c r="AA29" s="539"/>
      <c r="AC29" s="552"/>
      <c r="AD29" s="539"/>
      <c r="AF29" s="552"/>
      <c r="AG29" s="539"/>
      <c r="AI29" s="552"/>
      <c r="AJ29" s="539"/>
      <c r="AK29" s="201"/>
      <c r="AL29" s="552"/>
      <c r="AM29" s="539"/>
      <c r="AP29" s="540" t="s">
        <v>2</v>
      </c>
      <c r="AQ29" s="539" t="s">
        <v>2</v>
      </c>
    </row>
    <row r="30" spans="2:69" ht="14" thickTop="1" x14ac:dyDescent="0.15">
      <c r="B30" s="191">
        <f>' Total des coûts de MO'!B16</f>
        <v>6140</v>
      </c>
      <c r="C30" s="394" t="str">
        <f>' Total des coûts de MO'!C11</f>
        <v>Salaires</v>
      </c>
      <c r="D30" s="191"/>
      <c r="E30" s="406">
        <v>500</v>
      </c>
      <c r="F30" s="489">
        <f>E30/'État des Résultats'!E14</f>
        <v>1.3053075108699482E-2</v>
      </c>
      <c r="H30" s="406">
        <v>500</v>
      </c>
      <c r="I30" s="489">
        <f>H30/'État des Résultats'!H14</f>
        <v>1.6057354300384283E-2</v>
      </c>
      <c r="K30" s="406">
        <v>500</v>
      </c>
      <c r="L30" s="489">
        <f>K30/'État des Résultats'!K14</f>
        <v>1.3053075108699482E-2</v>
      </c>
      <c r="N30" s="406">
        <v>500</v>
      </c>
      <c r="O30" s="489">
        <f>N30/'État des Résultats'!N14</f>
        <v>1.226197964756618E-2</v>
      </c>
      <c r="Q30" s="406">
        <v>500</v>
      </c>
      <c r="R30" s="489">
        <f>Q30/'État des Résultats'!Q14</f>
        <v>1.0877562590582901E-2</v>
      </c>
      <c r="T30" s="406">
        <v>500</v>
      </c>
      <c r="U30" s="489">
        <f>T30/'État des Résultats'!T14</f>
        <v>8.9921184082151981E-3</v>
      </c>
      <c r="W30" s="406">
        <v>500</v>
      </c>
      <c r="X30" s="489">
        <f>W30/'État des Résultats'!W14</f>
        <v>6.5265375543497412E-3</v>
      </c>
      <c r="Z30" s="406">
        <v>500</v>
      </c>
      <c r="AA30" s="489">
        <f>Z30/'État des Résultats'!Z14</f>
        <v>7.2517083937219343E-3</v>
      </c>
      <c r="AC30" s="406">
        <v>500</v>
      </c>
      <c r="AD30" s="489">
        <f>AC30/'État des Résultats'!AC14</f>
        <v>1.1240148010268999E-2</v>
      </c>
      <c r="AF30" s="406">
        <v>500</v>
      </c>
      <c r="AG30" s="489">
        <f>AF30/'État des Résultats'!AF14</f>
        <v>1.186643191699953E-2</v>
      </c>
      <c r="AI30" s="406">
        <v>500</v>
      </c>
      <c r="AJ30" s="489">
        <f>AI30/'État des Résultats'!AI14</f>
        <v>1.3488177612322799E-2</v>
      </c>
      <c r="AK30" s="201"/>
      <c r="AL30" s="406">
        <v>500</v>
      </c>
      <c r="AM30" s="489">
        <f>AL30/'État des Résultats'!AL14</f>
        <v>1.0877562590582901E-2</v>
      </c>
      <c r="AP30" s="485">
        <f>SUM(+$AL30+$AI30+$AF30+$AC30+$Z30+$W30+$T30+$Q30+$N30+$K30+$H30+$E30)</f>
        <v>6000</v>
      </c>
      <c r="AQ30" s="484">
        <f>AP30/'État des Résultats'!AP14</f>
        <v>1.0613647957237612E-2</v>
      </c>
    </row>
    <row r="31" spans="2:69" x14ac:dyDescent="0.15">
      <c r="B31" s="191">
        <f>+B25</f>
        <v>6205</v>
      </c>
      <c r="C31" s="394" t="str">
        <f>' Total des coûts de MO'!C27</f>
        <v>Bénéfices gouvernementaux</v>
      </c>
      <c r="D31" s="191"/>
      <c r="E31" s="397">
        <f>+E30*$H$76</f>
        <v>60</v>
      </c>
      <c r="F31" s="398">
        <f>E31/'État des Résultats'!E14</f>
        <v>1.5663690130439379E-3</v>
      </c>
      <c r="H31" s="397">
        <f>+H30*$H$76</f>
        <v>60</v>
      </c>
      <c r="I31" s="398">
        <f>H31/'État des Résultats'!H14</f>
        <v>1.926882516046114E-3</v>
      </c>
      <c r="K31" s="397">
        <f>+K30*$H$76</f>
        <v>60</v>
      </c>
      <c r="L31" s="398">
        <f>K31/'État des Résultats'!K14</f>
        <v>1.5663690130439379E-3</v>
      </c>
      <c r="N31" s="397">
        <f>+N30*$H$76</f>
        <v>60</v>
      </c>
      <c r="O31" s="398">
        <f>N31/'État des Résultats'!N14</f>
        <v>1.4714375577079416E-3</v>
      </c>
      <c r="Q31" s="397">
        <f>+Q30*$H$76</f>
        <v>60</v>
      </c>
      <c r="R31" s="398">
        <f>Q31/'État des Résultats'!Q14</f>
        <v>1.305307510869948E-3</v>
      </c>
      <c r="T31" s="397">
        <f>+T30*$H$76</f>
        <v>60</v>
      </c>
      <c r="U31" s="398">
        <f>T31/'État des Résultats'!T14</f>
        <v>1.0790542089858237E-3</v>
      </c>
      <c r="W31" s="397">
        <f>+W30*$H$76</f>
        <v>60</v>
      </c>
      <c r="X31" s="398">
        <f>W31/'État des Résultats'!W14</f>
        <v>7.8318450652196893E-4</v>
      </c>
      <c r="Z31" s="397">
        <f>+Z30*$H$76</f>
        <v>60</v>
      </c>
      <c r="AA31" s="398">
        <f>Z31/'État des Résultats'!Z14</f>
        <v>8.7020500724663209E-4</v>
      </c>
      <c r="AC31" s="397">
        <f>+AC30*$H$76</f>
        <v>60</v>
      </c>
      <c r="AD31" s="398">
        <f>AC31/'État des Résultats'!AC14</f>
        <v>1.3488177612322799E-3</v>
      </c>
      <c r="AF31" s="397">
        <f>+AF30*$H$76</f>
        <v>60</v>
      </c>
      <c r="AG31" s="398">
        <f>AF31/'État des Résultats'!AF14</f>
        <v>1.4239718300399435E-3</v>
      </c>
      <c r="AI31" s="397">
        <f>+AI30*$H$76</f>
        <v>60</v>
      </c>
      <c r="AJ31" s="398">
        <f>AI31/'État des Résultats'!AI14</f>
        <v>1.6185813134787358E-3</v>
      </c>
      <c r="AK31" s="201"/>
      <c r="AL31" s="397">
        <f>+AL30*$H$76</f>
        <v>60</v>
      </c>
      <c r="AM31" s="398">
        <f>AL31/'État des Résultats'!AL14</f>
        <v>1.305307510869948E-3</v>
      </c>
      <c r="AP31" s="485">
        <f>SUM(+$AL31+$AI31+$AF31+$AC31+$Z31+$W31+$T31+$Q31+$N31+$K31+$H31+$E31)</f>
        <v>720</v>
      </c>
      <c r="AQ31" s="484">
        <f>AP31/'État des Résultats'!AP14</f>
        <v>1.2736377548685134E-3</v>
      </c>
    </row>
    <row r="32" spans="2:69" ht="14" thickBot="1" x14ac:dyDescent="0.2">
      <c r="B32" s="191">
        <f>B20</f>
        <v>6245</v>
      </c>
      <c r="C32" s="394" t="str">
        <f>' Total des coûts de MO'!C31</f>
        <v>CSST et CNT</v>
      </c>
      <c r="D32" s="191"/>
      <c r="E32" s="397">
        <f>(E30/100)*$F$72</f>
        <v>12</v>
      </c>
      <c r="F32" s="398">
        <f>E32/'État des Résultats'!E14</f>
        <v>3.1327380260878757E-4</v>
      </c>
      <c r="H32" s="397">
        <f>(H30/100)*$F$72</f>
        <v>12</v>
      </c>
      <c r="I32" s="398">
        <f>H32/'État des Résultats'!H14</f>
        <v>3.8537650320922282E-4</v>
      </c>
      <c r="K32" s="397">
        <f>(K30/100)*$F$72</f>
        <v>12</v>
      </c>
      <c r="L32" s="398">
        <f>K32/'État des Résultats'!K14</f>
        <v>3.1327380260878757E-4</v>
      </c>
      <c r="N32" s="397">
        <f>(N30/100)*$F$72</f>
        <v>12</v>
      </c>
      <c r="O32" s="398">
        <f>N32/'État des Résultats'!N14</f>
        <v>2.9428751154158829E-4</v>
      </c>
      <c r="Q32" s="397">
        <f>(Q30/100)*$F$72</f>
        <v>12</v>
      </c>
      <c r="R32" s="398">
        <f>Q32/'État des Résultats'!Q14</f>
        <v>2.6106150217398961E-4</v>
      </c>
      <c r="T32" s="397">
        <f>(T30/100)*$F$72</f>
        <v>12</v>
      </c>
      <c r="U32" s="398">
        <f>T32/'État des Résultats'!T14</f>
        <v>2.1581084179716475E-4</v>
      </c>
      <c r="W32" s="397">
        <f>(W30/100)*$F$72</f>
        <v>12</v>
      </c>
      <c r="X32" s="398">
        <f>W32/'État des Résultats'!W14</f>
        <v>1.5663690130439379E-4</v>
      </c>
      <c r="Z32" s="397">
        <f>(Z30/100)*$F$72</f>
        <v>12</v>
      </c>
      <c r="AA32" s="398">
        <f>Z32/'État des Résultats'!Z14</f>
        <v>1.7404100144932644E-4</v>
      </c>
      <c r="AC32" s="397">
        <f>(AC30/100)*$F$72</f>
        <v>12</v>
      </c>
      <c r="AD32" s="398">
        <f>AC32/'État des Résultats'!AC14</f>
        <v>2.6976355224645599E-4</v>
      </c>
      <c r="AF32" s="397">
        <f>(AF30/100)*$F$72</f>
        <v>12</v>
      </c>
      <c r="AG32" s="398">
        <f>AF32/'État des Résultats'!AF14</f>
        <v>2.8479436600798873E-4</v>
      </c>
      <c r="AI32" s="397">
        <f>(AI30/100)*$F$72</f>
        <v>12</v>
      </c>
      <c r="AJ32" s="398">
        <f>AI32/'État des Résultats'!AI14</f>
        <v>3.237162626957472E-4</v>
      </c>
      <c r="AK32" s="201"/>
      <c r="AL32" s="397">
        <f>(AL30/100)*$F$72</f>
        <v>12</v>
      </c>
      <c r="AM32" s="398">
        <f>AL32/'État des Résultats'!AL14</f>
        <v>2.6106150217398961E-4</v>
      </c>
      <c r="AP32" s="485">
        <f>SUM(+$AL32+$AI32+$AF32+$AC32+$Z32+$W32+$T32+$Q32+$N32+$K32+$H32+$E32)</f>
        <v>144</v>
      </c>
      <c r="AQ32" s="484">
        <f>AP32/'État des Résultats'!AP14</f>
        <v>2.547275509737027E-4</v>
      </c>
    </row>
    <row r="33" spans="2:52" ht="15" thickTop="1" thickBot="1" x14ac:dyDescent="0.2">
      <c r="B33" s="499"/>
      <c r="C33" s="501" t="s">
        <v>223</v>
      </c>
      <c r="D33" s="401"/>
      <c r="E33" s="408">
        <f>SUM(E30:E32)</f>
        <v>572</v>
      </c>
      <c r="F33" s="409">
        <f>+SUM(F30:F32)</f>
        <v>1.4932717924352207E-2</v>
      </c>
      <c r="G33" s="214"/>
      <c r="H33" s="408">
        <f>SUM(H30:H32)</f>
        <v>572</v>
      </c>
      <c r="I33" s="409">
        <f>+SUM(I30:I32)</f>
        <v>1.836961331963962E-2</v>
      </c>
      <c r="J33" s="214"/>
      <c r="K33" s="408">
        <f>SUM(K30:K32)</f>
        <v>572</v>
      </c>
      <c r="L33" s="409">
        <f>+SUM(L30:L32)</f>
        <v>1.4932717924352207E-2</v>
      </c>
      <c r="M33" s="214"/>
      <c r="N33" s="408">
        <f>SUM(N30:N32)</f>
        <v>572</v>
      </c>
      <c r="O33" s="409">
        <f>+SUM(O30:O32)</f>
        <v>1.4027704716815709E-2</v>
      </c>
      <c r="P33" s="214"/>
      <c r="Q33" s="408">
        <f>SUM(Q30:Q32)</f>
        <v>572</v>
      </c>
      <c r="R33" s="409">
        <f>+SUM(R30:R32)</f>
        <v>1.2443931603626838E-2</v>
      </c>
      <c r="S33" s="214"/>
      <c r="T33" s="408">
        <f>SUM(T30:T32)</f>
        <v>572</v>
      </c>
      <c r="U33" s="409">
        <f>+SUM(U30:U32)</f>
        <v>1.0286983458998188E-2</v>
      </c>
      <c r="V33" s="214"/>
      <c r="W33" s="408">
        <f>SUM(W30:W32)</f>
        <v>572</v>
      </c>
      <c r="X33" s="409">
        <f>+SUM(X30:X32)</f>
        <v>7.4663589621761037E-3</v>
      </c>
      <c r="Y33" s="214"/>
      <c r="Z33" s="408">
        <f>SUM(Z30:Z32)</f>
        <v>572</v>
      </c>
      <c r="AA33" s="409">
        <f>+SUM(AA30:AA32)</f>
        <v>8.2959544024178936E-3</v>
      </c>
      <c r="AB33" s="214"/>
      <c r="AC33" s="408">
        <f>SUM(AC30:AC32)</f>
        <v>572</v>
      </c>
      <c r="AD33" s="409">
        <f>+SUM(AD30:AD32)</f>
        <v>1.2858729323747736E-2</v>
      </c>
      <c r="AE33" s="214"/>
      <c r="AF33" s="408">
        <f>SUM(AF30:AF32)</f>
        <v>572</v>
      </c>
      <c r="AG33" s="409">
        <f>+SUM(AG30:AG32)</f>
        <v>1.3575198113047464E-2</v>
      </c>
      <c r="AH33" s="214"/>
      <c r="AI33" s="408">
        <f>SUM(AI30:AI32)</f>
        <v>572</v>
      </c>
      <c r="AJ33" s="409">
        <f>+SUM(AJ30:AJ32)</f>
        <v>1.5430475188497281E-2</v>
      </c>
      <c r="AK33" s="404"/>
      <c r="AL33" s="408">
        <f>SUM(AL30:AL32)</f>
        <v>572</v>
      </c>
      <c r="AM33" s="409">
        <f>+SUM(AM30:AM32)</f>
        <v>1.2443931603626838E-2</v>
      </c>
      <c r="AN33" s="214"/>
      <c r="AO33" s="214"/>
      <c r="AP33" s="417">
        <f>SUM(+$AL33+$AI33+$AF33+$AC33+$Z33+$W33+$T33+$Q33+$N33+$K33+$H33+$E33)</f>
        <v>6864</v>
      </c>
      <c r="AQ33" s="409">
        <f>AP33/'État des Résultats'!AP14</f>
        <v>1.2142013263079829E-2</v>
      </c>
      <c r="AR33" s="252"/>
      <c r="AS33" s="252"/>
    </row>
    <row r="34" spans="2:52" ht="15" thickTop="1" thickBot="1" x14ac:dyDescent="0.2">
      <c r="B34" s="504"/>
      <c r="C34" s="504"/>
      <c r="D34" s="504"/>
      <c r="E34" s="517"/>
      <c r="F34" s="513"/>
      <c r="G34" s="504"/>
      <c r="H34" s="517"/>
      <c r="I34" s="513"/>
      <c r="J34" s="504"/>
      <c r="K34" s="517"/>
      <c r="L34" s="513"/>
      <c r="M34" s="504"/>
      <c r="N34" s="517"/>
      <c r="O34" s="513"/>
      <c r="P34" s="504"/>
      <c r="Q34" s="517"/>
      <c r="R34" s="513"/>
      <c r="S34" s="504"/>
      <c r="T34" s="517"/>
      <c r="U34" s="513"/>
      <c r="V34" s="504"/>
      <c r="W34" s="517"/>
      <c r="X34" s="513"/>
      <c r="Y34" s="504"/>
      <c r="Z34" s="517"/>
      <c r="AA34" s="513"/>
      <c r="AB34" s="504"/>
      <c r="AC34" s="517"/>
      <c r="AD34" s="513"/>
      <c r="AE34" s="504"/>
      <c r="AF34" s="517"/>
      <c r="AG34" s="513"/>
      <c r="AH34" s="504"/>
      <c r="AI34" s="517"/>
      <c r="AJ34" s="513"/>
      <c r="AK34" s="504"/>
      <c r="AL34" s="517"/>
      <c r="AM34" s="513"/>
      <c r="AN34" s="504"/>
      <c r="AO34" s="504"/>
      <c r="AP34" s="514"/>
      <c r="AQ34" s="515"/>
    </row>
    <row r="35" spans="2:52" ht="15" thickTop="1" thickBot="1" x14ac:dyDescent="0.2">
      <c r="B35" s="547"/>
      <c r="C35" s="537" t="str">
        <f>' Total des coûts de MO'!C17</f>
        <v>Salaire "Finance &amp; Comptabilité"</v>
      </c>
      <c r="D35" s="191"/>
      <c r="E35" s="552"/>
      <c r="F35" s="539"/>
      <c r="H35" s="552"/>
      <c r="I35" s="539"/>
      <c r="K35" s="552"/>
      <c r="L35" s="539"/>
      <c r="N35" s="552"/>
      <c r="O35" s="539"/>
      <c r="Q35" s="552"/>
      <c r="R35" s="539"/>
      <c r="T35" s="552"/>
      <c r="U35" s="539"/>
      <c r="W35" s="552"/>
      <c r="X35" s="539"/>
      <c r="Z35" s="552"/>
      <c r="AA35" s="539"/>
      <c r="AC35" s="552"/>
      <c r="AD35" s="539"/>
      <c r="AF35" s="552"/>
      <c r="AG35" s="539"/>
      <c r="AI35" s="552"/>
      <c r="AJ35" s="539"/>
      <c r="AK35" s="201"/>
      <c r="AL35" s="552"/>
      <c r="AM35" s="539"/>
      <c r="AP35" s="540"/>
      <c r="AQ35" s="539"/>
    </row>
    <row r="36" spans="2:52" ht="14" thickTop="1" x14ac:dyDescent="0.15">
      <c r="B36" s="191">
        <f>' Total des coûts de MO'!B17</f>
        <v>6150</v>
      </c>
      <c r="C36" s="394" t="str">
        <f>' Total des coûts de MO'!C11</f>
        <v>Salaires</v>
      </c>
      <c r="D36" s="191">
        <v>0</v>
      </c>
      <c r="E36" s="406">
        <v>500</v>
      </c>
      <c r="F36" s="490">
        <f>E36/'État des Résultats'!E14</f>
        <v>1.3053075108699482E-2</v>
      </c>
      <c r="H36" s="406">
        <v>500</v>
      </c>
      <c r="I36" s="490">
        <f>H36/'État des Résultats'!H14</f>
        <v>1.6057354300384283E-2</v>
      </c>
      <c r="K36" s="406">
        <v>500</v>
      </c>
      <c r="L36" s="490">
        <f>K36/'État des Résultats'!K14</f>
        <v>1.3053075108699482E-2</v>
      </c>
      <c r="N36" s="406">
        <v>500</v>
      </c>
      <c r="O36" s="490">
        <f>N36/'État des Résultats'!N14</f>
        <v>1.226197964756618E-2</v>
      </c>
      <c r="Q36" s="406">
        <v>500</v>
      </c>
      <c r="R36" s="490">
        <f>Q36/'État des Résultats'!Q14</f>
        <v>1.0877562590582901E-2</v>
      </c>
      <c r="T36" s="406">
        <v>500</v>
      </c>
      <c r="U36" s="490">
        <f>T36/'État des Résultats'!T14</f>
        <v>8.9921184082151981E-3</v>
      </c>
      <c r="W36" s="406">
        <v>500</v>
      </c>
      <c r="X36" s="490">
        <f>W36/'État des Résultats'!W14</f>
        <v>6.5265375543497412E-3</v>
      </c>
      <c r="Z36" s="406">
        <v>500</v>
      </c>
      <c r="AA36" s="490">
        <f>Z36/'État des Résultats'!Z14</f>
        <v>7.2517083937219343E-3</v>
      </c>
      <c r="AC36" s="406">
        <v>500</v>
      </c>
      <c r="AD36" s="490">
        <f>AC36/'État des Résultats'!AC14</f>
        <v>1.1240148010268999E-2</v>
      </c>
      <c r="AF36" s="406">
        <v>500</v>
      </c>
      <c r="AG36" s="490">
        <f>AF36/'État des Résultats'!AF14</f>
        <v>1.186643191699953E-2</v>
      </c>
      <c r="AI36" s="406">
        <v>500</v>
      </c>
      <c r="AJ36" s="490">
        <f>AI36/'État des Résultats'!AI14</f>
        <v>1.3488177612322799E-2</v>
      </c>
      <c r="AK36" s="201"/>
      <c r="AL36" s="406">
        <v>500</v>
      </c>
      <c r="AM36" s="490">
        <f>AL36/'État des Résultats'!AL14</f>
        <v>1.0877562590582901E-2</v>
      </c>
      <c r="AP36" s="485">
        <f>SUM(+$AL36+$AI36+$AF36+$AC36+$Z36+$W36+$T36+$Q36+$N36+$K36+$H36+$E36)</f>
        <v>6000</v>
      </c>
      <c r="AQ36" s="484">
        <f>AP36/'État des Résultats'!AP14</f>
        <v>1.0613647957237612E-2</v>
      </c>
    </row>
    <row r="37" spans="2:52" x14ac:dyDescent="0.15">
      <c r="B37" s="191">
        <f>+B31</f>
        <v>6205</v>
      </c>
      <c r="C37" s="394" t="str">
        <f>' Total des coûts de MO'!C27</f>
        <v>Bénéfices gouvernementaux</v>
      </c>
      <c r="D37" s="191"/>
      <c r="E37" s="397">
        <f>+E36*$H$76</f>
        <v>60</v>
      </c>
      <c r="F37" s="418">
        <f>E37/'État des Résultats'!E14</f>
        <v>1.5663690130439379E-3</v>
      </c>
      <c r="H37" s="397">
        <f>+H36*$H$76</f>
        <v>60</v>
      </c>
      <c r="I37" s="418">
        <f>H37/'État des Résultats'!H14</f>
        <v>1.926882516046114E-3</v>
      </c>
      <c r="K37" s="397">
        <f>+K36*$H$76</f>
        <v>60</v>
      </c>
      <c r="L37" s="418">
        <f>K37/'État des Résultats'!K14</f>
        <v>1.5663690130439379E-3</v>
      </c>
      <c r="N37" s="397">
        <f>+N36*$H$76</f>
        <v>60</v>
      </c>
      <c r="O37" s="418">
        <f>N37/'État des Résultats'!N14</f>
        <v>1.4714375577079416E-3</v>
      </c>
      <c r="Q37" s="397">
        <f>+Q36*$H$76</f>
        <v>60</v>
      </c>
      <c r="R37" s="418">
        <f>Q37/'État des Résultats'!Q14</f>
        <v>1.305307510869948E-3</v>
      </c>
      <c r="T37" s="397">
        <f>+T36*$H$76</f>
        <v>60</v>
      </c>
      <c r="U37" s="418">
        <f>T37/'État des Résultats'!T14</f>
        <v>1.0790542089858237E-3</v>
      </c>
      <c r="W37" s="397">
        <f>+W36*$H$76</f>
        <v>60</v>
      </c>
      <c r="X37" s="418">
        <f>W37/'État des Résultats'!W14</f>
        <v>7.8318450652196893E-4</v>
      </c>
      <c r="Z37" s="397">
        <f>+Z36*$H$76</f>
        <v>60</v>
      </c>
      <c r="AA37" s="418">
        <f>Z37/'État des Résultats'!Z14</f>
        <v>8.7020500724663209E-4</v>
      </c>
      <c r="AC37" s="397">
        <f>+AC36*$H$76</f>
        <v>60</v>
      </c>
      <c r="AD37" s="418">
        <f>AC37/'État des Résultats'!AC14</f>
        <v>1.3488177612322799E-3</v>
      </c>
      <c r="AF37" s="397">
        <f>+AF36*$H$76</f>
        <v>60</v>
      </c>
      <c r="AG37" s="418">
        <f>AF37/'État des Résultats'!AF14</f>
        <v>1.4239718300399435E-3</v>
      </c>
      <c r="AI37" s="397">
        <f>+AI36*$H$76</f>
        <v>60</v>
      </c>
      <c r="AJ37" s="418">
        <f>AI37/'État des Résultats'!AI14</f>
        <v>1.6185813134787358E-3</v>
      </c>
      <c r="AK37" s="201"/>
      <c r="AL37" s="397">
        <f>+AL36*$H$76</f>
        <v>60</v>
      </c>
      <c r="AM37" s="418">
        <f>AL37/'État des Résultats'!AL14</f>
        <v>1.305307510869948E-3</v>
      </c>
      <c r="AP37" s="485">
        <f>SUM(+$AL37+$AI37+$AF37+$AC37+$Z37+$W37+$T37+$Q37+$N37+$K37+$H37+$E37)</f>
        <v>720</v>
      </c>
      <c r="AQ37" s="484">
        <f>AP37/'État des Résultats'!AP14</f>
        <v>1.2736377548685134E-3</v>
      </c>
    </row>
    <row r="38" spans="2:52" ht="14" thickBot="1" x14ac:dyDescent="0.2">
      <c r="B38" s="191">
        <f>B32</f>
        <v>6245</v>
      </c>
      <c r="C38" s="394" t="str">
        <f>' Total des coûts de MO'!C31</f>
        <v>CSST et CNT</v>
      </c>
      <c r="D38" s="419"/>
      <c r="E38" s="397">
        <f>(E36/100)*$F$72</f>
        <v>12</v>
      </c>
      <c r="F38" s="420">
        <f>E38/'État des Résultats'!E14</f>
        <v>3.1327380260878757E-4</v>
      </c>
      <c r="G38" s="421"/>
      <c r="H38" s="397">
        <f>(H36/100)*$F$72</f>
        <v>12</v>
      </c>
      <c r="I38" s="420">
        <f>H38/'État des Résultats'!H14</f>
        <v>3.8537650320922282E-4</v>
      </c>
      <c r="J38" s="421"/>
      <c r="K38" s="397">
        <f>(K36/100)*$F$72</f>
        <v>12</v>
      </c>
      <c r="L38" s="420">
        <f>K38/'État des Résultats'!K14</f>
        <v>3.1327380260878757E-4</v>
      </c>
      <c r="M38" s="316"/>
      <c r="N38" s="397">
        <f>(N36/100)*$F$72</f>
        <v>12</v>
      </c>
      <c r="O38" s="420">
        <f>N38/'État des Résultats'!N14</f>
        <v>2.9428751154158829E-4</v>
      </c>
      <c r="P38" s="421"/>
      <c r="Q38" s="397">
        <f>(Q36/100)*$F$72</f>
        <v>12</v>
      </c>
      <c r="R38" s="420">
        <f>Q38/'État des Résultats'!Q14</f>
        <v>2.6106150217398961E-4</v>
      </c>
      <c r="S38" s="421"/>
      <c r="T38" s="397">
        <f>(T36/100)*$F$72</f>
        <v>12</v>
      </c>
      <c r="U38" s="420">
        <f>T38/'État des Résultats'!T14</f>
        <v>2.1581084179716475E-4</v>
      </c>
      <c r="V38" s="421"/>
      <c r="W38" s="397">
        <f>(W36/100)*$F$72</f>
        <v>12</v>
      </c>
      <c r="X38" s="420">
        <f>W38/'État des Résultats'!W14</f>
        <v>1.5663690130439379E-4</v>
      </c>
      <c r="Y38" s="421"/>
      <c r="Z38" s="397">
        <f>(Z36/100)*$F$72</f>
        <v>12</v>
      </c>
      <c r="AA38" s="420">
        <f>Z38/'État des Résultats'!Z14</f>
        <v>1.7404100144932644E-4</v>
      </c>
      <c r="AB38" s="421"/>
      <c r="AC38" s="397">
        <f>(AC36/100)*$F$72</f>
        <v>12</v>
      </c>
      <c r="AD38" s="420">
        <f>AC38/'État des Résultats'!AC14</f>
        <v>2.6976355224645599E-4</v>
      </c>
      <c r="AE38" s="421"/>
      <c r="AF38" s="397">
        <f>(AF36/100)*$F$72</f>
        <v>12</v>
      </c>
      <c r="AG38" s="420">
        <f>AF38/'État des Résultats'!AF14</f>
        <v>2.8479436600798873E-4</v>
      </c>
      <c r="AH38" s="421"/>
      <c r="AI38" s="397">
        <f>(AI36/100)*$F$72</f>
        <v>12</v>
      </c>
      <c r="AJ38" s="420">
        <f>AI38/'État des Résultats'!AI14</f>
        <v>3.237162626957472E-4</v>
      </c>
      <c r="AK38" s="422"/>
      <c r="AL38" s="397">
        <f>(AL36/100)*$F$72</f>
        <v>12</v>
      </c>
      <c r="AM38" s="420">
        <f>AL38/'État des Résultats'!AL14</f>
        <v>2.6106150217398961E-4</v>
      </c>
      <c r="AN38" s="421"/>
      <c r="AO38" s="421"/>
      <c r="AP38" s="485">
        <f>SUM(+$AL38+$AI38+$AF38+$AC38+$Z38+$W38+$T38+$Q38+$N38+$K38+$H38+$E38)</f>
        <v>144</v>
      </c>
      <c r="AQ38" s="484">
        <f>AP38/'État des Résultats'!AP14</f>
        <v>2.547275509737027E-4</v>
      </c>
    </row>
    <row r="39" spans="2:52" ht="15" thickTop="1" thickBot="1" x14ac:dyDescent="0.2">
      <c r="B39" s="499"/>
      <c r="C39" s="500" t="s">
        <v>224</v>
      </c>
      <c r="D39" s="401"/>
      <c r="E39" s="408">
        <f>SUM(E36:E38)</f>
        <v>572</v>
      </c>
      <c r="F39" s="423">
        <f>SUM(F36:F38)</f>
        <v>1.4932717924352207E-2</v>
      </c>
      <c r="G39" s="214"/>
      <c r="H39" s="408">
        <f>SUM(H36:H38)</f>
        <v>572</v>
      </c>
      <c r="I39" s="423">
        <f>SUM(I36:I38)</f>
        <v>1.836961331963962E-2</v>
      </c>
      <c r="J39" s="214"/>
      <c r="K39" s="408">
        <f>SUM(K36:K38)</f>
        <v>572</v>
      </c>
      <c r="L39" s="423">
        <f>SUM(L36:L38)</f>
        <v>1.4932717924352207E-2</v>
      </c>
      <c r="M39" s="214"/>
      <c r="N39" s="408">
        <f>SUM(N36:N38)</f>
        <v>572</v>
      </c>
      <c r="O39" s="423">
        <f>SUM(O36:O38)</f>
        <v>1.4027704716815709E-2</v>
      </c>
      <c r="P39" s="214"/>
      <c r="Q39" s="408">
        <f>SUM(Q36:Q38)</f>
        <v>572</v>
      </c>
      <c r="R39" s="423">
        <f>SUM(R36:R38)</f>
        <v>1.2443931603626838E-2</v>
      </c>
      <c r="S39" s="214"/>
      <c r="T39" s="408">
        <f>SUM(T36:T38)</f>
        <v>572</v>
      </c>
      <c r="U39" s="423">
        <f>SUM(U36:U38)</f>
        <v>1.0286983458998188E-2</v>
      </c>
      <c r="V39" s="214"/>
      <c r="W39" s="408">
        <f>SUM(W36:W38)</f>
        <v>572</v>
      </c>
      <c r="X39" s="423">
        <f>SUM(X36:X38)</f>
        <v>7.4663589621761037E-3</v>
      </c>
      <c r="Y39" s="214"/>
      <c r="Z39" s="408">
        <f>SUM(Z36:Z38)</f>
        <v>572</v>
      </c>
      <c r="AA39" s="423">
        <f>SUM(AA36:AA38)</f>
        <v>8.2959544024178936E-3</v>
      </c>
      <c r="AB39" s="214"/>
      <c r="AC39" s="408">
        <f>SUM(AC36:AC38)</f>
        <v>572</v>
      </c>
      <c r="AD39" s="423">
        <f>SUM(AD36:AD38)</f>
        <v>1.2858729323747736E-2</v>
      </c>
      <c r="AE39" s="214"/>
      <c r="AF39" s="408">
        <f>SUM(AF36:AF38)</f>
        <v>572</v>
      </c>
      <c r="AG39" s="423">
        <f>SUM(AG36:AG38)</f>
        <v>1.3575198113047464E-2</v>
      </c>
      <c r="AH39" s="214"/>
      <c r="AI39" s="408">
        <f>SUM(AI36:AI38)</f>
        <v>572</v>
      </c>
      <c r="AJ39" s="423">
        <f>SUM(AJ36:AJ38)</f>
        <v>1.5430475188497281E-2</v>
      </c>
      <c r="AK39" s="404"/>
      <c r="AL39" s="408">
        <f>SUM(AL36:AL38)</f>
        <v>572</v>
      </c>
      <c r="AM39" s="423">
        <f>SUM(AM36:AM38)</f>
        <v>1.2443931603626838E-2</v>
      </c>
      <c r="AN39" s="214"/>
      <c r="AO39" s="214"/>
      <c r="AP39" s="417">
        <f>SUM(+$AL39+$AI39+$AF39+$AC39+$Z39+$W39+$T39+$Q39+$N39+$K39+$H39+$E39)</f>
        <v>6864</v>
      </c>
      <c r="AQ39" s="423">
        <f>AP39/'État des Résultats'!AP14</f>
        <v>1.2142013263079829E-2</v>
      </c>
      <c r="AR39" s="252"/>
    </row>
    <row r="40" spans="2:52" ht="15" thickTop="1" thickBot="1" x14ac:dyDescent="0.2">
      <c r="B40" s="504"/>
      <c r="C40" s="504"/>
      <c r="D40" s="504"/>
      <c r="E40" s="518"/>
      <c r="F40" s="519"/>
      <c r="G40" s="504"/>
      <c r="H40" s="518"/>
      <c r="I40" s="519"/>
      <c r="J40" s="504"/>
      <c r="K40" s="518"/>
      <c r="L40" s="519"/>
      <c r="M40" s="504"/>
      <c r="N40" s="518"/>
      <c r="O40" s="519"/>
      <c r="P40" s="504"/>
      <c r="Q40" s="518"/>
      <c r="R40" s="519"/>
      <c r="S40" s="504"/>
      <c r="T40" s="518"/>
      <c r="U40" s="519"/>
      <c r="V40" s="504"/>
      <c r="W40" s="518"/>
      <c r="X40" s="519"/>
      <c r="Y40" s="504"/>
      <c r="Z40" s="518"/>
      <c r="AA40" s="519"/>
      <c r="AB40" s="504"/>
      <c r="AC40" s="518"/>
      <c r="AD40" s="519"/>
      <c r="AE40" s="504"/>
      <c r="AF40" s="518"/>
      <c r="AG40" s="519"/>
      <c r="AH40" s="504"/>
      <c r="AI40" s="518"/>
      <c r="AJ40" s="519"/>
      <c r="AK40" s="504"/>
      <c r="AL40" s="518"/>
      <c r="AM40" s="519"/>
      <c r="AN40" s="504"/>
      <c r="AO40" s="504"/>
      <c r="AP40" s="514"/>
      <c r="AQ40" s="520"/>
    </row>
    <row r="41" spans="2:52" ht="15" thickTop="1" thickBot="1" x14ac:dyDescent="0.2">
      <c r="B41" s="548"/>
      <c r="C41" s="549" t="str">
        <f>' Total des coûts de MO'!C18</f>
        <v>Salaire "Marketing &amp; Communication"</v>
      </c>
      <c r="D41" s="191"/>
      <c r="E41" s="552"/>
      <c r="F41" s="545"/>
      <c r="H41" s="552"/>
      <c r="I41" s="545"/>
      <c r="K41" s="552"/>
      <c r="L41" s="545"/>
      <c r="N41" s="552"/>
      <c r="O41" s="545"/>
      <c r="Q41" s="552"/>
      <c r="R41" s="545"/>
      <c r="T41" s="552"/>
      <c r="U41" s="545"/>
      <c r="W41" s="552"/>
      <c r="X41" s="545"/>
      <c r="Z41" s="552"/>
      <c r="AA41" s="545"/>
      <c r="AC41" s="552"/>
      <c r="AD41" s="545"/>
      <c r="AF41" s="552"/>
      <c r="AG41" s="545"/>
      <c r="AI41" s="552"/>
      <c r="AJ41" s="545"/>
      <c r="AK41" s="201"/>
      <c r="AL41" s="552"/>
      <c r="AM41" s="545"/>
      <c r="AP41" s="540"/>
      <c r="AQ41" s="545"/>
    </row>
    <row r="42" spans="2:52" x14ac:dyDescent="0.15">
      <c r="B42" s="191">
        <f>' Total des coûts de MO'!B18</f>
        <v>6160</v>
      </c>
      <c r="C42" s="394" t="str">
        <f>' Total des coûts de MO'!C11</f>
        <v>Salaires</v>
      </c>
      <c r="D42" s="191"/>
      <c r="E42" s="406">
        <v>1500</v>
      </c>
      <c r="F42" s="489">
        <f>E42/'État des Résultats'!E14</f>
        <v>3.9159225326098446E-2</v>
      </c>
      <c r="H42" s="406">
        <v>1500</v>
      </c>
      <c r="I42" s="489">
        <f>H42/'État des Résultats'!H14</f>
        <v>4.8172062901152855E-2</v>
      </c>
      <c r="K42" s="406">
        <v>1500</v>
      </c>
      <c r="L42" s="489">
        <f>K42/'État des Résultats'!K14</f>
        <v>3.9159225326098446E-2</v>
      </c>
      <c r="N42" s="406">
        <v>1500</v>
      </c>
      <c r="O42" s="489">
        <f>N42/'État des Résultats'!N14</f>
        <v>3.6785938942698541E-2</v>
      </c>
      <c r="Q42" s="406">
        <v>1500</v>
      </c>
      <c r="R42" s="489">
        <f>Q42/'État des Résultats'!Q14</f>
        <v>3.26326877717487E-2</v>
      </c>
      <c r="T42" s="406">
        <v>1500</v>
      </c>
      <c r="U42" s="489">
        <f>T42/'État des Résultats'!T14</f>
        <v>2.6976355224645594E-2</v>
      </c>
      <c r="W42" s="406">
        <v>1500</v>
      </c>
      <c r="X42" s="489">
        <f>W42/'État des Résultats'!W14</f>
        <v>1.9579612663049223E-2</v>
      </c>
      <c r="Z42" s="406">
        <v>1500</v>
      </c>
      <c r="AA42" s="489">
        <f>Z42/'État des Résultats'!Z14</f>
        <v>2.1755125181165805E-2</v>
      </c>
      <c r="AC42" s="406">
        <v>1500</v>
      </c>
      <c r="AD42" s="489">
        <f>AC42/'État des Résultats'!AC14</f>
        <v>3.3720444030806998E-2</v>
      </c>
      <c r="AF42" s="406">
        <v>1500</v>
      </c>
      <c r="AG42" s="489">
        <f>AF42/'État des Résultats'!AF14</f>
        <v>3.5599295750998586E-2</v>
      </c>
      <c r="AI42" s="406">
        <v>1500</v>
      </c>
      <c r="AJ42" s="489">
        <f>AI42/'État des Résultats'!AI14</f>
        <v>4.0464532836968395E-2</v>
      </c>
      <c r="AK42" s="201"/>
      <c r="AL42" s="406">
        <v>1500</v>
      </c>
      <c r="AM42" s="489">
        <f>AL42/'État des Résultats'!AL14</f>
        <v>3.26326877717487E-2</v>
      </c>
      <c r="AP42" s="485">
        <f>SUM(+$AL42+$AI42+$AF42+$AC42+$Z42+$W42+$T42+$Q42+$N42+$K42+$H42+$E42)</f>
        <v>18000</v>
      </c>
      <c r="AQ42" s="484">
        <f>AP42/'État des Résultats'!AP14</f>
        <v>3.1840943871712837E-2</v>
      </c>
    </row>
    <row r="43" spans="2:52" x14ac:dyDescent="0.15">
      <c r="B43" s="191">
        <f>+B37</f>
        <v>6205</v>
      </c>
      <c r="C43" s="394" t="str">
        <f>' Total des coûts de MO'!C27</f>
        <v>Bénéfices gouvernementaux</v>
      </c>
      <c r="D43" s="191"/>
      <c r="E43" s="397">
        <f>+E42*$H$76</f>
        <v>180</v>
      </c>
      <c r="F43" s="425">
        <f>E43/'État des Résultats'!E14</f>
        <v>4.6991070391318134E-3</v>
      </c>
      <c r="H43" s="397">
        <f>+H42*$H$76</f>
        <v>180</v>
      </c>
      <c r="I43" s="425">
        <f>H43/'État des Résultats'!H14</f>
        <v>5.7806475481383419E-3</v>
      </c>
      <c r="K43" s="397">
        <f>+K42*$H$76</f>
        <v>180</v>
      </c>
      <c r="L43" s="425">
        <f>K43/'État des Résultats'!K14</f>
        <v>4.6991070391318134E-3</v>
      </c>
      <c r="N43" s="397">
        <f>+N42*$H$76</f>
        <v>180</v>
      </c>
      <c r="O43" s="425">
        <f>N43/'État des Résultats'!N14</f>
        <v>4.414312673123825E-3</v>
      </c>
      <c r="Q43" s="397">
        <f>+Q42*$H$76</f>
        <v>180</v>
      </c>
      <c r="R43" s="425">
        <f>Q43/'État des Résultats'!Q14</f>
        <v>3.9159225326098439E-3</v>
      </c>
      <c r="T43" s="397">
        <f>+T42*$H$76</f>
        <v>180</v>
      </c>
      <c r="U43" s="425">
        <f>T43/'État des Résultats'!T14</f>
        <v>3.2371626269574712E-3</v>
      </c>
      <c r="W43" s="397">
        <f>+W42*$H$76</f>
        <v>180</v>
      </c>
      <c r="X43" s="425">
        <f>W43/'État des Résultats'!W14</f>
        <v>2.3495535195659067E-3</v>
      </c>
      <c r="Z43" s="397">
        <f>+Z42*$H$76</f>
        <v>180</v>
      </c>
      <c r="AA43" s="425">
        <f>Z43/'État des Résultats'!Z14</f>
        <v>2.6106150217398965E-3</v>
      </c>
      <c r="AC43" s="397">
        <f>+AC42*$H$76</f>
        <v>180</v>
      </c>
      <c r="AD43" s="425">
        <f>AC43/'État des Résultats'!AC14</f>
        <v>4.0464532836968397E-3</v>
      </c>
      <c r="AF43" s="397">
        <f>+AF42*$H$76</f>
        <v>180</v>
      </c>
      <c r="AG43" s="425">
        <f>AF43/'État des Résultats'!AF14</f>
        <v>4.2719154901198304E-3</v>
      </c>
      <c r="AI43" s="397">
        <f>+AI42*$H$76</f>
        <v>180</v>
      </c>
      <c r="AJ43" s="425">
        <f>AI43/'État des Résultats'!AI14</f>
        <v>4.8557439404362072E-3</v>
      </c>
      <c r="AK43" s="201"/>
      <c r="AL43" s="397">
        <f>+AL42*$H$76</f>
        <v>180</v>
      </c>
      <c r="AM43" s="425">
        <f>AL43/'État des Résultats'!AL14</f>
        <v>3.9159225326098439E-3</v>
      </c>
      <c r="AP43" s="485">
        <f>SUM(+$AL43+$AI43+$AF43+$AC43+$Z43+$W43+$T43+$Q43+$N43+$K43+$H43+$E43)</f>
        <v>2160</v>
      </c>
      <c r="AQ43" s="484">
        <f>AP43/'État des Résultats'!AP14</f>
        <v>3.8209132646055406E-3</v>
      </c>
      <c r="AY43" s="675" t="s">
        <v>2</v>
      </c>
      <c r="AZ43" s="676" t="s">
        <v>2</v>
      </c>
    </row>
    <row r="44" spans="2:52" x14ac:dyDescent="0.15">
      <c r="B44" s="191">
        <f>B38</f>
        <v>6245</v>
      </c>
      <c r="C44" s="394" t="str">
        <f>' Total des coûts de MO'!C31</f>
        <v>CSST et CNT</v>
      </c>
      <c r="D44" s="191"/>
      <c r="E44" s="397">
        <f>(E42/100)*$F$72</f>
        <v>36</v>
      </c>
      <c r="F44" s="425">
        <f>E44/'État des Résultats'!E14</f>
        <v>9.3982140782636271E-4</v>
      </c>
      <c r="H44" s="397">
        <f>(H42/100)*$F$72</f>
        <v>36</v>
      </c>
      <c r="I44" s="425">
        <f>H44/'État des Résultats'!H14</f>
        <v>1.1561295096276685E-3</v>
      </c>
      <c r="K44" s="397">
        <f>(K42/100)*$F$72</f>
        <v>36</v>
      </c>
      <c r="L44" s="425">
        <f>K44/'État des Résultats'!K14</f>
        <v>9.3982140782636271E-4</v>
      </c>
      <c r="N44" s="397">
        <f>(N42/100)*$F$72</f>
        <v>36</v>
      </c>
      <c r="O44" s="425">
        <f>N44/'État des Résultats'!N14</f>
        <v>8.8286253462476491E-4</v>
      </c>
      <c r="Q44" s="397">
        <f>(Q42/100)*$F$72</f>
        <v>36</v>
      </c>
      <c r="R44" s="425">
        <f>Q44/'État des Résultats'!Q14</f>
        <v>7.8318450652196882E-4</v>
      </c>
      <c r="T44" s="397">
        <f>(T42/100)*$F$72</f>
        <v>36</v>
      </c>
      <c r="U44" s="425">
        <f>T44/'État des Résultats'!T14</f>
        <v>6.4743252539149428E-4</v>
      </c>
      <c r="W44" s="397">
        <f>(W42/100)*$F$72</f>
        <v>36</v>
      </c>
      <c r="X44" s="425">
        <f>W44/'État des Résultats'!W14</f>
        <v>4.6991070391318136E-4</v>
      </c>
      <c r="Z44" s="397">
        <f>(Z42/100)*$F$72</f>
        <v>36</v>
      </c>
      <c r="AA44" s="425">
        <f>Z44/'État des Résultats'!Z14</f>
        <v>5.2212300434797932E-4</v>
      </c>
      <c r="AC44" s="397">
        <f>(AC42/100)*$F$72</f>
        <v>36</v>
      </c>
      <c r="AD44" s="425">
        <f>AC44/'État des Résultats'!AC14</f>
        <v>8.0929065673936791E-4</v>
      </c>
      <c r="AF44" s="397">
        <f>(AF42/100)*$F$72</f>
        <v>36</v>
      </c>
      <c r="AG44" s="425">
        <f>AF44/'État des Résultats'!AF14</f>
        <v>8.5438309802396612E-4</v>
      </c>
      <c r="AI44" s="397">
        <f>(AI42/100)*$F$72</f>
        <v>36</v>
      </c>
      <c r="AJ44" s="425">
        <f>AI44/'État des Résultats'!AI14</f>
        <v>9.7114878808724154E-4</v>
      </c>
      <c r="AK44" s="201"/>
      <c r="AL44" s="397">
        <f>(AL42/100)*$F$72</f>
        <v>36</v>
      </c>
      <c r="AM44" s="425">
        <f>AL44/'État des Résultats'!AL14</f>
        <v>7.8318450652196882E-4</v>
      </c>
      <c r="AP44" s="485">
        <f>SUM(+$AL44+$AI44+$AF44+$AC44+$Z44+$W44+$T44+$Q44+$N44+$K44+$H44+$E44)</f>
        <v>432</v>
      </c>
      <c r="AQ44" s="484">
        <f>AP44/'État des Résultats'!AP14</f>
        <v>7.641826529211081E-4</v>
      </c>
    </row>
    <row r="45" spans="2:52" ht="14" thickBot="1" x14ac:dyDescent="0.2">
      <c r="B45" s="399"/>
      <c r="C45" s="400" t="s">
        <v>225</v>
      </c>
      <c r="D45" s="401"/>
      <c r="E45" s="408">
        <f>SUM(E42:E44)</f>
        <v>1716</v>
      </c>
      <c r="F45" s="409">
        <f>SUM(F42:F44)</f>
        <v>4.4798153773056626E-2</v>
      </c>
      <c r="G45" s="214"/>
      <c r="H45" s="408">
        <f>SUM(H42:H44)</f>
        <v>1716</v>
      </c>
      <c r="I45" s="409">
        <f>SUM(I42:I44)</f>
        <v>5.5108839958918861E-2</v>
      </c>
      <c r="J45" s="214"/>
      <c r="K45" s="408">
        <f>SUM(K42:K44)</f>
        <v>1716</v>
      </c>
      <c r="L45" s="409">
        <f>SUM(L42:L44)</f>
        <v>4.4798153773056626E-2</v>
      </c>
      <c r="M45" s="214"/>
      <c r="N45" s="408">
        <f>SUM(N42:N44)</f>
        <v>1716</v>
      </c>
      <c r="O45" s="409">
        <f>SUM(O42:O44)</f>
        <v>4.2083114150447132E-2</v>
      </c>
      <c r="P45" s="214"/>
      <c r="Q45" s="408">
        <f>SUM(Q42:Q44)</f>
        <v>1716</v>
      </c>
      <c r="R45" s="409">
        <f>SUM(R42:R44)</f>
        <v>3.7331794810880517E-2</v>
      </c>
      <c r="S45" s="214"/>
      <c r="T45" s="408">
        <f>SUM(T42:T44)</f>
        <v>1716</v>
      </c>
      <c r="U45" s="409">
        <f>SUM(U42:U44)</f>
        <v>3.0860950376994559E-2</v>
      </c>
      <c r="V45" s="214"/>
      <c r="W45" s="408">
        <f>SUM(W42:W44)</f>
        <v>1716</v>
      </c>
      <c r="X45" s="409">
        <f>SUM(X42:X44)</f>
        <v>2.2399076886528313E-2</v>
      </c>
      <c r="Y45" s="214"/>
      <c r="Z45" s="408">
        <f>SUM(Z42:Z44)</f>
        <v>1716</v>
      </c>
      <c r="AA45" s="409">
        <f>SUM(AA42:AA44)</f>
        <v>2.4887863207253683E-2</v>
      </c>
      <c r="AB45" s="214"/>
      <c r="AC45" s="408">
        <f>SUM(AC42:AC44)</f>
        <v>1716</v>
      </c>
      <c r="AD45" s="409">
        <f>SUM(AD42:AD44)</f>
        <v>3.8576187971243209E-2</v>
      </c>
      <c r="AE45" s="214"/>
      <c r="AF45" s="408">
        <f>SUM(AF42:AF44)</f>
        <v>1716</v>
      </c>
      <c r="AG45" s="409">
        <f>SUM(AG42:AG44)</f>
        <v>4.0725594339142378E-2</v>
      </c>
      <c r="AH45" s="214"/>
      <c r="AI45" s="408">
        <f>SUM(AI42:AI44)</f>
        <v>1716</v>
      </c>
      <c r="AJ45" s="409">
        <f>SUM(AJ42:AJ44)</f>
        <v>4.6291425565491845E-2</v>
      </c>
      <c r="AK45" s="404"/>
      <c r="AL45" s="408">
        <f>SUM(AL42:AL44)</f>
        <v>1716</v>
      </c>
      <c r="AM45" s="409">
        <f>SUM(AM42:AM44)</f>
        <v>3.7331794810880517E-2</v>
      </c>
      <c r="AN45" s="214"/>
      <c r="AO45" s="214"/>
      <c r="AP45" s="417">
        <f>SUM(+$AL45+$AI45+$AF45+$AC45+$Z45+$W45+$T45+$Q45+$N45+$K45+$H45+$E45)</f>
        <v>20592</v>
      </c>
      <c r="AQ45" s="423">
        <f>AP45/'État des Résultats'!AP14</f>
        <v>3.6426039789239487E-2</v>
      </c>
      <c r="AR45" s="252"/>
      <c r="AS45" s="252"/>
      <c r="AT45" s="252"/>
    </row>
    <row r="46" spans="2:52" ht="14" thickBot="1" x14ac:dyDescent="0.2">
      <c r="B46" s="504"/>
      <c r="C46" s="504"/>
      <c r="D46" s="504"/>
      <c r="E46" s="518"/>
      <c r="F46" s="521"/>
      <c r="G46" s="504"/>
      <c r="H46" s="518"/>
      <c r="I46" s="521"/>
      <c r="J46" s="504"/>
      <c r="K46" s="518"/>
      <c r="L46" s="521"/>
      <c r="M46" s="504"/>
      <c r="N46" s="518"/>
      <c r="O46" s="521"/>
      <c r="P46" s="504"/>
      <c r="Q46" s="518"/>
      <c r="R46" s="521"/>
      <c r="S46" s="504"/>
      <c r="T46" s="518"/>
      <c r="U46" s="521"/>
      <c r="V46" s="504"/>
      <c r="W46" s="518"/>
      <c r="X46" s="521"/>
      <c r="Y46" s="504"/>
      <c r="Z46" s="518"/>
      <c r="AA46" s="521"/>
      <c r="AB46" s="504"/>
      <c r="AC46" s="518"/>
      <c r="AD46" s="521"/>
      <c r="AE46" s="504"/>
      <c r="AF46" s="518"/>
      <c r="AG46" s="521"/>
      <c r="AH46" s="504"/>
      <c r="AI46" s="518"/>
      <c r="AJ46" s="521"/>
      <c r="AK46" s="504"/>
      <c r="AL46" s="518"/>
      <c r="AM46" s="521"/>
      <c r="AN46" s="504"/>
      <c r="AO46" s="504"/>
      <c r="AP46" s="514" t="s">
        <v>2</v>
      </c>
      <c r="AQ46" s="520"/>
    </row>
    <row r="47" spans="2:52" ht="15" thickTop="1" thickBot="1" x14ac:dyDescent="0.2">
      <c r="B47" s="547"/>
      <c r="C47" s="537" t="str">
        <f>' Total des coûts de MO'!C19</f>
        <v>Salaire "Théâtralisation"</v>
      </c>
      <c r="D47" s="191"/>
      <c r="E47" s="552"/>
      <c r="F47" s="539"/>
      <c r="H47" s="552"/>
      <c r="I47" s="539"/>
      <c r="K47" s="552"/>
      <c r="L47" s="539"/>
      <c r="N47" s="552"/>
      <c r="O47" s="539"/>
      <c r="Q47" s="552"/>
      <c r="R47" s="539"/>
      <c r="T47" s="552"/>
      <c r="U47" s="539"/>
      <c r="W47" s="552"/>
      <c r="X47" s="539"/>
      <c r="Z47" s="552"/>
      <c r="AA47" s="539"/>
      <c r="AC47" s="552"/>
      <c r="AD47" s="539"/>
      <c r="AF47" s="552"/>
      <c r="AG47" s="539"/>
      <c r="AI47" s="552"/>
      <c r="AJ47" s="539"/>
      <c r="AK47" s="201"/>
      <c r="AL47" s="552"/>
      <c r="AM47" s="539"/>
      <c r="AP47" s="540"/>
      <c r="AQ47" s="545"/>
    </row>
    <row r="48" spans="2:52" ht="14" thickTop="1" x14ac:dyDescent="0.15">
      <c r="B48" s="191">
        <f>' Total des coûts de MO'!B19</f>
        <v>6170</v>
      </c>
      <c r="C48" s="394" t="str">
        <f>' Total des coûts de MO'!C11</f>
        <v>Salaires</v>
      </c>
      <c r="D48" s="191"/>
      <c r="E48" s="406">
        <v>1023</v>
      </c>
      <c r="F48" s="489">
        <f>+E48/'État des Résultats'!E14</f>
        <v>2.6706591672399142E-2</v>
      </c>
      <c r="H48" s="406">
        <v>924</v>
      </c>
      <c r="I48" s="489">
        <f>+H48/'État des Résultats'!H14</f>
        <v>2.9673990747110156E-2</v>
      </c>
      <c r="K48" s="406">
        <v>1000</v>
      </c>
      <c r="L48" s="489">
        <f>+K48/'État des Résultats'!K14</f>
        <v>2.6106150217398965E-2</v>
      </c>
      <c r="N48" s="406">
        <v>1000</v>
      </c>
      <c r="O48" s="489">
        <f>+N48/'État des Résultats'!N14</f>
        <v>2.4523959295132361E-2</v>
      </c>
      <c r="Q48" s="406">
        <v>1000</v>
      </c>
      <c r="R48" s="489">
        <f>+Q48/'État des Résultats'!Q14</f>
        <v>2.1755125181165801E-2</v>
      </c>
      <c r="T48" s="406">
        <v>1000</v>
      </c>
      <c r="U48" s="489">
        <f>+T48/'État des Résultats'!T14</f>
        <v>1.7984236816430396E-2</v>
      </c>
      <c r="W48" s="406">
        <v>1000</v>
      </c>
      <c r="X48" s="489">
        <f>+W48/'État des Résultats'!W14</f>
        <v>1.3053075108699482E-2</v>
      </c>
      <c r="Z48" s="406">
        <v>1000</v>
      </c>
      <c r="AA48" s="489">
        <f>+Z48/'État des Résultats'!Z14</f>
        <v>1.4503416787443869E-2</v>
      </c>
      <c r="AC48" s="406">
        <v>1000</v>
      </c>
      <c r="AD48" s="489">
        <f>+AC48/'État des Résultats'!AC14</f>
        <v>2.2480296020537999E-2</v>
      </c>
      <c r="AF48" s="406">
        <v>1000</v>
      </c>
      <c r="AG48" s="489">
        <f>+AF48/'État des Résultats'!AF14</f>
        <v>2.3732863833999061E-2</v>
      </c>
      <c r="AI48" s="406">
        <v>1000</v>
      </c>
      <c r="AJ48" s="489">
        <f>+AI48/'État des Résultats'!AI14</f>
        <v>2.6976355224645598E-2</v>
      </c>
      <c r="AK48" s="201"/>
      <c r="AL48" s="406">
        <v>1000</v>
      </c>
      <c r="AM48" s="489">
        <f>+AL48/'État des Résultats'!AL14</f>
        <v>2.1755125181165801E-2</v>
      </c>
      <c r="AP48" s="485">
        <f>SUM(+$AL48+$AI48+$AF48+$AC48+$Z48+$W48+$T48+$Q48+$N48+$K48+$H48+$E48)</f>
        <v>11947</v>
      </c>
      <c r="AQ48" s="484">
        <f>AP48/'État des Résultats'!AP14</f>
        <v>2.1133542024186294E-2</v>
      </c>
    </row>
    <row r="49" spans="2:53" x14ac:dyDescent="0.15">
      <c r="B49" s="191">
        <f>+B43</f>
        <v>6205</v>
      </c>
      <c r="C49" s="394" t="str">
        <f>' Total des coûts de MO'!C27</f>
        <v>Bénéfices gouvernementaux</v>
      </c>
      <c r="D49" s="191"/>
      <c r="E49" s="397">
        <f>+E48*$H$76</f>
        <v>122.75999999999999</v>
      </c>
      <c r="F49" s="425">
        <f>E49/'État des Résultats'!E14</f>
        <v>3.2047910006878966E-3</v>
      </c>
      <c r="H49" s="397">
        <f>+H48*$H$76</f>
        <v>110.88</v>
      </c>
      <c r="I49" s="425">
        <f>H49/'État des Résultats'!H14</f>
        <v>3.5608788896532187E-3</v>
      </c>
      <c r="K49" s="397">
        <f>+K48*$H$76</f>
        <v>120</v>
      </c>
      <c r="L49" s="425">
        <f>K49/'État des Résultats'!K14</f>
        <v>3.1327380260878757E-3</v>
      </c>
      <c r="N49" s="397">
        <f>+N48*$H$76</f>
        <v>120</v>
      </c>
      <c r="O49" s="425">
        <f>N49/'État des Résultats'!N14</f>
        <v>2.9428751154158832E-3</v>
      </c>
      <c r="Q49" s="397">
        <f>+Q48*$H$76</f>
        <v>120</v>
      </c>
      <c r="R49" s="425">
        <f>Q49/'État des Résultats'!Q14</f>
        <v>2.6106150217398961E-3</v>
      </c>
      <c r="T49" s="397">
        <f>+T48*$H$76</f>
        <v>120</v>
      </c>
      <c r="U49" s="425">
        <f>T49/'État des Résultats'!T14</f>
        <v>2.1581084179716475E-3</v>
      </c>
      <c r="W49" s="397">
        <f>+W48*$H$76</f>
        <v>120</v>
      </c>
      <c r="X49" s="425">
        <f>W49/'État des Résultats'!W14</f>
        <v>1.5663690130439379E-3</v>
      </c>
      <c r="Z49" s="397">
        <f>+Z48*$H$76</f>
        <v>120</v>
      </c>
      <c r="AA49" s="425">
        <f>Z49/'État des Résultats'!Z14</f>
        <v>1.7404100144932642E-3</v>
      </c>
      <c r="AC49" s="397">
        <f>+AC48*$H$76</f>
        <v>120</v>
      </c>
      <c r="AD49" s="425">
        <f>AC49/'État des Résultats'!AC14</f>
        <v>2.6976355224645598E-3</v>
      </c>
      <c r="AF49" s="397">
        <f>+AF48*$H$76</f>
        <v>120</v>
      </c>
      <c r="AG49" s="425">
        <f>AF49/'État des Résultats'!AF14</f>
        <v>2.8479436600798869E-3</v>
      </c>
      <c r="AI49" s="397">
        <f>+AI48*$H$76</f>
        <v>120</v>
      </c>
      <c r="AJ49" s="425">
        <f>AI49/'État des Résultats'!AI14</f>
        <v>3.2371626269574716E-3</v>
      </c>
      <c r="AK49" s="201"/>
      <c r="AL49" s="397">
        <f>+AL48*$H$76</f>
        <v>120</v>
      </c>
      <c r="AM49" s="425">
        <f>AL49/'État des Résultats'!AL14</f>
        <v>2.6106150217398961E-3</v>
      </c>
      <c r="AP49" s="485">
        <f>SUM(+$AL49+$AI49+$AF49+$AC49+$Z49+$W49+$T49+$Q49+$N49+$K49+$H49+$E49)</f>
        <v>1433.64</v>
      </c>
      <c r="AQ49" s="484">
        <f>AP49/'État des Résultats'!AP14</f>
        <v>2.5360250429023552E-3</v>
      </c>
    </row>
    <row r="50" spans="2:53" ht="14" thickBot="1" x14ac:dyDescent="0.2">
      <c r="B50" s="191">
        <f>B44</f>
        <v>6245</v>
      </c>
      <c r="C50" s="394" t="str">
        <f>' Total des coûts de MO'!C31</f>
        <v>CSST et CNT</v>
      </c>
      <c r="D50" s="191"/>
      <c r="E50" s="397">
        <f>(E48/100)*$F$72</f>
        <v>24.552</v>
      </c>
      <c r="F50" s="426">
        <f>E50/'État des Résultats'!E14</f>
        <v>6.4095820013757943E-4</v>
      </c>
      <c r="H50" s="397">
        <f>(H48/100)*$F$72</f>
        <v>22.175999999999998</v>
      </c>
      <c r="I50" s="426">
        <f>H50/'État des Résultats'!H14</f>
        <v>7.1217577793064374E-4</v>
      </c>
      <c r="K50" s="397">
        <f>(K48/100)*$F$72</f>
        <v>24</v>
      </c>
      <c r="L50" s="426">
        <f>K50/'État des Résultats'!K14</f>
        <v>6.2654760521757514E-4</v>
      </c>
      <c r="N50" s="397">
        <f>(N48/100)*$F$72</f>
        <v>24</v>
      </c>
      <c r="O50" s="426">
        <f>N50/'État des Résultats'!N14</f>
        <v>5.8857502308317657E-4</v>
      </c>
      <c r="Q50" s="397">
        <f>(Q48/100)*$F$72</f>
        <v>24</v>
      </c>
      <c r="R50" s="426">
        <f>Q50/'État des Résultats'!Q14</f>
        <v>5.2212300434797921E-4</v>
      </c>
      <c r="T50" s="397">
        <f>(T48/100)*$F$72</f>
        <v>24</v>
      </c>
      <c r="U50" s="426">
        <f>T50/'État des Résultats'!T14</f>
        <v>4.3162168359432951E-4</v>
      </c>
      <c r="W50" s="397">
        <f>(W48/100)*$F$72</f>
        <v>24</v>
      </c>
      <c r="X50" s="426">
        <f>W50/'État des Résultats'!W14</f>
        <v>3.1327380260878757E-4</v>
      </c>
      <c r="Z50" s="397">
        <f>(Z48/100)*$F$72</f>
        <v>24</v>
      </c>
      <c r="AA50" s="426">
        <f>Z50/'État des Résultats'!Z14</f>
        <v>3.4808200289865288E-4</v>
      </c>
      <c r="AC50" s="397">
        <f>(AC48/100)*$F$72</f>
        <v>24</v>
      </c>
      <c r="AD50" s="426">
        <f>AC50/'État des Résultats'!AC14</f>
        <v>5.3952710449291198E-4</v>
      </c>
      <c r="AF50" s="397">
        <f>(AF48/100)*$F$72</f>
        <v>24</v>
      </c>
      <c r="AG50" s="426">
        <f>AF50/'État des Résultats'!AF14</f>
        <v>5.6958873201597745E-4</v>
      </c>
      <c r="AI50" s="397">
        <f>(AI48/100)*$F$72</f>
        <v>24</v>
      </c>
      <c r="AJ50" s="426">
        <f>AI50/'État des Résultats'!AI14</f>
        <v>6.4743252539149439E-4</v>
      </c>
      <c r="AK50" s="201"/>
      <c r="AL50" s="397">
        <f>(AL48/100)*$F$72</f>
        <v>24</v>
      </c>
      <c r="AM50" s="426">
        <f>AL50/'État des Résultats'!AL14</f>
        <v>5.2212300434797921E-4</v>
      </c>
      <c r="AP50" s="486">
        <f>SUM(+$AL50+$AI50+$AF50+$AC50+$Z50+$W50+$T50+$Q50+$N50+$K50+$H50+$E50)</f>
        <v>286.72800000000001</v>
      </c>
      <c r="AQ50" s="484">
        <f>AP50/'État des Résultats'!AP14</f>
        <v>5.0720500858047102E-4</v>
      </c>
    </row>
    <row r="51" spans="2:53" ht="15" thickTop="1" thickBot="1" x14ac:dyDescent="0.2">
      <c r="B51" s="499"/>
      <c r="C51" s="500" t="s">
        <v>226</v>
      </c>
      <c r="D51" s="401"/>
      <c r="E51" s="408">
        <f>SUM(E48:E50)</f>
        <v>1170.3119999999999</v>
      </c>
      <c r="F51" s="409">
        <f>SUM(F48:F50)</f>
        <v>3.0552340873224618E-2</v>
      </c>
      <c r="G51" s="214"/>
      <c r="H51" s="408">
        <f>SUM(H48:H50)</f>
        <v>1057.056</v>
      </c>
      <c r="I51" s="409">
        <f>SUM(I48:I50)</f>
        <v>3.3947045414694017E-2</v>
      </c>
      <c r="J51" s="214"/>
      <c r="K51" s="408">
        <f>SUM(K48:K50)</f>
        <v>1144</v>
      </c>
      <c r="L51" s="409">
        <f>SUM(L48:L50)</f>
        <v>2.9865435848704415E-2</v>
      </c>
      <c r="M51" s="214"/>
      <c r="N51" s="408">
        <f>SUM(N48:N50)</f>
        <v>1144</v>
      </c>
      <c r="O51" s="409">
        <f>SUM(O48:O50)</f>
        <v>2.8055409433631419E-2</v>
      </c>
      <c r="P51" s="214"/>
      <c r="Q51" s="408">
        <f>SUM(Q48:Q50)</f>
        <v>1144</v>
      </c>
      <c r="R51" s="409">
        <f>SUM(R48:R50)</f>
        <v>2.4887863207253676E-2</v>
      </c>
      <c r="S51" s="214"/>
      <c r="T51" s="408">
        <f>SUM(T48:T50)</f>
        <v>1144</v>
      </c>
      <c r="U51" s="409">
        <f>SUM(U48:U50)</f>
        <v>2.0573966917996376E-2</v>
      </c>
      <c r="V51" s="214"/>
      <c r="W51" s="408">
        <f>SUM(W48:W50)</f>
        <v>1144</v>
      </c>
      <c r="X51" s="409">
        <f>SUM(X48:X50)</f>
        <v>1.4932717924352207E-2</v>
      </c>
      <c r="Y51" s="214"/>
      <c r="Z51" s="408">
        <f>SUM(Z48:Z50)</f>
        <v>1144</v>
      </c>
      <c r="AA51" s="409">
        <f>SUM(AA48:AA50)</f>
        <v>1.6591908804835787E-2</v>
      </c>
      <c r="AB51" s="214"/>
      <c r="AC51" s="408">
        <f>SUM(AC48:AC50)</f>
        <v>1144</v>
      </c>
      <c r="AD51" s="409">
        <f>SUM(AD48:AD50)</f>
        <v>2.5717458647495473E-2</v>
      </c>
      <c r="AE51" s="214"/>
      <c r="AF51" s="408">
        <f>SUM(AF48:AF50)</f>
        <v>1144</v>
      </c>
      <c r="AG51" s="409">
        <f>SUM(AG48:AG50)</f>
        <v>2.7150396226094928E-2</v>
      </c>
      <c r="AH51" s="214"/>
      <c r="AI51" s="408">
        <f>SUM(AI48:AI50)</f>
        <v>1144</v>
      </c>
      <c r="AJ51" s="409">
        <f>SUM(AJ48:AJ50)</f>
        <v>3.0860950376994562E-2</v>
      </c>
      <c r="AK51" s="404"/>
      <c r="AL51" s="408">
        <f>SUM(AL48:AL50)</f>
        <v>1144</v>
      </c>
      <c r="AM51" s="409">
        <f>SUM(AM48:AM50)</f>
        <v>2.4887863207253676E-2</v>
      </c>
      <c r="AN51" s="214"/>
      <c r="AO51" s="214"/>
      <c r="AP51" s="417">
        <f>SUM(+$AL51+$AI51+$AF51+$AC51+$Z51+$W51+$T51+$Q51+$N51+$K51+$H51+$E51)</f>
        <v>13667.368</v>
      </c>
      <c r="AQ51" s="427">
        <f>AP51/'État des Résultats'!AP14</f>
        <v>2.4176772075669119E-2</v>
      </c>
      <c r="AR51" s="252"/>
      <c r="AS51" s="252"/>
      <c r="AT51" s="252"/>
      <c r="AU51" s="252"/>
    </row>
    <row r="52" spans="2:53" ht="15" thickTop="1" thickBot="1" x14ac:dyDescent="0.2">
      <c r="B52" s="509"/>
      <c r="C52" s="522"/>
      <c r="D52" s="522"/>
      <c r="E52" s="523"/>
      <c r="F52" s="524"/>
      <c r="G52" s="522"/>
      <c r="H52" s="523"/>
      <c r="I52" s="524"/>
      <c r="J52" s="522"/>
      <c r="K52" s="523"/>
      <c r="L52" s="524"/>
      <c r="M52" s="522"/>
      <c r="N52" s="523"/>
      <c r="O52" s="524"/>
      <c r="P52" s="522"/>
      <c r="Q52" s="523"/>
      <c r="R52" s="524"/>
      <c r="S52" s="522"/>
      <c r="T52" s="523"/>
      <c r="U52" s="524"/>
      <c r="V52" s="522"/>
      <c r="W52" s="523"/>
      <c r="X52" s="524"/>
      <c r="Y52" s="522"/>
      <c r="Z52" s="523"/>
      <c r="AA52" s="524"/>
      <c r="AB52" s="522"/>
      <c r="AC52" s="523"/>
      <c r="AD52" s="524"/>
      <c r="AE52" s="522"/>
      <c r="AF52" s="523"/>
      <c r="AG52" s="524"/>
      <c r="AH52" s="522"/>
      <c r="AI52" s="523"/>
      <c r="AJ52" s="524"/>
      <c r="AK52" s="522"/>
      <c r="AL52" s="523"/>
      <c r="AM52" s="524"/>
      <c r="AN52" s="522"/>
      <c r="AO52" s="522"/>
      <c r="AP52" s="525"/>
      <c r="AQ52" s="524"/>
      <c r="AR52" s="330"/>
      <c r="AS52" s="252"/>
      <c r="AT52" s="252"/>
      <c r="AU52" s="252"/>
    </row>
    <row r="53" spans="2:53" ht="15" thickTop="1" thickBot="1" x14ac:dyDescent="0.2">
      <c r="B53" s="547"/>
      <c r="C53" s="537" t="str">
        <f>' Total des coûts de MO'!C20</f>
        <v>Salaire "R&amp;D"</v>
      </c>
      <c r="D53" s="191"/>
      <c r="E53" s="552"/>
      <c r="F53" s="539"/>
      <c r="H53" s="552"/>
      <c r="I53" s="539"/>
      <c r="K53" s="552"/>
      <c r="L53" s="539"/>
      <c r="N53" s="552"/>
      <c r="O53" s="539"/>
      <c r="Q53" s="552"/>
      <c r="R53" s="539"/>
      <c r="T53" s="552"/>
      <c r="U53" s="539"/>
      <c r="W53" s="552"/>
      <c r="X53" s="539"/>
      <c r="Z53" s="552"/>
      <c r="AA53" s="539"/>
      <c r="AC53" s="552"/>
      <c r="AD53" s="539"/>
      <c r="AF53" s="552"/>
      <c r="AG53" s="539"/>
      <c r="AI53" s="551"/>
      <c r="AJ53" s="553"/>
      <c r="AK53" s="201"/>
      <c r="AL53" s="552"/>
      <c r="AM53" s="539"/>
      <c r="AP53" s="540"/>
      <c r="AQ53" s="545"/>
      <c r="AR53" s="330"/>
      <c r="AS53" s="252"/>
      <c r="AT53" s="252"/>
      <c r="AU53" s="252"/>
    </row>
    <row r="54" spans="2:53" ht="14" thickTop="1" x14ac:dyDescent="0.15">
      <c r="B54" s="191">
        <f>' Total des coûts de MO'!B20</f>
        <v>6180</v>
      </c>
      <c r="C54" s="394" t="str">
        <f>' Total des coûts de MO'!C11</f>
        <v>Salaires</v>
      </c>
      <c r="D54" s="191"/>
      <c r="E54" s="406">
        <v>500</v>
      </c>
      <c r="F54" s="489">
        <f>E54/'État des Résultats'!E14</f>
        <v>1.3053075108699482E-2</v>
      </c>
      <c r="H54" s="406">
        <v>5000</v>
      </c>
      <c r="I54" s="489">
        <f>H54/'État des Résultats'!H14</f>
        <v>0.16057354300384283</v>
      </c>
      <c r="K54" s="406">
        <v>500</v>
      </c>
      <c r="L54" s="489">
        <f>K54/'État des Résultats'!K14</f>
        <v>1.3053075108699482E-2</v>
      </c>
      <c r="N54" s="406">
        <v>500</v>
      </c>
      <c r="O54" s="489">
        <f>N54/'État des Résultats'!N14</f>
        <v>1.226197964756618E-2</v>
      </c>
      <c r="Q54" s="406">
        <v>500</v>
      </c>
      <c r="R54" s="489">
        <f>Q54/'État des Résultats'!Q14</f>
        <v>1.0877562590582901E-2</v>
      </c>
      <c r="T54" s="406">
        <v>500</v>
      </c>
      <c r="U54" s="489">
        <f>T54/'État des Résultats'!T14</f>
        <v>8.9921184082151981E-3</v>
      </c>
      <c r="W54" s="406">
        <v>500</v>
      </c>
      <c r="X54" s="489">
        <f>W54/'État des Résultats'!W14</f>
        <v>6.5265375543497412E-3</v>
      </c>
      <c r="Z54" s="406">
        <v>500</v>
      </c>
      <c r="AA54" s="489">
        <f>Z54/'État des Résultats'!Z14</f>
        <v>7.2517083937219343E-3</v>
      </c>
      <c r="AC54" s="406">
        <v>500</v>
      </c>
      <c r="AD54" s="489">
        <f>AC54/'État des Résultats'!AC14</f>
        <v>1.1240148010268999E-2</v>
      </c>
      <c r="AF54" s="406">
        <v>500</v>
      </c>
      <c r="AG54" s="489">
        <f>AF54/'État des Résultats'!AF14</f>
        <v>1.186643191699953E-2</v>
      </c>
      <c r="AI54" s="406">
        <v>500</v>
      </c>
      <c r="AJ54" s="489">
        <f>AI54/'État des Résultats'!AI14</f>
        <v>1.3488177612322799E-2</v>
      </c>
      <c r="AK54" s="201"/>
      <c r="AL54" s="406">
        <v>500</v>
      </c>
      <c r="AM54" s="489">
        <f>AL54/'État des Résultats'!AL14</f>
        <v>1.0877562590582901E-2</v>
      </c>
      <c r="AP54" s="485">
        <f>SUM(+$AL54+$AI54+$AF54+$AC54+$Z54+$W54+$T54+$Q54+$N54+$K54+$H54+$E54)</f>
        <v>10500</v>
      </c>
      <c r="AQ54" s="484">
        <f>AP54/'État des Résultats'!AP14</f>
        <v>1.8573883925165822E-2</v>
      </c>
      <c r="AR54" s="330"/>
      <c r="AS54" s="252"/>
      <c r="AT54" s="252"/>
      <c r="AU54" s="252"/>
    </row>
    <row r="55" spans="2:53" x14ac:dyDescent="0.15">
      <c r="B55" s="191">
        <f>+B49</f>
        <v>6205</v>
      </c>
      <c r="C55" s="394" t="str">
        <f>' Total des coûts de MO'!C27</f>
        <v>Bénéfices gouvernementaux</v>
      </c>
      <c r="D55" s="191"/>
      <c r="E55" s="397">
        <f>+E54*$H$76</f>
        <v>60</v>
      </c>
      <c r="F55" s="425">
        <f>E55/'État des Résultats'!E14</f>
        <v>1.5663690130439379E-3</v>
      </c>
      <c r="H55" s="397">
        <f>+H54*$H$76</f>
        <v>600</v>
      </c>
      <c r="I55" s="425">
        <f>H55/'État des Résultats'!H14</f>
        <v>1.9268825160461141E-2</v>
      </c>
      <c r="K55" s="397">
        <f>+K54*$H$76</f>
        <v>60</v>
      </c>
      <c r="L55" s="425">
        <f>K55/'État des Résultats'!K14</f>
        <v>1.5663690130439379E-3</v>
      </c>
      <c r="N55" s="397">
        <f>+N54*$H$76</f>
        <v>60</v>
      </c>
      <c r="O55" s="425">
        <f>N55/'État des Résultats'!N14</f>
        <v>1.4714375577079416E-3</v>
      </c>
      <c r="Q55" s="397">
        <f>+Q54*$H$76</f>
        <v>60</v>
      </c>
      <c r="R55" s="425">
        <f>Q55/'État des Résultats'!Q14</f>
        <v>1.305307510869948E-3</v>
      </c>
      <c r="T55" s="397">
        <f>+T54*$H$76</f>
        <v>60</v>
      </c>
      <c r="U55" s="425">
        <f>T55/'État des Résultats'!T14</f>
        <v>1.0790542089858237E-3</v>
      </c>
      <c r="W55" s="397">
        <f>+W54*$H$76</f>
        <v>60</v>
      </c>
      <c r="X55" s="425">
        <f>W55/'État des Résultats'!W14</f>
        <v>7.8318450652196893E-4</v>
      </c>
      <c r="Z55" s="397">
        <f>+Z54*$H$76</f>
        <v>60</v>
      </c>
      <c r="AA55" s="425">
        <f>Z55/'État des Résultats'!Z14</f>
        <v>8.7020500724663209E-4</v>
      </c>
      <c r="AC55" s="397">
        <f>+AC54*$H$76</f>
        <v>60</v>
      </c>
      <c r="AD55" s="425">
        <f>AC55/'État des Résultats'!AC14</f>
        <v>1.3488177612322799E-3</v>
      </c>
      <c r="AF55" s="397">
        <f>+AF54*$H$76</f>
        <v>60</v>
      </c>
      <c r="AG55" s="425">
        <f>AF55/'État des Résultats'!AF14</f>
        <v>1.4239718300399435E-3</v>
      </c>
      <c r="AI55" s="397">
        <f>+AI54*$H$76</f>
        <v>60</v>
      </c>
      <c r="AJ55" s="425">
        <f>AI55/'État des Résultats'!AI14</f>
        <v>1.6185813134787358E-3</v>
      </c>
      <c r="AK55" s="201"/>
      <c r="AL55" s="397">
        <f>+AL54*$H$76</f>
        <v>60</v>
      </c>
      <c r="AM55" s="425">
        <f>AL55/'État des Résultats'!AL14</f>
        <v>1.305307510869948E-3</v>
      </c>
      <c r="AP55" s="485">
        <f>SUM(+$AL55+$AI55+$AF55+$AC55+$Z55+$W55+$T55+$Q55+$N55+$K55+$H55+$E55)</f>
        <v>1260</v>
      </c>
      <c r="AQ55" s="484">
        <f>AP55/'État des Résultats'!AP14</f>
        <v>2.2288660710198986E-3</v>
      </c>
      <c r="AR55" s="330"/>
      <c r="AS55" s="252"/>
      <c r="AT55" s="252"/>
      <c r="AU55" s="252"/>
    </row>
    <row r="56" spans="2:53" ht="14" thickBot="1" x14ac:dyDescent="0.2">
      <c r="B56" s="191">
        <f>B50</f>
        <v>6245</v>
      </c>
      <c r="C56" s="394" t="str">
        <f>' Total des coûts de MO'!C31</f>
        <v>CSST et CNT</v>
      </c>
      <c r="D56" s="191"/>
      <c r="E56" s="397">
        <f>(E54/100)*$F$72</f>
        <v>12</v>
      </c>
      <c r="F56" s="426">
        <f>E56/'État des Résultats'!E14</f>
        <v>3.1327380260878757E-4</v>
      </c>
      <c r="H56" s="397">
        <f>(H54/100)*$F$72</f>
        <v>120</v>
      </c>
      <c r="I56" s="426">
        <f>H56/'État des Résultats'!H14</f>
        <v>3.8537650320922281E-3</v>
      </c>
      <c r="K56" s="397">
        <f>(K54/100)*$F$72</f>
        <v>12</v>
      </c>
      <c r="L56" s="426">
        <f>K56/'État des Résultats'!K14</f>
        <v>3.1327380260878757E-4</v>
      </c>
      <c r="N56" s="397">
        <f>(N54/100)*$F$72</f>
        <v>12</v>
      </c>
      <c r="O56" s="426">
        <f>N56/'État des Résultats'!N14</f>
        <v>2.9428751154158829E-4</v>
      </c>
      <c r="Q56" s="397">
        <f>(Q54/100)*$F$72</f>
        <v>12</v>
      </c>
      <c r="R56" s="426">
        <f>Q56/'État des Résultats'!Q14</f>
        <v>2.6106150217398961E-4</v>
      </c>
      <c r="T56" s="397">
        <f>(T54/100)*$F$72</f>
        <v>12</v>
      </c>
      <c r="U56" s="426">
        <f>T56/'État des Résultats'!T14</f>
        <v>2.1581084179716475E-4</v>
      </c>
      <c r="W56" s="397">
        <f>(W54/100)*$F$72</f>
        <v>12</v>
      </c>
      <c r="X56" s="426">
        <f>W56/'État des Résultats'!W14</f>
        <v>1.5663690130439379E-4</v>
      </c>
      <c r="Z56" s="397">
        <f>(Z54/100)*$F$72</f>
        <v>12</v>
      </c>
      <c r="AA56" s="426">
        <f>Z56/'État des Résultats'!Z14</f>
        <v>1.7404100144932644E-4</v>
      </c>
      <c r="AC56" s="397">
        <f>(AC54/100)*$F$72</f>
        <v>12</v>
      </c>
      <c r="AD56" s="426">
        <f>AC56/'État des Résultats'!AC14</f>
        <v>2.6976355224645599E-4</v>
      </c>
      <c r="AF56" s="397">
        <f>(AF54/100)*$F$72</f>
        <v>12</v>
      </c>
      <c r="AG56" s="426">
        <f>AF56/'État des Résultats'!AF14</f>
        <v>2.8479436600798873E-4</v>
      </c>
      <c r="AI56" s="397">
        <f>(AI54/100)*$F$72</f>
        <v>12</v>
      </c>
      <c r="AJ56" s="426">
        <f>AI56/'État des Résultats'!AI14</f>
        <v>3.237162626957472E-4</v>
      </c>
      <c r="AK56" s="201"/>
      <c r="AL56" s="397">
        <f>(AL54/100)*$F$72</f>
        <v>12</v>
      </c>
      <c r="AM56" s="426">
        <f>AL56/'État des Résultats'!AL14</f>
        <v>2.6106150217398961E-4</v>
      </c>
      <c r="AP56" s="486">
        <f>SUM(+$AL56+$AI56+$AF56+$AC56+$Z56+$W56+$T56+$Q56+$N56+$K56+$H56+$E56)</f>
        <v>252</v>
      </c>
      <c r="AQ56" s="484">
        <f>AP56/'État des Résultats'!AP14</f>
        <v>4.457732142039797E-4</v>
      </c>
      <c r="AR56" s="330"/>
      <c r="AS56" s="252"/>
      <c r="AT56" s="252"/>
      <c r="AU56" s="252"/>
    </row>
    <row r="57" spans="2:53" ht="15" thickTop="1" thickBot="1" x14ac:dyDescent="0.2">
      <c r="B57" s="499"/>
      <c r="C57" s="500" t="s">
        <v>227</v>
      </c>
      <c r="D57" s="401"/>
      <c r="E57" s="408">
        <f>SUM(E54:E56)</f>
        <v>572</v>
      </c>
      <c r="F57" s="409">
        <f>SUM(F54:F56)</f>
        <v>1.4932717924352207E-2</v>
      </c>
      <c r="G57" s="214"/>
      <c r="H57" s="408">
        <f>SUM(H54:H56)</f>
        <v>5720</v>
      </c>
      <c r="I57" s="409">
        <f>SUM(I54:I56)</f>
        <v>0.18369613319639619</v>
      </c>
      <c r="J57" s="214"/>
      <c r="K57" s="408">
        <f>SUM(K54:K56)</f>
        <v>572</v>
      </c>
      <c r="L57" s="409">
        <f>SUM(L54:L56)</f>
        <v>1.4932717924352207E-2</v>
      </c>
      <c r="M57" s="214"/>
      <c r="N57" s="408">
        <f>SUM(N54:N56)</f>
        <v>572</v>
      </c>
      <c r="O57" s="409">
        <f>SUM(O54:O56)</f>
        <v>1.4027704716815709E-2</v>
      </c>
      <c r="P57" s="214"/>
      <c r="Q57" s="408">
        <f>SUM(Q54:Q56)</f>
        <v>572</v>
      </c>
      <c r="R57" s="409">
        <f>SUM(R54:R56)</f>
        <v>1.2443931603626838E-2</v>
      </c>
      <c r="S57" s="214"/>
      <c r="T57" s="408">
        <f>SUM(T54:T56)</f>
        <v>572</v>
      </c>
      <c r="U57" s="409">
        <f>SUM(U54:U56)</f>
        <v>1.0286983458998188E-2</v>
      </c>
      <c r="V57" s="214"/>
      <c r="W57" s="408">
        <f>SUM(W54:W56)</f>
        <v>572</v>
      </c>
      <c r="X57" s="409">
        <f>SUM(X54:X56)</f>
        <v>7.4663589621761037E-3</v>
      </c>
      <c r="Y57" s="214"/>
      <c r="Z57" s="408">
        <f>SUM(Z54:Z56)</f>
        <v>572</v>
      </c>
      <c r="AA57" s="409">
        <f>SUM(AA54:AA56)</f>
        <v>8.2959544024178936E-3</v>
      </c>
      <c r="AB57" s="214"/>
      <c r="AC57" s="408">
        <f>SUM(AC54:AC56)</f>
        <v>572</v>
      </c>
      <c r="AD57" s="409">
        <f>SUM(AD54:AD56)</f>
        <v>1.2858729323747736E-2</v>
      </c>
      <c r="AE57" s="214"/>
      <c r="AF57" s="408">
        <f>SUM(AF54:AF56)</f>
        <v>572</v>
      </c>
      <c r="AG57" s="409">
        <f>SUM(AG54:AG56)</f>
        <v>1.3575198113047464E-2</v>
      </c>
      <c r="AH57" s="214"/>
      <c r="AI57" s="408">
        <f>SUM(AI54:AI56)</f>
        <v>572</v>
      </c>
      <c r="AJ57" s="409">
        <f>SUM(AJ54:AJ56)</f>
        <v>1.5430475188497281E-2</v>
      </c>
      <c r="AK57" s="404"/>
      <c r="AL57" s="408">
        <f>SUM(AL54:AL56)</f>
        <v>572</v>
      </c>
      <c r="AM57" s="409">
        <f>SUM(AM54:AM56)</f>
        <v>1.2443931603626838E-2</v>
      </c>
      <c r="AN57" s="214"/>
      <c r="AO57" s="214"/>
      <c r="AP57" s="417">
        <f>SUM(+$AL57+$AI57+$AF57+$AC57+$Z57+$W57+$T57+$Q57+$N57+$K57+$H57+$E57)</f>
        <v>12012</v>
      </c>
      <c r="AQ57" s="427">
        <f>AP57/'État des Résultats'!AP14</f>
        <v>2.1248523210389701E-2</v>
      </c>
      <c r="AR57" s="330"/>
      <c r="AS57" s="252"/>
      <c r="AT57" s="252"/>
      <c r="AU57" s="252"/>
    </row>
    <row r="58" spans="2:53" ht="15" thickTop="1" thickBot="1" x14ac:dyDescent="0.2">
      <c r="B58" s="504"/>
      <c r="C58" s="504"/>
      <c r="D58" s="504"/>
      <c r="E58" s="518"/>
      <c r="F58" s="521"/>
      <c r="G58" s="504"/>
      <c r="H58" s="518"/>
      <c r="I58" s="521"/>
      <c r="J58" s="504"/>
      <c r="K58" s="518"/>
      <c r="L58" s="521"/>
      <c r="M58" s="504"/>
      <c r="N58" s="518"/>
      <c r="O58" s="521"/>
      <c r="P58" s="504"/>
      <c r="Q58" s="518"/>
      <c r="R58" s="521"/>
      <c r="S58" s="504"/>
      <c r="T58" s="518"/>
      <c r="U58" s="521"/>
      <c r="V58" s="504"/>
      <c r="W58" s="518"/>
      <c r="X58" s="521"/>
      <c r="Y58" s="504"/>
      <c r="Z58" s="518"/>
      <c r="AA58" s="521"/>
      <c r="AB58" s="504"/>
      <c r="AC58" s="518"/>
      <c r="AD58" s="521"/>
      <c r="AE58" s="504"/>
      <c r="AF58" s="518"/>
      <c r="AG58" s="521"/>
      <c r="AH58" s="504"/>
      <c r="AI58" s="518"/>
      <c r="AJ58" s="521"/>
      <c r="AK58" s="504"/>
      <c r="AL58" s="518"/>
      <c r="AM58" s="521"/>
      <c r="AN58" s="504"/>
      <c r="AO58" s="504"/>
      <c r="AP58" s="514"/>
      <c r="AQ58" s="526"/>
    </row>
    <row r="59" spans="2:53" ht="15" thickTop="1" thickBot="1" x14ac:dyDescent="0.2">
      <c r="B59" s="547"/>
      <c r="C59" s="537" t="str">
        <f>' Total des coûts de MO'!C21</f>
        <v>Salaire "Autres"</v>
      </c>
      <c r="D59" s="550"/>
      <c r="E59" s="552"/>
      <c r="F59" s="539"/>
      <c r="H59" s="552"/>
      <c r="I59" s="539"/>
      <c r="K59" s="552"/>
      <c r="L59" s="539"/>
      <c r="N59" s="552"/>
      <c r="O59" s="539"/>
      <c r="Q59" s="552"/>
      <c r="R59" s="539"/>
      <c r="T59" s="552"/>
      <c r="U59" s="539"/>
      <c r="W59" s="552"/>
      <c r="X59" s="539"/>
      <c r="Z59" s="552"/>
      <c r="AA59" s="539"/>
      <c r="AC59" s="552"/>
      <c r="AD59" s="539"/>
      <c r="AF59" s="552"/>
      <c r="AG59" s="539"/>
      <c r="AI59" s="552"/>
      <c r="AJ59" s="539"/>
      <c r="AK59" s="201"/>
      <c r="AL59" s="552"/>
      <c r="AM59" s="539"/>
      <c r="AP59" s="540"/>
      <c r="AQ59" s="545"/>
      <c r="AR59" s="210"/>
      <c r="AS59" s="210"/>
      <c r="AT59" s="210"/>
      <c r="AU59" s="210"/>
      <c r="AV59" s="210"/>
      <c r="AW59" s="210"/>
      <c r="AX59" s="210"/>
      <c r="AY59" s="210"/>
      <c r="AZ59" s="210"/>
      <c r="BA59" s="210"/>
    </row>
    <row r="60" spans="2:53" ht="14" thickTop="1" x14ac:dyDescent="0.15">
      <c r="B60" s="191">
        <f>' Total des coûts de MO'!B21</f>
        <v>6190</v>
      </c>
      <c r="C60" s="394" t="str">
        <f>' Total des coûts de MO'!C11</f>
        <v>Salaires</v>
      </c>
      <c r="D60" s="191"/>
      <c r="E60" s="406">
        <v>500</v>
      </c>
      <c r="F60" s="489">
        <f>E60/'État des Résultats'!E14</f>
        <v>1.3053075108699482E-2</v>
      </c>
      <c r="H60" s="406">
        <v>500</v>
      </c>
      <c r="I60" s="489">
        <f>H60/'État des Résultats'!H14</f>
        <v>1.6057354300384283E-2</v>
      </c>
      <c r="K60" s="406">
        <v>500</v>
      </c>
      <c r="L60" s="489">
        <f>K60/'État des Résultats'!K14</f>
        <v>1.3053075108699482E-2</v>
      </c>
      <c r="N60" s="406">
        <v>500</v>
      </c>
      <c r="O60" s="489">
        <f>N60/'État des Résultats'!N14</f>
        <v>1.226197964756618E-2</v>
      </c>
      <c r="Q60" s="406">
        <v>500</v>
      </c>
      <c r="R60" s="489">
        <f>Q60/'État des Résultats'!Q14</f>
        <v>1.0877562590582901E-2</v>
      </c>
      <c r="T60" s="406">
        <v>500</v>
      </c>
      <c r="U60" s="489">
        <f>T60/'État des Résultats'!T14</f>
        <v>8.9921184082151981E-3</v>
      </c>
      <c r="W60" s="406">
        <v>500</v>
      </c>
      <c r="X60" s="489">
        <f>W60/'État des Résultats'!W14</f>
        <v>6.5265375543497412E-3</v>
      </c>
      <c r="Z60" s="406">
        <v>500</v>
      </c>
      <c r="AA60" s="489">
        <f>Z60/'État des Résultats'!Z14</f>
        <v>7.2517083937219343E-3</v>
      </c>
      <c r="AC60" s="406">
        <v>500</v>
      </c>
      <c r="AD60" s="489">
        <f>AC60/'État des Résultats'!AC14</f>
        <v>1.1240148010268999E-2</v>
      </c>
      <c r="AF60" s="406">
        <v>500</v>
      </c>
      <c r="AG60" s="489">
        <f>AF60/'État des Résultats'!AF14</f>
        <v>1.186643191699953E-2</v>
      </c>
      <c r="AI60" s="406">
        <v>500</v>
      </c>
      <c r="AJ60" s="489">
        <f>AI60/'État des Résultats'!AI14</f>
        <v>1.3488177612322799E-2</v>
      </c>
      <c r="AK60" s="201"/>
      <c r="AL60" s="406">
        <v>500</v>
      </c>
      <c r="AM60" s="489">
        <f>AL60/'État des Résultats'!AL14</f>
        <v>1.0877562590582901E-2</v>
      </c>
      <c r="AP60" s="485">
        <f>SUM(+$AL60+$AI60+$AF60+$AC60+$Z60+$W60+$T60+$Q60+$N60+$K60+$H60+$E60)</f>
        <v>6000</v>
      </c>
      <c r="AQ60" s="484">
        <f>AP60/'État des Résultats'!AP14</f>
        <v>1.0613647957237612E-2</v>
      </c>
      <c r="AR60" s="210"/>
      <c r="AS60" s="210"/>
      <c r="AT60" s="210"/>
      <c r="AU60" s="210"/>
      <c r="AV60" s="210"/>
      <c r="AW60" s="210"/>
      <c r="AX60" s="210"/>
      <c r="AY60" s="210"/>
      <c r="AZ60" s="210"/>
      <c r="BA60" s="210"/>
    </row>
    <row r="61" spans="2:53" x14ac:dyDescent="0.15">
      <c r="B61" s="191">
        <f>B55</f>
        <v>6205</v>
      </c>
      <c r="C61" s="394" t="str">
        <f>' Total des coûts de MO'!C27</f>
        <v>Bénéfices gouvernementaux</v>
      </c>
      <c r="D61" s="191"/>
      <c r="E61" s="397">
        <f>+E60*$H$76</f>
        <v>60</v>
      </c>
      <c r="F61" s="425">
        <f>E61/'État des Résultats'!E14</f>
        <v>1.5663690130439379E-3</v>
      </c>
      <c r="H61" s="397">
        <f>+H60*$H$76</f>
        <v>60</v>
      </c>
      <c r="I61" s="425">
        <f>H61/'État des Résultats'!H14</f>
        <v>1.926882516046114E-3</v>
      </c>
      <c r="K61" s="397">
        <f>+K60*$H$76</f>
        <v>60</v>
      </c>
      <c r="L61" s="425">
        <f>K61/'État des Résultats'!K14</f>
        <v>1.5663690130439379E-3</v>
      </c>
      <c r="N61" s="397">
        <f>+N60*$H$76</f>
        <v>60</v>
      </c>
      <c r="O61" s="425">
        <f>N61/'État des Résultats'!N14</f>
        <v>1.4714375577079416E-3</v>
      </c>
      <c r="Q61" s="397">
        <f>+Q60*$H$76</f>
        <v>60</v>
      </c>
      <c r="R61" s="425">
        <f>Q61/'État des Résultats'!Q14</f>
        <v>1.305307510869948E-3</v>
      </c>
      <c r="T61" s="397">
        <f>+T60*$H$76</f>
        <v>60</v>
      </c>
      <c r="U61" s="425">
        <f>T61/'État des Résultats'!T14</f>
        <v>1.0790542089858237E-3</v>
      </c>
      <c r="W61" s="397">
        <f>+W60*$H$76</f>
        <v>60</v>
      </c>
      <c r="X61" s="425">
        <f>W61/'État des Résultats'!W14</f>
        <v>7.8318450652196893E-4</v>
      </c>
      <c r="Z61" s="397">
        <f>+Z60*$H$76</f>
        <v>60</v>
      </c>
      <c r="AA61" s="425">
        <f>Z61/'État des Résultats'!Z14</f>
        <v>8.7020500724663209E-4</v>
      </c>
      <c r="AC61" s="397">
        <f>+AC60*$H$76</f>
        <v>60</v>
      </c>
      <c r="AD61" s="425">
        <f>AC61/'État des Résultats'!AC14</f>
        <v>1.3488177612322799E-3</v>
      </c>
      <c r="AF61" s="397">
        <f>+AF60*$H$76</f>
        <v>60</v>
      </c>
      <c r="AG61" s="425">
        <f>AF61/'État des Résultats'!AF14</f>
        <v>1.4239718300399435E-3</v>
      </c>
      <c r="AI61" s="397">
        <f>+AI60*$H$76</f>
        <v>60</v>
      </c>
      <c r="AJ61" s="425">
        <f>AI61/'État des Résultats'!AI14</f>
        <v>1.6185813134787358E-3</v>
      </c>
      <c r="AK61" s="201"/>
      <c r="AL61" s="397">
        <f>+AL60*$H$76</f>
        <v>60</v>
      </c>
      <c r="AM61" s="425">
        <f>AL61/'État des Résultats'!AL14</f>
        <v>1.305307510869948E-3</v>
      </c>
      <c r="AP61" s="485">
        <f>SUM(+$AL61+$AI61+$AF61+$AC61+$Z61+$W61+$T61+$Q61+$N61+$K61+$H61+$E61)</f>
        <v>720</v>
      </c>
      <c r="AQ61" s="484">
        <f>AP61/'État des Résultats'!AP14</f>
        <v>1.2736377548685134E-3</v>
      </c>
      <c r="AR61" s="210"/>
      <c r="AS61" s="210"/>
      <c r="AT61" s="210"/>
      <c r="AU61" s="210"/>
      <c r="AV61" s="210"/>
      <c r="AW61" s="210"/>
      <c r="AX61" s="210"/>
      <c r="AY61" s="210"/>
      <c r="AZ61" s="210"/>
      <c r="BA61" s="210"/>
    </row>
    <row r="62" spans="2:53" ht="14" thickBot="1" x14ac:dyDescent="0.2">
      <c r="B62" s="191">
        <f>B56</f>
        <v>6245</v>
      </c>
      <c r="C62" s="394" t="str">
        <f>' Total des coûts de MO'!C31</f>
        <v>CSST et CNT</v>
      </c>
      <c r="D62" s="191"/>
      <c r="E62" s="397">
        <f>(E60/100)*$F$72</f>
        <v>12</v>
      </c>
      <c r="F62" s="426">
        <f>E62/'État des Résultats'!E14</f>
        <v>3.1327380260878757E-4</v>
      </c>
      <c r="H62" s="397">
        <f>(H60/100)*$F$72</f>
        <v>12</v>
      </c>
      <c r="I62" s="426">
        <f>H62/'État des Résultats'!H14</f>
        <v>3.8537650320922282E-4</v>
      </c>
      <c r="K62" s="397">
        <f>(K60/100)*$F$72</f>
        <v>12</v>
      </c>
      <c r="L62" s="426">
        <f>K62/'État des Résultats'!K14</f>
        <v>3.1327380260878757E-4</v>
      </c>
      <c r="N62" s="397">
        <f>(N60/100)*$F$72</f>
        <v>12</v>
      </c>
      <c r="O62" s="426">
        <f>N62/'État des Résultats'!N14</f>
        <v>2.9428751154158829E-4</v>
      </c>
      <c r="Q62" s="397">
        <f>(Q60/100)*$F$72</f>
        <v>12</v>
      </c>
      <c r="R62" s="426">
        <f>Q62/'État des Résultats'!Q14</f>
        <v>2.6106150217398961E-4</v>
      </c>
      <c r="T62" s="397">
        <f>(T60/100)*$F$72</f>
        <v>12</v>
      </c>
      <c r="U62" s="426">
        <f>T62/'État des Résultats'!T14</f>
        <v>2.1581084179716475E-4</v>
      </c>
      <c r="W62" s="397">
        <f>(W60/100)*$F$72</f>
        <v>12</v>
      </c>
      <c r="X62" s="426">
        <f>W62/'État des Résultats'!W14</f>
        <v>1.5663690130439379E-4</v>
      </c>
      <c r="Z62" s="397">
        <f>(Z60/100)*$F$72</f>
        <v>12</v>
      </c>
      <c r="AA62" s="426">
        <f>Z62/'État des Résultats'!Z14</f>
        <v>1.7404100144932644E-4</v>
      </c>
      <c r="AC62" s="397">
        <f>(AC60/100)*$F$72</f>
        <v>12</v>
      </c>
      <c r="AD62" s="426">
        <f>AC62/'État des Résultats'!AC14</f>
        <v>2.6976355224645599E-4</v>
      </c>
      <c r="AF62" s="397">
        <f>(AF60/100)*$F$72</f>
        <v>12</v>
      </c>
      <c r="AG62" s="426">
        <f>AF62/'État des Résultats'!AF14</f>
        <v>2.8479436600798873E-4</v>
      </c>
      <c r="AI62" s="397">
        <f>(AI60/100)*$F$72</f>
        <v>12</v>
      </c>
      <c r="AJ62" s="426">
        <f>AI62/'État des Résultats'!AI14</f>
        <v>3.237162626957472E-4</v>
      </c>
      <c r="AK62" s="201"/>
      <c r="AL62" s="397">
        <f>(AL60/100)*$F$72</f>
        <v>12</v>
      </c>
      <c r="AM62" s="426">
        <f>AL62/'État des Résultats'!AL14</f>
        <v>2.6106150217398961E-4</v>
      </c>
      <c r="AP62" s="486">
        <f>SUM(+$AL62+$AI62+$AF62+$AC62+$Z62+$W62+$T62+$Q62+$N62+$K62+$H62+$E62)</f>
        <v>144</v>
      </c>
      <c r="AQ62" s="484">
        <f>AP62/'État des Résultats'!AP14</f>
        <v>2.547275509737027E-4</v>
      </c>
      <c r="AR62" s="210"/>
      <c r="AS62" s="210"/>
      <c r="AT62" s="210"/>
      <c r="AU62" s="210"/>
      <c r="AV62" s="210"/>
      <c r="AW62" s="210"/>
      <c r="AX62" s="210"/>
      <c r="AY62" s="210"/>
      <c r="AZ62" s="210"/>
      <c r="BA62" s="210"/>
    </row>
    <row r="63" spans="2:53" ht="14" thickBot="1" x14ac:dyDescent="0.2">
      <c r="B63" s="399"/>
      <c r="C63" s="400" t="s">
        <v>228</v>
      </c>
      <c r="D63" s="401"/>
      <c r="E63" s="408">
        <f>SUM(E60:E62)</f>
        <v>572</v>
      </c>
      <c r="F63" s="409">
        <f>SUM(F60:F62)</f>
        <v>1.4932717924352207E-2</v>
      </c>
      <c r="G63" s="214"/>
      <c r="H63" s="408">
        <f>SUM(H60:H62)</f>
        <v>572</v>
      </c>
      <c r="I63" s="409">
        <f>SUM(I60:I62)</f>
        <v>1.836961331963962E-2</v>
      </c>
      <c r="J63" s="214"/>
      <c r="K63" s="408">
        <f>SUM(K60:K62)</f>
        <v>572</v>
      </c>
      <c r="L63" s="409">
        <f>SUM(L60:L62)</f>
        <v>1.4932717924352207E-2</v>
      </c>
      <c r="M63" s="214"/>
      <c r="N63" s="408">
        <f>SUM(N60:N62)</f>
        <v>572</v>
      </c>
      <c r="O63" s="409">
        <f>SUM(O60:O62)</f>
        <v>1.4027704716815709E-2</v>
      </c>
      <c r="P63" s="214"/>
      <c r="Q63" s="408">
        <f>SUM(Q60:Q62)</f>
        <v>572</v>
      </c>
      <c r="R63" s="409">
        <f>SUM(R60:R62)</f>
        <v>1.2443931603626838E-2</v>
      </c>
      <c r="S63" s="214"/>
      <c r="T63" s="408">
        <f>SUM(T60:T62)</f>
        <v>572</v>
      </c>
      <c r="U63" s="409">
        <f>SUM(U60:U62)</f>
        <v>1.0286983458998188E-2</v>
      </c>
      <c r="V63" s="214"/>
      <c r="W63" s="408">
        <f>SUM(W60:W62)</f>
        <v>572</v>
      </c>
      <c r="X63" s="409">
        <f>SUM(X60:X62)</f>
        <v>7.4663589621761037E-3</v>
      </c>
      <c r="Y63" s="214"/>
      <c r="Z63" s="408">
        <f>SUM(Z60:Z62)</f>
        <v>572</v>
      </c>
      <c r="AA63" s="409">
        <f>SUM(AA60:AA62)</f>
        <v>8.2959544024178936E-3</v>
      </c>
      <c r="AB63" s="214"/>
      <c r="AC63" s="408">
        <f>SUM(AC60:AC62)</f>
        <v>572</v>
      </c>
      <c r="AD63" s="409">
        <f>SUM(AD60:AD62)</f>
        <v>1.2858729323747736E-2</v>
      </c>
      <c r="AE63" s="214"/>
      <c r="AF63" s="408">
        <f>SUM(AF60:AF62)</f>
        <v>572</v>
      </c>
      <c r="AG63" s="409">
        <f>SUM(AG60:AG62)</f>
        <v>1.3575198113047464E-2</v>
      </c>
      <c r="AH63" s="214"/>
      <c r="AI63" s="408">
        <f>SUM(AI60:AI62)</f>
        <v>572</v>
      </c>
      <c r="AJ63" s="409">
        <f>SUM(AJ60:AJ62)</f>
        <v>1.5430475188497281E-2</v>
      </c>
      <c r="AK63" s="404"/>
      <c r="AL63" s="408">
        <f>SUM(AL60:AL62)</f>
        <v>572</v>
      </c>
      <c r="AM63" s="409">
        <f>SUM(AM60:AM62)</f>
        <v>1.2443931603626838E-2</v>
      </c>
      <c r="AN63" s="214"/>
      <c r="AO63" s="214"/>
      <c r="AP63" s="417">
        <f>SUM(+$AL63+$AI63+$AF63+$AC63+$Z63+$W63+$T63+$Q63+$N63+$K63+$H63+$E63)</f>
        <v>6864</v>
      </c>
      <c r="AQ63" s="427">
        <f>AP63/'État des Résultats'!AP14</f>
        <v>1.2142013263079829E-2</v>
      </c>
      <c r="AR63" s="210"/>
      <c r="AS63" s="210"/>
      <c r="AT63" s="210"/>
      <c r="AU63" s="210"/>
      <c r="AV63" s="210"/>
      <c r="AW63" s="210"/>
      <c r="AX63" s="210"/>
      <c r="AY63" s="210"/>
      <c r="AZ63" s="210"/>
      <c r="BA63" s="210"/>
    </row>
    <row r="64" spans="2:53" ht="14" thickBot="1" x14ac:dyDescent="0.2">
      <c r="B64" s="522"/>
      <c r="C64" s="522"/>
      <c r="D64" s="522"/>
      <c r="E64" s="523"/>
      <c r="F64" s="524"/>
      <c r="G64" s="522"/>
      <c r="H64" s="523"/>
      <c r="I64" s="524"/>
      <c r="J64" s="522"/>
      <c r="K64" s="523"/>
      <c r="L64" s="524"/>
      <c r="M64" s="522"/>
      <c r="N64" s="523"/>
      <c r="O64" s="524"/>
      <c r="P64" s="522"/>
      <c r="Q64" s="523"/>
      <c r="R64" s="524"/>
      <c r="S64" s="522"/>
      <c r="T64" s="523"/>
      <c r="U64" s="524"/>
      <c r="V64" s="522"/>
      <c r="W64" s="523"/>
      <c r="X64" s="524"/>
      <c r="Y64" s="522"/>
      <c r="Z64" s="523"/>
      <c r="AA64" s="524"/>
      <c r="AB64" s="522"/>
      <c r="AC64" s="523"/>
      <c r="AD64" s="524"/>
      <c r="AE64" s="522"/>
      <c r="AF64" s="523"/>
      <c r="AG64" s="524"/>
      <c r="AH64" s="522"/>
      <c r="AI64" s="523"/>
      <c r="AJ64" s="524"/>
      <c r="AK64" s="522"/>
      <c r="AL64" s="523"/>
      <c r="AM64" s="524"/>
      <c r="AN64" s="522"/>
      <c r="AO64" s="522"/>
      <c r="AP64" s="525"/>
      <c r="AQ64" s="527"/>
      <c r="AR64" s="210"/>
      <c r="AS64" s="210"/>
      <c r="AT64" s="210"/>
      <c r="AU64" s="210"/>
      <c r="AV64" s="210"/>
      <c r="AW64" s="210"/>
      <c r="AX64" s="210"/>
    </row>
    <row r="65" spans="2:47" ht="15" thickTop="1" thickBot="1" x14ac:dyDescent="0.2">
      <c r="B65" s="536"/>
      <c r="C65" s="537" t="str">
        <f>' Total des coûts de MO'!C23</f>
        <v>Total des salaires</v>
      </c>
      <c r="D65" s="191"/>
      <c r="E65" s="538"/>
      <c r="F65" s="539"/>
      <c r="H65" s="538"/>
      <c r="I65" s="539"/>
      <c r="K65" s="538"/>
      <c r="L65" s="539"/>
      <c r="N65" s="538"/>
      <c r="O65" s="539"/>
      <c r="Q65" s="538"/>
      <c r="R65" s="539"/>
      <c r="T65" s="538"/>
      <c r="U65" s="539"/>
      <c r="W65" s="538"/>
      <c r="X65" s="539"/>
      <c r="Z65" s="538"/>
      <c r="AA65" s="539"/>
      <c r="AC65" s="538"/>
      <c r="AD65" s="539"/>
      <c r="AF65" s="538"/>
      <c r="AG65" s="539"/>
      <c r="AI65" s="538"/>
      <c r="AJ65" s="539"/>
      <c r="AK65" s="201"/>
      <c r="AL65" s="538"/>
      <c r="AM65" s="539"/>
      <c r="AP65" s="540"/>
      <c r="AQ65" s="539"/>
    </row>
    <row r="66" spans="2:47" ht="14" thickTop="1" x14ac:dyDescent="0.15">
      <c r="B66" s="194">
        <f>' Total des coûts de MO'!B11</f>
        <v>6100</v>
      </c>
      <c r="C66" s="533" t="str">
        <f>' Total des coûts de MO'!C11</f>
        <v>Salaires</v>
      </c>
      <c r="D66" s="191"/>
      <c r="E66" s="534">
        <f>+E12+E18+E24+E30+E36+E42+E48+E54+E60</f>
        <v>10523</v>
      </c>
      <c r="F66" s="487">
        <f>E66/'État des Résultats'!E14</f>
        <v>0.27471501873768933</v>
      </c>
      <c r="H66" s="534">
        <f>+H12+H18+H24+H30+H36+H42+H48+H54+H60</f>
        <v>14924</v>
      </c>
      <c r="I66" s="487">
        <f>H66/'État des Résultats'!H14</f>
        <v>0.47927991115787011</v>
      </c>
      <c r="K66" s="534">
        <f>+K12+K18+K24+K30+K36+K42+K48+K54+K60</f>
        <v>10500</v>
      </c>
      <c r="L66" s="487">
        <f>K66/'État des Résultats'!K14</f>
        <v>0.27411457728268912</v>
      </c>
      <c r="N66" s="534">
        <f>+N12+N18+N24+N30+N36+N42+N48+N54+N60</f>
        <v>10500</v>
      </c>
      <c r="O66" s="487">
        <f>N66/'État des Résultats'!N14</f>
        <v>0.25750157259888978</v>
      </c>
      <c r="Q66" s="534">
        <f>+Q12+Q18+Q24+Q30+Q36+Q42+Q48+Q54+Q60</f>
        <v>10500</v>
      </c>
      <c r="R66" s="487">
        <f>Q66/'État des Résultats'!Q14</f>
        <v>0.22842881440224092</v>
      </c>
      <c r="T66" s="534">
        <f>+T12+T18+T24+T30+T36+T42+T48+T54+T60</f>
        <v>10500</v>
      </c>
      <c r="U66" s="487">
        <f>T66/'État des Résultats'!T14</f>
        <v>0.18883448657251917</v>
      </c>
      <c r="W66" s="534">
        <f>+W12+W18+W24+W30+W36+W42+W48+W54+W60</f>
        <v>10500</v>
      </c>
      <c r="X66" s="487">
        <f>W66/'État des Résultats'!W14</f>
        <v>0.13705728864134456</v>
      </c>
      <c r="Z66" s="534">
        <f>+Z12+Z18+Z24+Z30+Z36+Z42+Z48+Z54+Z60</f>
        <v>10500</v>
      </c>
      <c r="AA66" s="487">
        <f>Z66/'État des Résultats'!Z14</f>
        <v>0.15228587626816062</v>
      </c>
      <c r="AC66" s="534">
        <f>+AC12+AC18+AC24+AC30+AC36+AC42+AC48+AC54+AC60</f>
        <v>10500</v>
      </c>
      <c r="AD66" s="487">
        <f>AC66/'État des Résultats'!AC14</f>
        <v>0.23604310821564897</v>
      </c>
      <c r="AF66" s="534">
        <f>+AF12+AF18+AF24+AF30+AF36+AF42+AF48+AF54+AF60</f>
        <v>10500</v>
      </c>
      <c r="AG66" s="487">
        <f>AF66/'État des Résultats'!AF14</f>
        <v>0.24919507025699011</v>
      </c>
      <c r="AI66" s="534">
        <f>+AI12+AI18+AI24+AI30+AI36+AI42+AI48+AI54+AI60</f>
        <v>10500</v>
      </c>
      <c r="AJ66" s="487">
        <f>AI66/'État des Résultats'!AI14</f>
        <v>0.28325172985877878</v>
      </c>
      <c r="AK66" s="201"/>
      <c r="AL66" s="534">
        <f>+AL12+AL18+AL24+AL30+AL36+AL42+AL48+AL54+AL60</f>
        <v>10500</v>
      </c>
      <c r="AM66" s="487">
        <f>AL66/'État des Résultats'!AL14</f>
        <v>0.22842881440224092</v>
      </c>
      <c r="AP66" s="485">
        <f>SUM(+$AL66+$AI66+$AF66+$AC66+$Z66+$W66+$T66+$Q66+$N66+$K66+$H66+$E66)</f>
        <v>130447</v>
      </c>
      <c r="AQ66" s="487">
        <f>AP66/'État des Résultats'!AP14</f>
        <v>0.23075308917962914</v>
      </c>
    </row>
    <row r="67" spans="2:47" x14ac:dyDescent="0.15">
      <c r="B67" s="194">
        <f>B61</f>
        <v>6205</v>
      </c>
      <c r="C67" s="533" t="str">
        <f>' Total des coûts de MO'!C27</f>
        <v>Bénéfices gouvernementaux</v>
      </c>
      <c r="D67" s="191"/>
      <c r="E67" s="534">
        <f>+E13+E19+E25+E31+E37+E43+E49+E55+E61</f>
        <v>1262.76</v>
      </c>
      <c r="F67" s="535">
        <f>E67/'État des Résultats'!E14</f>
        <v>3.2965802248522719E-2</v>
      </c>
      <c r="H67" s="534">
        <f>+H13+H19+H25+H31+H37+H43+H49+H55+H61</f>
        <v>1790.88</v>
      </c>
      <c r="I67" s="535">
        <f>H67/'État des Résultats'!H14</f>
        <v>5.7513589338944418E-2</v>
      </c>
      <c r="K67" s="534">
        <f>+K13+K19+K25+K31+K37+K43+K49+K55+K61</f>
        <v>1260</v>
      </c>
      <c r="L67" s="535">
        <f>K67/'État des Résultats'!K14</f>
        <v>3.2893749273922697E-2</v>
      </c>
      <c r="N67" s="534">
        <f>+N13+N19+N25+N31+N37+N43+N49+N55+N61</f>
        <v>1260</v>
      </c>
      <c r="O67" s="535">
        <f>N67/'État des Résultats'!N14</f>
        <v>3.0900188711866772E-2</v>
      </c>
      <c r="Q67" s="534">
        <f>+Q13+Q19+Q25+Q31+Q37+Q43+Q49+Q55+Q61</f>
        <v>1260</v>
      </c>
      <c r="R67" s="535">
        <f>Q67/'État des Résultats'!Q14</f>
        <v>2.7411457728268911E-2</v>
      </c>
      <c r="T67" s="534">
        <f>+T13+T19+T25+T31+T37+T43+T49+T55+T61</f>
        <v>1260</v>
      </c>
      <c r="U67" s="535">
        <f>T67/'État des Résultats'!T14</f>
        <v>2.2660138388702299E-2</v>
      </c>
      <c r="W67" s="534">
        <f>+W13+W19+W25+W31+W37+W43+W49+W55+W61</f>
        <v>1260</v>
      </c>
      <c r="X67" s="535">
        <f>W67/'État des Résultats'!W14</f>
        <v>1.6446874636961348E-2</v>
      </c>
      <c r="Z67" s="534">
        <f>+Z13+Z19+Z25+Z31+Z37+Z43+Z49+Z55+Z61</f>
        <v>1260</v>
      </c>
      <c r="AA67" s="535">
        <f>Z67/'État des Résultats'!Z14</f>
        <v>1.8274305152179274E-2</v>
      </c>
      <c r="AC67" s="534">
        <f>+AC13+AC19+AC25+AC31+AC37+AC43+AC49+AC55+AC61</f>
        <v>1260</v>
      </c>
      <c r="AD67" s="535">
        <f>AC67/'État des Résultats'!AC14</f>
        <v>2.8325172985877878E-2</v>
      </c>
      <c r="AF67" s="534">
        <f>+AF13+AF19+AF25+AF31+AF37+AF43+AF49+AF55+AF61</f>
        <v>1260</v>
      </c>
      <c r="AG67" s="535">
        <f>AF67/'État des Résultats'!AF14</f>
        <v>2.9903408430838815E-2</v>
      </c>
      <c r="AI67" s="534">
        <f>+AI13+AI19+AI25+AI31+AI37+AI43+AI49+AI55+AI61</f>
        <v>1260</v>
      </c>
      <c r="AJ67" s="535">
        <f>AI67/'État des Résultats'!AI14</f>
        <v>3.3990207583053454E-2</v>
      </c>
      <c r="AK67" s="201"/>
      <c r="AL67" s="534">
        <f>+AL13+AL19+AL25+AL31+AL37+AL43+AL49+AL55+AL61</f>
        <v>1260</v>
      </c>
      <c r="AM67" s="535">
        <f>AL67/'État des Résultats'!AL14</f>
        <v>2.7411457728268911E-2</v>
      </c>
      <c r="AP67" s="485">
        <f>SUM(+$AL67+$AI67+$AF67+$AC67+$Z67+$W67+$T67+$Q67+$N67+$K67+$H67+$E67)</f>
        <v>15653.640000000001</v>
      </c>
      <c r="AQ67" s="487">
        <f>AP67/'État des Résultats'!AP14</f>
        <v>2.76903707015555E-2</v>
      </c>
    </row>
    <row r="68" spans="2:47" ht="14" thickBot="1" x14ac:dyDescent="0.2">
      <c r="B68" s="194">
        <f>B62</f>
        <v>6245</v>
      </c>
      <c r="C68" s="533" t="str">
        <f>' Total des coûts de MO'!C31</f>
        <v>CSST et CNT</v>
      </c>
      <c r="D68" s="191"/>
      <c r="E68" s="534">
        <f>+E14+E20+E26+E32+E38+E44+E50+E56+E62</f>
        <v>252.55199999999999</v>
      </c>
      <c r="F68" s="535">
        <f>E68/'État des Résultats'!E14</f>
        <v>6.5931604497045434E-3</v>
      </c>
      <c r="H68" s="534">
        <f>+H14+H20+H26+H32+H38+H44+H50+H56+H62</f>
        <v>358.17599999999999</v>
      </c>
      <c r="I68" s="535">
        <f>H68/'État des Résultats'!H14</f>
        <v>1.1502717867788882E-2</v>
      </c>
      <c r="K68" s="534">
        <f>+K14+K20+K26+K32+K38+K44+K50+K56+K62</f>
        <v>252</v>
      </c>
      <c r="L68" s="535">
        <f>K68/'État des Résultats'!K14</f>
        <v>6.5787498547845392E-3</v>
      </c>
      <c r="N68" s="534">
        <f>+N14+N20+N26+N32+N38+N44+N50+N56+N62</f>
        <v>252</v>
      </c>
      <c r="O68" s="535">
        <f>N68/'État des Résultats'!N14</f>
        <v>6.1800377423733548E-3</v>
      </c>
      <c r="Q68" s="534">
        <f>+Q14+Q20+Q26+Q32+Q38+Q44+Q50+Q56+Q62</f>
        <v>252</v>
      </c>
      <c r="R68" s="535">
        <f>Q68/'État des Résultats'!Q14</f>
        <v>5.482291545653782E-3</v>
      </c>
      <c r="T68" s="534">
        <f>+T14+T20+T26+T32+T38+T44+T50+T56+T62</f>
        <v>252</v>
      </c>
      <c r="U68" s="535">
        <f>T68/'État des Résultats'!T14</f>
        <v>4.5320276777404602E-3</v>
      </c>
      <c r="W68" s="534">
        <f>+W14+W20+W26+W32+W38+W44+W50+W56+W62</f>
        <v>252</v>
      </c>
      <c r="X68" s="535">
        <f>W68/'État des Résultats'!W14</f>
        <v>3.2893749273922696E-3</v>
      </c>
      <c r="Z68" s="534">
        <f>+Z14+Z20+Z26+Z32+Z38+Z44+Z50+Z56+Z62</f>
        <v>252</v>
      </c>
      <c r="AA68" s="535">
        <f>Z68/'État des Résultats'!Z14</f>
        <v>3.6548610304358549E-3</v>
      </c>
      <c r="AC68" s="534">
        <f>+AC14+AC20+AC26+AC32+AC38+AC44+AC50+AC56+AC62</f>
        <v>252</v>
      </c>
      <c r="AD68" s="535">
        <f>AC68/'État des Résultats'!AC14</f>
        <v>5.6650345971755757E-3</v>
      </c>
      <c r="AF68" s="534">
        <f>+AF14+AF20+AF26+AF32+AF38+AF44+AF50+AF56+AF62</f>
        <v>252</v>
      </c>
      <c r="AG68" s="535">
        <f>AF68/'État des Résultats'!AF14</f>
        <v>5.9806816861677631E-3</v>
      </c>
      <c r="AI68" s="534">
        <f>+AI14+AI20+AI26+AI32+AI38+AI44+AI50+AI56+AI62</f>
        <v>252</v>
      </c>
      <c r="AJ68" s="535">
        <f>AI68/'État des Résultats'!AI14</f>
        <v>6.7980415166106903E-3</v>
      </c>
      <c r="AK68" s="201"/>
      <c r="AL68" s="534">
        <f>+AL14+AL20+AL26+AL32+AL38+AL44+AL50+AL56+AL62</f>
        <v>252</v>
      </c>
      <c r="AM68" s="535">
        <f>AL68/'État des Résultats'!AL14</f>
        <v>5.482291545653782E-3</v>
      </c>
      <c r="AP68" s="485">
        <f>SUM(+$AL68+$AI68+$AF68+$AC68+$Z68+$W68+$T68+$Q68+$N68+$K68+$H68+$E68)</f>
        <v>3130.7280000000001</v>
      </c>
      <c r="AQ68" s="487">
        <f>AP68/'État des Résultats'!AP14</f>
        <v>5.5380741403110991E-3</v>
      </c>
    </row>
    <row r="69" spans="2:47" ht="15" thickTop="1" thickBot="1" x14ac:dyDescent="0.2">
      <c r="B69" s="528"/>
      <c r="C69" s="529" t="s">
        <v>234</v>
      </c>
      <c r="D69" s="232"/>
      <c r="E69" s="530">
        <f>SUM(E66:E68)</f>
        <v>12038.312</v>
      </c>
      <c r="F69" s="531">
        <f>+SUM(F66:F68)</f>
        <v>0.31427398143591662</v>
      </c>
      <c r="G69" s="252"/>
      <c r="H69" s="530">
        <f>SUM(H66:H68)</f>
        <v>17073.056</v>
      </c>
      <c r="I69" s="531">
        <f>+SUM(I66:I68)</f>
        <v>0.5482962183646034</v>
      </c>
      <c r="J69" s="252"/>
      <c r="K69" s="530">
        <f>SUM(K66:K68)</f>
        <v>12012</v>
      </c>
      <c r="L69" s="531">
        <f>+SUM(L66:L68)</f>
        <v>0.31358707641139633</v>
      </c>
      <c r="M69" s="252"/>
      <c r="N69" s="530">
        <f>SUM(N66:N68)</f>
        <v>12012</v>
      </c>
      <c r="O69" s="531">
        <f>+SUM(O66:O68)</f>
        <v>0.29458179905312992</v>
      </c>
      <c r="P69" s="252"/>
      <c r="Q69" s="530">
        <f>SUM(Q66:Q68)</f>
        <v>12012</v>
      </c>
      <c r="R69" s="531">
        <f>+SUM(R66:R68)</f>
        <v>0.26132256367616358</v>
      </c>
      <c r="S69" s="252"/>
      <c r="T69" s="530">
        <f>SUM(T66:T68)</f>
        <v>12012</v>
      </c>
      <c r="U69" s="531">
        <f>+SUM(U66:U68)</f>
        <v>0.21602665263896192</v>
      </c>
      <c r="V69" s="252"/>
      <c r="W69" s="530">
        <f>SUM(W66:W68)</f>
        <v>12012</v>
      </c>
      <c r="X69" s="531">
        <f>+SUM(X66:X68)</f>
        <v>0.15679353820569816</v>
      </c>
      <c r="Y69" s="252"/>
      <c r="Z69" s="530">
        <f>SUM(Z66:Z68)</f>
        <v>12012</v>
      </c>
      <c r="AA69" s="531">
        <f>+SUM(AA66:AA68)</f>
        <v>0.17421504245077576</v>
      </c>
      <c r="AB69" s="252"/>
      <c r="AC69" s="530">
        <f>SUM(AC66:AC68)</f>
        <v>12012</v>
      </c>
      <c r="AD69" s="531">
        <f>+SUM(AD66:AD68)</f>
        <v>0.27003331579870243</v>
      </c>
      <c r="AE69" s="252"/>
      <c r="AF69" s="530">
        <f>SUM(AF66:AF68)</f>
        <v>12012</v>
      </c>
      <c r="AG69" s="531">
        <f>+SUM(AG66:AG68)</f>
        <v>0.28507916037399672</v>
      </c>
      <c r="AH69" s="252"/>
      <c r="AI69" s="530">
        <f>SUM(AI66:AI68)</f>
        <v>12012</v>
      </c>
      <c r="AJ69" s="531">
        <f>+SUM(AJ66:AJ68)</f>
        <v>0.32403997895844289</v>
      </c>
      <c r="AK69" s="232"/>
      <c r="AL69" s="530">
        <f>SUM(AL66:AL68)</f>
        <v>12012</v>
      </c>
      <c r="AM69" s="531">
        <f>+SUM(AM66:AM68)</f>
        <v>0.26132256367616358</v>
      </c>
      <c r="AN69" s="252"/>
      <c r="AO69" s="252"/>
      <c r="AP69" s="532">
        <f>+SUM(AP66:AP68)</f>
        <v>149231.36800000002</v>
      </c>
      <c r="AQ69" s="531">
        <f>AP69/'État des Résultats'!AP14</f>
        <v>0.26398153402149577</v>
      </c>
      <c r="AR69" s="252"/>
      <c r="AS69" s="252"/>
      <c r="AT69" s="252"/>
      <c r="AU69" s="252"/>
    </row>
    <row r="70" spans="2:47" ht="15" thickTop="1" thickBot="1" x14ac:dyDescent="0.2"/>
    <row r="71" spans="2:47" ht="15" thickTop="1" thickBot="1" x14ac:dyDescent="0.2">
      <c r="C71" s="667"/>
      <c r="D71" s="668"/>
      <c r="E71" s="668"/>
      <c r="F71" s="668"/>
      <c r="G71" s="668"/>
      <c r="H71" s="668"/>
      <c r="I71" s="669"/>
      <c r="K71" s="316" t="s">
        <v>2</v>
      </c>
    </row>
    <row r="72" spans="2:47" ht="15" thickTop="1" thickBot="1" x14ac:dyDescent="0.2">
      <c r="C72" s="928" t="s">
        <v>214</v>
      </c>
      <c r="D72" s="929"/>
      <c r="E72" s="929"/>
      <c r="F72" s="433">
        <v>2.4</v>
      </c>
      <c r="G72" s="670"/>
      <c r="H72" s="670"/>
      <c r="I72" s="533"/>
    </row>
    <row r="73" spans="2:47" ht="14" thickTop="1" x14ac:dyDescent="0.15">
      <c r="C73" s="194"/>
      <c r="D73" s="670"/>
      <c r="E73" s="670"/>
      <c r="F73" s="670"/>
      <c r="G73" s="670"/>
      <c r="H73" s="670"/>
      <c r="I73" s="533"/>
    </row>
    <row r="74" spans="2:47" ht="14" thickBot="1" x14ac:dyDescent="0.2">
      <c r="C74" s="194"/>
      <c r="D74" s="670"/>
      <c r="E74" s="670"/>
      <c r="F74" s="670"/>
      <c r="G74" s="670"/>
      <c r="H74" s="670"/>
      <c r="I74" s="533"/>
    </row>
    <row r="75" spans="2:47" ht="14" customHeight="1" thickTop="1" thickBot="1" x14ac:dyDescent="0.2">
      <c r="C75" s="928" t="s">
        <v>246</v>
      </c>
      <c r="D75" s="929"/>
      <c r="E75" s="929"/>
      <c r="F75" s="929"/>
      <c r="G75" s="671"/>
      <c r="H75" s="434">
        <v>0.14000000000000001</v>
      </c>
      <c r="I75" s="533"/>
    </row>
    <row r="76" spans="2:47" ht="15" thickTop="1" thickBot="1" x14ac:dyDescent="0.2">
      <c r="C76" s="928" t="s">
        <v>247</v>
      </c>
      <c r="D76" s="929"/>
      <c r="E76" s="929"/>
      <c r="F76" s="929"/>
      <c r="G76" s="670"/>
      <c r="H76" s="434">
        <v>0.12</v>
      </c>
      <c r="I76" s="533"/>
    </row>
    <row r="77" spans="2:47" ht="14" thickTop="1" x14ac:dyDescent="0.15">
      <c r="C77" s="194"/>
      <c r="D77" s="670"/>
      <c r="E77" s="670"/>
      <c r="F77" s="670"/>
      <c r="G77" s="670"/>
      <c r="H77" s="670"/>
      <c r="I77" s="533"/>
    </row>
    <row r="78" spans="2:47" ht="14" thickBot="1" x14ac:dyDescent="0.2">
      <c r="C78" s="672"/>
      <c r="D78" s="673"/>
      <c r="E78" s="673"/>
      <c r="F78" s="673"/>
      <c r="G78" s="673"/>
      <c r="H78" s="673"/>
      <c r="I78" s="674"/>
    </row>
    <row r="79" spans="2:47" ht="14" thickTop="1" x14ac:dyDescent="0.15"/>
  </sheetData>
  <sheetProtection algorithmName="SHA-512" hashValue="vbgp6veaEPNAhyh4aSIwEfL7thN8c8Qxf35xN2KjPRippLpGDFNYrsASjwbWXmSBpZw0EeeET47TcjK3raR2Mw==" saltValue="DrG0u8N0P87HD8Q9pkY26w=="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940" t="str">
        <f>'État des Résultats'!C2</f>
        <v xml:space="preserve">Entreprise de restauration alimentaire 12 inc. </v>
      </c>
      <c r="C2" s="941"/>
      <c r="AS2" s="898" t="s">
        <v>42</v>
      </c>
      <c r="AT2" s="369"/>
      <c r="AU2" s="369"/>
      <c r="AV2" s="369"/>
      <c r="AW2" s="369"/>
      <c r="AX2" s="369"/>
      <c r="AY2" s="369"/>
      <c r="AZ2" s="369"/>
      <c r="BA2" s="369"/>
      <c r="BB2" s="369"/>
      <c r="BC2" s="901" t="s">
        <v>43</v>
      </c>
    </row>
    <row r="3" spans="2:56" ht="20" customHeight="1" x14ac:dyDescent="0.2">
      <c r="B3" s="942" t="str">
        <f>'État des Résultats'!C3</f>
        <v xml:space="preserve">États des résultats prévisionnels </v>
      </c>
      <c r="C3" s="943"/>
      <c r="AS3" s="899"/>
      <c r="AT3" s="370"/>
      <c r="AU3" s="370"/>
      <c r="AV3" s="370"/>
      <c r="AW3" s="370"/>
      <c r="AX3" s="370"/>
      <c r="AY3" s="370"/>
      <c r="AZ3" s="370"/>
      <c r="BA3" s="370"/>
      <c r="BB3" s="370"/>
      <c r="BC3" s="902"/>
    </row>
    <row r="4" spans="2:56" ht="20" customHeight="1" thickBot="1" x14ac:dyDescent="0.3">
      <c r="B4" s="944" t="str">
        <f>'État des Résultats'!C4</f>
        <v>Pour la période du 1er janvier 2021 au 31 décembre 2021</v>
      </c>
      <c r="C4" s="945"/>
      <c r="AS4" s="899"/>
      <c r="AT4" s="371" t="str">
        <f>'Formule pour le calcul D'!BA103</f>
        <v>Coût annuel</v>
      </c>
      <c r="AU4" s="371" t="s">
        <v>44</v>
      </c>
      <c r="AV4" s="371" t="str">
        <f>'Formule pour le calcul D'!BC103</f>
        <v>Achalandage annuelle</v>
      </c>
      <c r="AW4" s="371" t="s">
        <v>45</v>
      </c>
      <c r="AX4" s="371" t="s">
        <v>46</v>
      </c>
      <c r="AY4" s="371" t="str">
        <f>'Formule pour le calcul D'!BF103</f>
        <v>Um/A</v>
      </c>
      <c r="AZ4" s="371" t="s">
        <v>45</v>
      </c>
      <c r="BA4" s="371" t="str">
        <f>'Formule pour le calcul D'!BH103</f>
        <v>CmO</v>
      </c>
      <c r="BB4" s="371" t="s">
        <v>49</v>
      </c>
      <c r="BC4" s="902"/>
    </row>
    <row r="5" spans="2:56" ht="21" thickTop="1" thickBot="1" x14ac:dyDescent="0.3">
      <c r="AS5" s="899"/>
      <c r="AT5" s="372" t="s">
        <v>2</v>
      </c>
      <c r="AU5" s="373"/>
      <c r="AV5" s="372"/>
      <c r="AW5" s="373"/>
      <c r="AX5" s="373"/>
      <c r="AY5" s="373"/>
      <c r="AZ5" s="373"/>
      <c r="BA5" s="373"/>
      <c r="BB5" s="373"/>
      <c r="BC5" s="902"/>
    </row>
    <row r="6" spans="2:56" ht="27" thickTop="1" x14ac:dyDescent="0.3">
      <c r="B6" s="916" t="str">
        <f>'État des Résultats'!C6</f>
        <v>Nb de places</v>
      </c>
      <c r="C6" s="946"/>
      <c r="E6" s="693" t="str">
        <f>'Coût marchandises vendues'!D6</f>
        <v>Coût / place / jour</v>
      </c>
      <c r="F6" s="694">
        <f>+E26/$B$7/'Calendrier 2021'!D8</f>
        <v>1.2356500000000001</v>
      </c>
      <c r="G6" s="170"/>
      <c r="H6" s="693" t="str">
        <f>+E6</f>
        <v>Coût / place / jour</v>
      </c>
      <c r="I6" s="694">
        <f>+H26/$B$7/'Calendrier 2021'!E8</f>
        <v>1.112085</v>
      </c>
      <c r="J6" s="170"/>
      <c r="K6" s="693" t="str">
        <f>+H6</f>
        <v>Coût / place / jour</v>
      </c>
      <c r="L6" s="694">
        <f>+K26/$B$7/'Calendrier 2021'!F8</f>
        <v>1.2356500000000001</v>
      </c>
      <c r="M6" s="170"/>
      <c r="N6" s="693" t="str">
        <f>+K6</f>
        <v>Coût / place / jour</v>
      </c>
      <c r="O6" s="694">
        <f>+N26/$B$7/'Calendrier 2021'!G8</f>
        <v>1.3592150000000001</v>
      </c>
      <c r="P6" s="436"/>
      <c r="Q6" s="693" t="str">
        <f>+N6</f>
        <v>Coût / place / jour</v>
      </c>
      <c r="R6" s="694">
        <f>+Q26/$B$7/'Calendrier 2021'!H8</f>
        <v>1.4827800000000004</v>
      </c>
      <c r="S6" s="436"/>
      <c r="T6" s="693" t="str">
        <f>+Q6</f>
        <v>Coût / place / jour</v>
      </c>
      <c r="U6" s="694">
        <f>+T26/$B$7/'Calendrier 2021'!I8</f>
        <v>1.8534750000000002</v>
      </c>
      <c r="V6" s="170"/>
      <c r="W6" s="693" t="str">
        <f>+T6</f>
        <v>Coût / place / jour</v>
      </c>
      <c r="X6" s="694">
        <f>+W26/$B$7/'Calendrier 2021'!J8</f>
        <v>2.4713000000000003</v>
      </c>
      <c r="Y6" s="170"/>
      <c r="Z6" s="693" t="str">
        <f>+W6</f>
        <v>Coût / place / jour</v>
      </c>
      <c r="AA6" s="694">
        <f>+Z26/$B$7/'Calendrier 2021'!K8</f>
        <v>2.2241700000000004</v>
      </c>
      <c r="AB6" s="170"/>
      <c r="AC6" s="693" t="str">
        <f>+Z6</f>
        <v>Coût / place / jour</v>
      </c>
      <c r="AD6" s="694">
        <f>+AC26/$B$7/'Calendrier 2021'!L8</f>
        <v>1.4827800000000002</v>
      </c>
      <c r="AE6" s="170"/>
      <c r="AF6" s="693" t="str">
        <f>+AC6</f>
        <v>Coût / place / jour</v>
      </c>
      <c r="AG6" s="694">
        <f>+AF26/$B$7/'Calendrier 2021'!M8</f>
        <v>1.3592149999999998</v>
      </c>
      <c r="AH6" s="170"/>
      <c r="AI6" s="693" t="str">
        <f>+AF6</f>
        <v>Coût / place / jour</v>
      </c>
      <c r="AJ6" s="694">
        <f>+AI26/$B$7/'Calendrier 2021'!N8</f>
        <v>1.2356500000000001</v>
      </c>
      <c r="AK6" s="170"/>
      <c r="AL6" s="693" t="str">
        <f>+AI6</f>
        <v>Coût / place / jour</v>
      </c>
      <c r="AM6" s="694">
        <f>+AL26/$B$7/'Calendrier 2021'!O8</f>
        <v>1.4827800000000004</v>
      </c>
      <c r="AN6" s="170"/>
      <c r="AO6" s="170"/>
      <c r="AP6" s="731" t="str">
        <f>+AL6</f>
        <v>Coût / place / jour</v>
      </c>
      <c r="AQ6" s="732">
        <f>+AP26/$B$7/'% Occupation'!P9</f>
        <v>1.5487941780821919</v>
      </c>
      <c r="AS6" s="899"/>
      <c r="AT6" s="683" t="str">
        <f>'Formule pour le calcul D'!BA105</f>
        <v xml:space="preserve">C </v>
      </c>
      <c r="AU6" s="375"/>
      <c r="AV6" s="374" t="str">
        <f>'Formule pour le calcul D'!BC105</f>
        <v>A</v>
      </c>
      <c r="AW6" s="375"/>
      <c r="AX6" s="375"/>
      <c r="AY6" s="374" t="str">
        <f>AY4</f>
        <v>Um/A</v>
      </c>
      <c r="AZ6" s="375"/>
      <c r="BA6" s="374" t="str">
        <f>BA4</f>
        <v>CmO</v>
      </c>
      <c r="BB6" s="375"/>
      <c r="BC6" s="902"/>
    </row>
    <row r="7" spans="2:56" ht="21" x14ac:dyDescent="0.25">
      <c r="B7" s="920">
        <f>'État des Résultats'!C7</f>
        <v>50</v>
      </c>
      <c r="C7" s="947"/>
      <c r="E7" s="438">
        <f>+E26/$AP26</f>
        <v>6.7759562841530063E-2</v>
      </c>
      <c r="F7" s="697"/>
      <c r="H7" s="438">
        <f>+H26/$AP26</f>
        <v>5.5081967213114758E-2</v>
      </c>
      <c r="I7" s="697"/>
      <c r="K7" s="438">
        <f>+K26/$AP26</f>
        <v>6.7759562841530063E-2</v>
      </c>
      <c r="L7" s="439"/>
      <c r="N7" s="438">
        <f>+N26/$AP26</f>
        <v>7.2131147540983612E-2</v>
      </c>
      <c r="O7" s="439"/>
      <c r="P7" s="698"/>
      <c r="Q7" s="438">
        <f>+Q26/$AP26</f>
        <v>8.131147540983609E-2</v>
      </c>
      <c r="R7" s="439"/>
      <c r="S7" s="698"/>
      <c r="T7" s="438">
        <f>+T26/$AP26</f>
        <v>9.836065573770493E-2</v>
      </c>
      <c r="U7" s="439"/>
      <c r="W7" s="438">
        <f>+W26/$AP26</f>
        <v>0.13551912568306013</v>
      </c>
      <c r="X7" s="439"/>
      <c r="Z7" s="438">
        <f>+Z26/$AP26</f>
        <v>0.1219672131147541</v>
      </c>
      <c r="AA7" s="439"/>
      <c r="AC7" s="438">
        <f>+AC26/$AP26</f>
        <v>7.8688524590163927E-2</v>
      </c>
      <c r="AD7" s="439"/>
      <c r="AF7" s="438">
        <f>+AF26/$AP26</f>
        <v>7.4535519125683056E-2</v>
      </c>
      <c r="AG7" s="439"/>
      <c r="AI7" s="438">
        <f>+AI26/$AP26</f>
        <v>6.5573770491803282E-2</v>
      </c>
      <c r="AJ7" s="439"/>
      <c r="AL7" s="438">
        <f>+AL26/$AP26</f>
        <v>8.131147540983609E-2</v>
      </c>
      <c r="AM7" s="439"/>
      <c r="AP7" s="733">
        <f>+AP26/$AP26</f>
        <v>1</v>
      </c>
      <c r="AQ7" s="734" t="s">
        <v>137</v>
      </c>
      <c r="AS7" s="899"/>
      <c r="AT7" s="684">
        <f>AP26</f>
        <v>28265.493750000001</v>
      </c>
      <c r="AU7" s="371" t="s">
        <v>44</v>
      </c>
      <c r="AV7" s="685">
        <f>'Formule pour le calcul D'!G114</f>
        <v>22875</v>
      </c>
      <c r="AW7" s="371" t="s">
        <v>45</v>
      </c>
      <c r="AX7" s="371" t="s">
        <v>46</v>
      </c>
      <c r="AY7" s="686">
        <f>'Formule pour le calcul D'!J106</f>
        <v>2.2200000000000002</v>
      </c>
      <c r="AZ7" s="371" t="s">
        <v>45</v>
      </c>
      <c r="BA7" s="687">
        <f>AT7/AV7/AY7</f>
        <v>0.5565990990990991</v>
      </c>
      <c r="BB7" s="371" t="s">
        <v>49</v>
      </c>
      <c r="BC7" s="902"/>
    </row>
    <row r="8" spans="2:56" ht="17" thickBot="1" x14ac:dyDescent="0.25">
      <c r="B8" s="920" t="s">
        <v>262</v>
      </c>
      <c r="C8" s="947"/>
      <c r="E8" s="702" t="str">
        <f>'État des Résultats'!E8</f>
        <v>Pér.01</v>
      </c>
      <c r="F8" s="701" t="str">
        <f>'État des Résultats'!F8</f>
        <v>(%)</v>
      </c>
      <c r="G8" s="385"/>
      <c r="H8" s="702" t="str">
        <f>'État des Résultats'!H8</f>
        <v>Pér.02</v>
      </c>
      <c r="I8" s="701" t="str">
        <f>F8</f>
        <v>(%)</v>
      </c>
      <c r="J8" s="385"/>
      <c r="K8" s="702" t="str">
        <f>'État des Résultats'!K8</f>
        <v>Pér.03</v>
      </c>
      <c r="L8" s="701" t="str">
        <f>I8</f>
        <v>(%)</v>
      </c>
      <c r="M8" s="385"/>
      <c r="N8" s="702" t="str">
        <f>'État des Résultats'!N8</f>
        <v>Pér.04</v>
      </c>
      <c r="O8" s="701" t="str">
        <f>L8</f>
        <v>(%)</v>
      </c>
      <c r="P8" s="440"/>
      <c r="Q8" s="702" t="str">
        <f>'État des Résultats'!Q8</f>
        <v>Pér.05</v>
      </c>
      <c r="R8" s="701" t="str">
        <f>O8</f>
        <v>(%)</v>
      </c>
      <c r="S8" s="440"/>
      <c r="T8" s="702" t="str">
        <f>'État des Résultats'!T8</f>
        <v>Pér.06</v>
      </c>
      <c r="U8" s="701" t="str">
        <f>R8</f>
        <v>(%)</v>
      </c>
      <c r="V8" s="385"/>
      <c r="W8" s="702" t="str">
        <f>'État des Résultats'!W8</f>
        <v>Pér.07</v>
      </c>
      <c r="X8" s="701" t="str">
        <f>U8</f>
        <v>(%)</v>
      </c>
      <c r="Y8" s="385"/>
      <c r="Z8" s="702" t="str">
        <f>'État des Résultats'!Z8</f>
        <v>Pér.08</v>
      </c>
      <c r="AA8" s="701" t="str">
        <f>X8</f>
        <v>(%)</v>
      </c>
      <c r="AB8" s="385"/>
      <c r="AC8" s="702" t="str">
        <f>'État des Résultats'!AC8</f>
        <v>Pér.09</v>
      </c>
      <c r="AD8" s="701" t="str">
        <f>AA8</f>
        <v>(%)</v>
      </c>
      <c r="AE8" s="385"/>
      <c r="AF8" s="702" t="str">
        <f>'État des Résultats'!AF8</f>
        <v>Pér.10</v>
      </c>
      <c r="AG8" s="701" t="str">
        <f>AD8</f>
        <v>(%)</v>
      </c>
      <c r="AH8" s="385"/>
      <c r="AI8" s="702" t="str">
        <f>'État des Résultats'!AI8</f>
        <v>Pér.11</v>
      </c>
      <c r="AJ8" s="701" t="str">
        <f>AG8</f>
        <v>(%)</v>
      </c>
      <c r="AK8" s="385"/>
      <c r="AL8" s="702" t="str">
        <f>'État des Résultats'!AL8</f>
        <v>Pér.12</v>
      </c>
      <c r="AM8" s="701" t="str">
        <f>AJ8</f>
        <v>(%)</v>
      </c>
      <c r="AN8" s="703" t="s">
        <v>2</v>
      </c>
      <c r="AO8" s="385"/>
      <c r="AP8" s="735" t="str">
        <f>'État des Résultats'!AS8</f>
        <v>Total</v>
      </c>
      <c r="AQ8" s="736" t="str">
        <f>AM8</f>
        <v>(%)</v>
      </c>
      <c r="AS8" s="900"/>
      <c r="AT8" s="376"/>
      <c r="AU8" s="376"/>
      <c r="AV8" s="376"/>
      <c r="AW8" s="376"/>
      <c r="AX8" s="376"/>
      <c r="AY8" s="376"/>
      <c r="AZ8" s="376"/>
      <c r="BA8" s="376"/>
      <c r="BB8" s="376"/>
      <c r="BC8" s="903"/>
    </row>
    <row r="9" spans="2:56" ht="15" thickTop="1" thickBot="1" x14ac:dyDescent="0.2">
      <c r="B9" s="904">
        <f>E26/B7</f>
        <v>38.305150000000005</v>
      </c>
      <c r="C9" s="939"/>
      <c r="E9" s="723" t="str">
        <f>'État des Résultats'!E9</f>
        <v>Janvier 2021</v>
      </c>
      <c r="F9" s="724"/>
      <c r="G9" s="294"/>
      <c r="H9" s="725" t="str">
        <f>'État des Résultats'!H9</f>
        <v>Février 2021</v>
      </c>
      <c r="I9" s="726"/>
      <c r="J9" s="294"/>
      <c r="K9" s="725" t="str">
        <f>'État des Résultats'!K9</f>
        <v>Mars 2021</v>
      </c>
      <c r="L9" s="726"/>
      <c r="M9" s="294"/>
      <c r="N9" s="723" t="str">
        <f>'État des Résultats'!N9</f>
        <v>Avril 2021</v>
      </c>
      <c r="O9" s="724"/>
      <c r="P9" s="727"/>
      <c r="Q9" s="723" t="str">
        <f>'État des Résultats'!Q9</f>
        <v>Mai 2021</v>
      </c>
      <c r="R9" s="724"/>
      <c r="S9" s="727"/>
      <c r="T9" s="725" t="str">
        <f>'État des Résultats'!T9</f>
        <v>Juin 2021</v>
      </c>
      <c r="U9" s="726"/>
      <c r="V9" s="294"/>
      <c r="W9" s="725" t="str">
        <f>'État des Résultats'!W9</f>
        <v>Juillet 2021</v>
      </c>
      <c r="X9" s="726"/>
      <c r="Y9" s="294"/>
      <c r="Z9" s="725" t="str">
        <f>'État des Résultats'!Z9</f>
        <v>Août 2021</v>
      </c>
      <c r="AA9" s="726"/>
      <c r="AB9" s="294"/>
      <c r="AC9" s="725" t="str">
        <f>'État des Résultats'!AC9</f>
        <v>Septembre 2021</v>
      </c>
      <c r="AD9" s="726"/>
      <c r="AE9" s="294"/>
      <c r="AF9" s="725" t="str">
        <f>'État des Résultats'!AF9</f>
        <v>Octobre 2021</v>
      </c>
      <c r="AG9" s="726"/>
      <c r="AH9" s="294"/>
      <c r="AI9" s="725" t="str">
        <f>'État des Résultats'!AI9</f>
        <v>Novembre 2021</v>
      </c>
      <c r="AJ9" s="726"/>
      <c r="AK9" s="294"/>
      <c r="AL9" s="725" t="str">
        <f>'État des Résultats'!AL9</f>
        <v>Décembre 2021</v>
      </c>
      <c r="AM9" s="726"/>
      <c r="AN9" s="294"/>
      <c r="AO9" s="294"/>
      <c r="AP9" s="737" t="str">
        <f>'État des Résultats'!AP9</f>
        <v>Année</v>
      </c>
      <c r="AQ9" s="738"/>
      <c r="AR9" s="730"/>
      <c r="AS9" s="730"/>
      <c r="AT9" s="331"/>
      <c r="AU9" s="331"/>
      <c r="AV9" s="331"/>
      <c r="AW9" s="705"/>
      <c r="AX9" s="705"/>
      <c r="AY9" s="705"/>
      <c r="AZ9" s="705"/>
    </row>
    <row r="10" spans="2:56" ht="15" thickTop="1" thickBot="1" x14ac:dyDescent="0.2">
      <c r="D10" s="252"/>
      <c r="G10" s="391"/>
      <c r="J10" s="391"/>
      <c r="M10" s="391"/>
      <c r="P10" s="447"/>
      <c r="S10" s="447"/>
      <c r="V10" s="391"/>
      <c r="Y10" s="188"/>
      <c r="AB10" s="391"/>
      <c r="AE10" s="391"/>
      <c r="AH10" s="391"/>
      <c r="AK10" s="391"/>
      <c r="AN10" s="391"/>
      <c r="AO10" s="391"/>
      <c r="AR10" s="170"/>
      <c r="AS10" s="170"/>
      <c r="AT10" s="170"/>
    </row>
    <row r="11" spans="2:56" ht="20" customHeight="1" thickTop="1" x14ac:dyDescent="0.2">
      <c r="B11" s="706"/>
      <c r="C11" s="751" t="s">
        <v>248</v>
      </c>
      <c r="E11" s="706"/>
      <c r="F11" s="707"/>
      <c r="H11" s="706"/>
      <c r="I11" s="707"/>
      <c r="K11" s="706"/>
      <c r="L11" s="707"/>
      <c r="N11" s="706"/>
      <c r="O11" s="707"/>
      <c r="Q11" s="706"/>
      <c r="R11" s="707"/>
      <c r="T11" s="706"/>
      <c r="U11" s="707"/>
      <c r="W11" s="706"/>
      <c r="X11" s="707"/>
      <c r="Z11" s="706"/>
      <c r="AA11" s="707"/>
      <c r="AC11" s="706"/>
      <c r="AD11" s="707"/>
      <c r="AF11" s="706"/>
      <c r="AG11" s="707"/>
      <c r="AI11" s="706"/>
      <c r="AJ11" s="707"/>
      <c r="AL11" s="706"/>
      <c r="AM11" s="707"/>
      <c r="AP11" s="667"/>
      <c r="AQ11" s="669"/>
      <c r="AR11" s="188"/>
      <c r="AS11" s="188"/>
      <c r="AT11" s="188"/>
      <c r="AU11" s="188"/>
      <c r="AV11" s="188"/>
      <c r="AW11" s="188"/>
      <c r="AX11" s="188"/>
      <c r="AY11" s="188"/>
      <c r="AZ11" s="188"/>
      <c r="BA11" s="188"/>
      <c r="BB11" s="188"/>
      <c r="BC11" s="188"/>
      <c r="BD11" s="188"/>
    </row>
    <row r="12" spans="2:56" x14ac:dyDescent="0.15">
      <c r="B12" s="191"/>
      <c r="C12" s="708"/>
      <c r="E12" s="191"/>
      <c r="F12" s="394"/>
      <c r="H12" s="191"/>
      <c r="I12" s="394"/>
      <c r="K12" s="191"/>
      <c r="L12" s="394"/>
      <c r="N12" s="191"/>
      <c r="O12" s="394"/>
      <c r="Q12" s="191"/>
      <c r="R12" s="394"/>
      <c r="T12" s="191"/>
      <c r="U12" s="394"/>
      <c r="W12" s="191"/>
      <c r="X12" s="394"/>
      <c r="Z12" s="191"/>
      <c r="AA12" s="394"/>
      <c r="AC12" s="191"/>
      <c r="AD12" s="394"/>
      <c r="AF12" s="191"/>
      <c r="AG12" s="394"/>
      <c r="AI12" s="191"/>
      <c r="AJ12" s="394"/>
      <c r="AL12" s="191"/>
      <c r="AM12" s="192"/>
      <c r="AP12" s="194"/>
      <c r="AQ12" s="533"/>
      <c r="AR12" s="188"/>
      <c r="AS12" s="188"/>
      <c r="AT12" s="188"/>
      <c r="AU12" s="188"/>
      <c r="AV12" s="188"/>
      <c r="AW12" s="188"/>
      <c r="AX12" s="188"/>
      <c r="AY12" s="188"/>
      <c r="AZ12" s="188"/>
      <c r="BA12" s="188"/>
      <c r="BB12" s="188"/>
      <c r="BC12" s="188"/>
      <c r="BD12" s="188"/>
    </row>
    <row r="13" spans="2:56" x14ac:dyDescent="0.15">
      <c r="B13" s="709">
        <v>7305</v>
      </c>
      <c r="C13" s="394" t="s">
        <v>249</v>
      </c>
      <c r="E13" s="710">
        <v>0</v>
      </c>
      <c r="F13" s="711">
        <f>E13/'État des Résultats'!E14</f>
        <v>0</v>
      </c>
      <c r="H13" s="710">
        <v>0</v>
      </c>
      <c r="I13" s="711">
        <f>H13/'État des Résultats'!H14</f>
        <v>0</v>
      </c>
      <c r="K13" s="710">
        <v>0</v>
      </c>
      <c r="L13" s="711">
        <f>K13/'État des Résultats'!K14</f>
        <v>0</v>
      </c>
      <c r="N13" s="710">
        <v>0</v>
      </c>
      <c r="O13" s="711">
        <f>N13/'État des Résultats'!N14</f>
        <v>0</v>
      </c>
      <c r="Q13" s="710">
        <v>0</v>
      </c>
      <c r="R13" s="711">
        <f>Q13/'État des Résultats'!Q14</f>
        <v>0</v>
      </c>
      <c r="T13" s="710">
        <v>0</v>
      </c>
      <c r="U13" s="711">
        <f>T13/'État des Résultats'!T14</f>
        <v>0</v>
      </c>
      <c r="W13" s="710">
        <v>0</v>
      </c>
      <c r="X13" s="711">
        <f>W13/'État des Résultats'!W14</f>
        <v>0</v>
      </c>
      <c r="Z13" s="710">
        <v>0</v>
      </c>
      <c r="AA13" s="711">
        <f>Z13/'État des Résultats'!Z14</f>
        <v>0</v>
      </c>
      <c r="AC13" s="710">
        <v>0</v>
      </c>
      <c r="AD13" s="711">
        <f>AC13/'État des Résultats'!AC14</f>
        <v>0</v>
      </c>
      <c r="AF13" s="710">
        <v>0</v>
      </c>
      <c r="AG13" s="711">
        <f>AF13/'État des Résultats'!AF14</f>
        <v>0</v>
      </c>
      <c r="AI13" s="710">
        <v>0</v>
      </c>
      <c r="AJ13" s="711">
        <f>AI13/'État des Résultats'!AI14</f>
        <v>0</v>
      </c>
      <c r="AL13" s="710">
        <v>0</v>
      </c>
      <c r="AM13" s="711">
        <f>AL13/'État des Résultats'!AL14</f>
        <v>0</v>
      </c>
      <c r="AP13" s="712">
        <f>SUM(+$AL13+$AI13+$AF13+$AC13+$Z13+$W13+$T13+$Q13+$N13+$K13+$H13+$E13)</f>
        <v>0</v>
      </c>
      <c r="AQ13" s="713">
        <f>AP13/'État des Résultats'!$AP$14</f>
        <v>0</v>
      </c>
    </row>
    <row r="14" spans="2:56" x14ac:dyDescent="0.15">
      <c r="B14" s="709">
        <v>7310</v>
      </c>
      <c r="C14" s="394" t="s">
        <v>250</v>
      </c>
      <c r="E14" s="710">
        <f>0.05*'État des Résultats'!E14</f>
        <v>1915.2575000000002</v>
      </c>
      <c r="F14" s="715">
        <f>E14/'État des Résultats'!E14</f>
        <v>0.05</v>
      </c>
      <c r="H14" s="710">
        <f>0.05*'État des Résultats'!H14</f>
        <v>1556.9190000000001</v>
      </c>
      <c r="I14" s="715">
        <f>H14/'État des Résultats'!H14</f>
        <v>0.05</v>
      </c>
      <c r="K14" s="710">
        <f>0.05*'État des Résultats'!K14</f>
        <v>1915.2575000000002</v>
      </c>
      <c r="L14" s="715">
        <f>K14/'État des Résultats'!K14</f>
        <v>0.05</v>
      </c>
      <c r="N14" s="710">
        <f>0.05*'État des Résultats'!N14</f>
        <v>2038.8225000000002</v>
      </c>
      <c r="O14" s="715">
        <f>N14/'État des Résultats'!N14</f>
        <v>0.05</v>
      </c>
      <c r="Q14" s="710">
        <f>0.05*'État des Résultats'!Q14</f>
        <v>2298.3090000000007</v>
      </c>
      <c r="R14" s="715">
        <f>Q14/'État des Résultats'!Q14</f>
        <v>0.05</v>
      </c>
      <c r="T14" s="710">
        <f>0.05*'État des Résultats'!T14</f>
        <v>2780.2125000000005</v>
      </c>
      <c r="U14" s="715">
        <f>T14/'État des Résultats'!T14</f>
        <v>0.05</v>
      </c>
      <c r="W14" s="710">
        <f>0.05*'État des Résultats'!W14</f>
        <v>3830.5150000000003</v>
      </c>
      <c r="X14" s="715">
        <f>W14/'État des Résultats'!W14</f>
        <v>0.05</v>
      </c>
      <c r="Z14" s="710">
        <f>0.05*'État des Résultats'!Z14</f>
        <v>3447.4635000000003</v>
      </c>
      <c r="AA14" s="715">
        <f>Z14/'État des Résultats'!Z14</f>
        <v>0.05</v>
      </c>
      <c r="AC14" s="710">
        <f>0.05*'État des Résultats'!AC14</f>
        <v>2224.17</v>
      </c>
      <c r="AD14" s="715">
        <f>AC14/'État des Résultats'!AC14</f>
        <v>0.05</v>
      </c>
      <c r="AF14" s="710">
        <f>0.05*'État des Résultats'!AF14</f>
        <v>2106.78325</v>
      </c>
      <c r="AG14" s="715">
        <f>AF14/'État des Résultats'!AF14</f>
        <v>4.9999999999999996E-2</v>
      </c>
      <c r="AI14" s="710">
        <f>0.05*'État des Résultats'!AI14</f>
        <v>1853.4750000000001</v>
      </c>
      <c r="AJ14" s="715">
        <f>AI14/'État des Résultats'!AI14</f>
        <v>0.05</v>
      </c>
      <c r="AL14" s="710">
        <f>0.05*'État des Résultats'!AL14</f>
        <v>2298.3090000000007</v>
      </c>
      <c r="AM14" s="715">
        <f>AL14/'État des Résultats'!AL14</f>
        <v>0.05</v>
      </c>
      <c r="AP14" s="712">
        <f>SUM(+$AL14+$AI14+$AF14+$AC14+$Z14+$W14+$T14+$Q14+$N14+$K14+$H14+$E14)</f>
        <v>28265.493750000001</v>
      </c>
      <c r="AQ14" s="713">
        <f>AP14/'État des Résultats'!$AP$14</f>
        <v>0.05</v>
      </c>
    </row>
    <row r="15" spans="2:56" x14ac:dyDescent="0.15">
      <c r="B15" s="709">
        <v>7315</v>
      </c>
      <c r="C15" s="394" t="s">
        <v>251</v>
      </c>
      <c r="E15" s="710">
        <v>0</v>
      </c>
      <c r="F15" s="715">
        <f>E15/'État des Résultats'!E14</f>
        <v>0</v>
      </c>
      <c r="G15" s="716" t="s">
        <v>2</v>
      </c>
      <c r="H15" s="710">
        <v>0</v>
      </c>
      <c r="I15" s="715">
        <f>H15/'État des Résultats'!H14</f>
        <v>0</v>
      </c>
      <c r="K15" s="710">
        <v>0</v>
      </c>
      <c r="L15" s="715">
        <f>K15/'État des Résultats'!K14</f>
        <v>0</v>
      </c>
      <c r="N15" s="710">
        <v>0</v>
      </c>
      <c r="O15" s="715">
        <f>N15/'État des Résultats'!N14</f>
        <v>0</v>
      </c>
      <c r="Q15" s="710">
        <v>0</v>
      </c>
      <c r="R15" s="715">
        <f>Q15/'État des Résultats'!Q14</f>
        <v>0</v>
      </c>
      <c r="T15" s="710">
        <v>0</v>
      </c>
      <c r="U15" s="715">
        <f>T15/'État des Résultats'!T14</f>
        <v>0</v>
      </c>
      <c r="W15" s="710">
        <v>0</v>
      </c>
      <c r="X15" s="715">
        <f>W15/'État des Résultats'!W14</f>
        <v>0</v>
      </c>
      <c r="Z15" s="710">
        <v>0</v>
      </c>
      <c r="AA15" s="715">
        <f>Z15/'État des Résultats'!Z14</f>
        <v>0</v>
      </c>
      <c r="AC15" s="710">
        <v>0</v>
      </c>
      <c r="AD15" s="715">
        <f>AC15/'État des Résultats'!AC14</f>
        <v>0</v>
      </c>
      <c r="AF15" s="710">
        <v>0</v>
      </c>
      <c r="AG15" s="715">
        <f>AF15/'État des Résultats'!AF14</f>
        <v>0</v>
      </c>
      <c r="AI15" s="710">
        <v>0</v>
      </c>
      <c r="AJ15" s="715">
        <f>AI15/'État des Résultats'!AI14</f>
        <v>0</v>
      </c>
      <c r="AL15" s="710">
        <v>0</v>
      </c>
      <c r="AM15" s="715">
        <f>AL15/'État des Résultats'!AL14</f>
        <v>0</v>
      </c>
      <c r="AP15" s="712">
        <f t="shared" ref="AP15:AP24" si="0">SUM(+$AL15+$AI15+$AF15+$AC15+$Z15+$W15+$T15+$Q15+$N15+$K15+$H15+$E15)</f>
        <v>0</v>
      </c>
      <c r="AQ15" s="713">
        <f>AP15/'État des Résultats'!$AP$14</f>
        <v>0</v>
      </c>
    </row>
    <row r="16" spans="2:56" x14ac:dyDescent="0.15">
      <c r="B16" s="709">
        <v>7320</v>
      </c>
      <c r="C16" s="394" t="s">
        <v>252</v>
      </c>
      <c r="E16" s="710">
        <v>0</v>
      </c>
      <c r="F16" s="715">
        <f>E16/'État des Résultats'!E14</f>
        <v>0</v>
      </c>
      <c r="H16" s="710">
        <v>0</v>
      </c>
      <c r="I16" s="715">
        <f>H16/'État des Résultats'!H14</f>
        <v>0</v>
      </c>
      <c r="K16" s="710">
        <v>0</v>
      </c>
      <c r="L16" s="715">
        <f>K16/'État des Résultats'!K14</f>
        <v>0</v>
      </c>
      <c r="N16" s="710">
        <v>0</v>
      </c>
      <c r="O16" s="715">
        <f>N16/'État des Résultats'!N14</f>
        <v>0</v>
      </c>
      <c r="Q16" s="710">
        <v>0</v>
      </c>
      <c r="R16" s="715">
        <f>Q16/'État des Résultats'!Q14</f>
        <v>0</v>
      </c>
      <c r="T16" s="710">
        <v>0</v>
      </c>
      <c r="U16" s="715">
        <f>T16/'État des Résultats'!T14</f>
        <v>0</v>
      </c>
      <c r="W16" s="710">
        <v>0</v>
      </c>
      <c r="X16" s="715">
        <f>W16/'État des Résultats'!W14</f>
        <v>0</v>
      </c>
      <c r="Z16" s="710">
        <v>0</v>
      </c>
      <c r="AA16" s="715">
        <f>Z16/'État des Résultats'!Z14</f>
        <v>0</v>
      </c>
      <c r="AC16" s="710">
        <v>0</v>
      </c>
      <c r="AD16" s="715">
        <f>AC16/'État des Résultats'!AC14</f>
        <v>0</v>
      </c>
      <c r="AF16" s="710">
        <v>0</v>
      </c>
      <c r="AG16" s="715">
        <f>AF16/'État des Résultats'!AF14</f>
        <v>0</v>
      </c>
      <c r="AI16" s="710">
        <v>0</v>
      </c>
      <c r="AJ16" s="715">
        <f>AI16/'État des Résultats'!AI14</f>
        <v>0</v>
      </c>
      <c r="AL16" s="710">
        <v>0</v>
      </c>
      <c r="AM16" s="715">
        <f>AL16/'État des Résultats'!AL14</f>
        <v>0</v>
      </c>
      <c r="AP16" s="712">
        <f t="shared" si="0"/>
        <v>0</v>
      </c>
      <c r="AQ16" s="713">
        <f>AP16/'État des Résultats'!$AP$14</f>
        <v>0</v>
      </c>
    </row>
    <row r="17" spans="2:47" x14ac:dyDescent="0.15">
      <c r="B17" s="709">
        <v>7325</v>
      </c>
      <c r="C17" s="394" t="s">
        <v>253</v>
      </c>
      <c r="E17" s="710">
        <v>0</v>
      </c>
      <c r="F17" s="715">
        <f>E17/'État des Résultats'!E14</f>
        <v>0</v>
      </c>
      <c r="H17" s="710">
        <v>0</v>
      </c>
      <c r="I17" s="715">
        <f>H17/'État des Résultats'!H14</f>
        <v>0</v>
      </c>
      <c r="K17" s="710">
        <v>0</v>
      </c>
      <c r="L17" s="715">
        <f>K17/'État des Résultats'!K14</f>
        <v>0</v>
      </c>
      <c r="N17" s="710">
        <v>0</v>
      </c>
      <c r="O17" s="715">
        <f>N17/'État des Résultats'!N14</f>
        <v>0</v>
      </c>
      <c r="Q17" s="710">
        <v>0</v>
      </c>
      <c r="R17" s="715">
        <f>Q17/'État des Résultats'!Q14</f>
        <v>0</v>
      </c>
      <c r="T17" s="710">
        <v>0</v>
      </c>
      <c r="U17" s="715">
        <f>T17/'État des Résultats'!T14</f>
        <v>0</v>
      </c>
      <c r="W17" s="710">
        <v>0</v>
      </c>
      <c r="X17" s="715">
        <f>W17/'État des Résultats'!W14</f>
        <v>0</v>
      </c>
      <c r="Z17" s="710">
        <v>0</v>
      </c>
      <c r="AA17" s="715">
        <f>Z17/'État des Résultats'!Z14</f>
        <v>0</v>
      </c>
      <c r="AC17" s="710">
        <v>0</v>
      </c>
      <c r="AD17" s="715">
        <f>AC17/'État des Résultats'!AC14</f>
        <v>0</v>
      </c>
      <c r="AF17" s="710">
        <v>0</v>
      </c>
      <c r="AG17" s="715">
        <f>AF17/'État des Résultats'!AF14</f>
        <v>0</v>
      </c>
      <c r="AI17" s="710">
        <v>0</v>
      </c>
      <c r="AJ17" s="715">
        <f>AI17/'État des Résultats'!AI14</f>
        <v>0</v>
      </c>
      <c r="AL17" s="710">
        <v>0</v>
      </c>
      <c r="AM17" s="715">
        <f>AL17/'État des Résultats'!AL14</f>
        <v>0</v>
      </c>
      <c r="AP17" s="712">
        <f t="shared" si="0"/>
        <v>0</v>
      </c>
      <c r="AQ17" s="713">
        <f>AP17/'État des Résultats'!$AP$14</f>
        <v>0</v>
      </c>
    </row>
    <row r="18" spans="2:47" x14ac:dyDescent="0.15">
      <c r="B18" s="709">
        <v>7330</v>
      </c>
      <c r="C18" s="394" t="s">
        <v>254</v>
      </c>
      <c r="E18" s="710">
        <v>0</v>
      </c>
      <c r="F18" s="715">
        <f>E18/'État des Résultats'!E14</f>
        <v>0</v>
      </c>
      <c r="H18" s="710">
        <v>0</v>
      </c>
      <c r="I18" s="715">
        <f>H18/'État des Résultats'!H14</f>
        <v>0</v>
      </c>
      <c r="K18" s="710">
        <v>0</v>
      </c>
      <c r="L18" s="715">
        <f>K18/'État des Résultats'!K14</f>
        <v>0</v>
      </c>
      <c r="N18" s="710">
        <v>0</v>
      </c>
      <c r="O18" s="715">
        <f>N18/'État des Résultats'!N14</f>
        <v>0</v>
      </c>
      <c r="Q18" s="710">
        <v>0</v>
      </c>
      <c r="R18" s="715">
        <f>Q18/'État des Résultats'!Q14</f>
        <v>0</v>
      </c>
      <c r="T18" s="710">
        <v>0</v>
      </c>
      <c r="U18" s="715">
        <f>T18/'État des Résultats'!T14</f>
        <v>0</v>
      </c>
      <c r="W18" s="710">
        <v>0</v>
      </c>
      <c r="X18" s="715">
        <f>W18/'État des Résultats'!W14</f>
        <v>0</v>
      </c>
      <c r="Z18" s="710">
        <v>0</v>
      </c>
      <c r="AA18" s="715">
        <f>Z18/'État des Résultats'!Z14</f>
        <v>0</v>
      </c>
      <c r="AC18" s="710">
        <v>0</v>
      </c>
      <c r="AD18" s="715">
        <f>AC18/'État des Résultats'!AC14</f>
        <v>0</v>
      </c>
      <c r="AF18" s="710">
        <v>0</v>
      </c>
      <c r="AG18" s="715">
        <f>AF18/'État des Résultats'!AF14</f>
        <v>0</v>
      </c>
      <c r="AI18" s="710">
        <v>0</v>
      </c>
      <c r="AJ18" s="715">
        <f>AI18/'État des Résultats'!AI14</f>
        <v>0</v>
      </c>
      <c r="AL18" s="710">
        <v>0</v>
      </c>
      <c r="AM18" s="715">
        <f>AL18/'État des Résultats'!AL14</f>
        <v>0</v>
      </c>
      <c r="AP18" s="712">
        <f t="shared" si="0"/>
        <v>0</v>
      </c>
      <c r="AQ18" s="713">
        <f>AP18/'État des Résultats'!$AP$14</f>
        <v>0</v>
      </c>
      <c r="AS18" s="210"/>
    </row>
    <row r="19" spans="2:47" x14ac:dyDescent="0.15">
      <c r="B19" s="709">
        <v>7335</v>
      </c>
      <c r="C19" s="394" t="s">
        <v>255</v>
      </c>
      <c r="E19" s="710">
        <v>0</v>
      </c>
      <c r="F19" s="715">
        <f>E19/'État des Résultats'!E14</f>
        <v>0</v>
      </c>
      <c r="H19" s="710">
        <v>0</v>
      </c>
      <c r="I19" s="715">
        <f>H19/'État des Résultats'!H14</f>
        <v>0</v>
      </c>
      <c r="K19" s="710">
        <v>0</v>
      </c>
      <c r="L19" s="715">
        <f>K19/'État des Résultats'!K14</f>
        <v>0</v>
      </c>
      <c r="N19" s="710">
        <v>0</v>
      </c>
      <c r="O19" s="715">
        <f>N19/'État des Résultats'!N14</f>
        <v>0</v>
      </c>
      <c r="Q19" s="710">
        <v>0</v>
      </c>
      <c r="R19" s="715">
        <f>Q19/'État des Résultats'!Q14</f>
        <v>0</v>
      </c>
      <c r="T19" s="710">
        <v>0</v>
      </c>
      <c r="U19" s="715">
        <f>T19/'État des Résultats'!T14</f>
        <v>0</v>
      </c>
      <c r="W19" s="710">
        <v>0</v>
      </c>
      <c r="X19" s="715">
        <f>W19/'État des Résultats'!W14</f>
        <v>0</v>
      </c>
      <c r="Z19" s="710">
        <v>0</v>
      </c>
      <c r="AA19" s="715">
        <f>Z19/'État des Résultats'!Z14</f>
        <v>0</v>
      </c>
      <c r="AC19" s="710">
        <v>0</v>
      </c>
      <c r="AD19" s="715">
        <f>AC19/'État des Résultats'!AC14</f>
        <v>0</v>
      </c>
      <c r="AF19" s="710">
        <v>0</v>
      </c>
      <c r="AG19" s="715">
        <f>AF19/'État des Résultats'!AF14</f>
        <v>0</v>
      </c>
      <c r="AI19" s="710">
        <v>0</v>
      </c>
      <c r="AJ19" s="715">
        <f>AI19/'État des Résultats'!AI14</f>
        <v>0</v>
      </c>
      <c r="AL19" s="710">
        <v>0</v>
      </c>
      <c r="AM19" s="715">
        <f>AL19/'État des Résultats'!AL14</f>
        <v>0</v>
      </c>
      <c r="AP19" s="712">
        <f t="shared" si="0"/>
        <v>0</v>
      </c>
      <c r="AQ19" s="713">
        <f>AP19/'État des Résultats'!$AP$14</f>
        <v>0</v>
      </c>
    </row>
    <row r="20" spans="2:47" x14ac:dyDescent="0.15">
      <c r="B20" s="709">
        <v>7340</v>
      </c>
      <c r="C20" s="394" t="s">
        <v>256</v>
      </c>
      <c r="E20" s="710">
        <v>0</v>
      </c>
      <c r="F20" s="715">
        <f>E20/'État des Résultats'!E14</f>
        <v>0</v>
      </c>
      <c r="H20" s="710">
        <v>0</v>
      </c>
      <c r="I20" s="715">
        <f>H20/'État des Résultats'!H14</f>
        <v>0</v>
      </c>
      <c r="K20" s="710">
        <v>0</v>
      </c>
      <c r="L20" s="715">
        <f>K20/'État des Résultats'!K14</f>
        <v>0</v>
      </c>
      <c r="N20" s="710">
        <v>0</v>
      </c>
      <c r="O20" s="715">
        <f>N20/'État des Résultats'!N14</f>
        <v>0</v>
      </c>
      <c r="Q20" s="710">
        <v>0</v>
      </c>
      <c r="R20" s="715">
        <f>Q20/'État des Résultats'!Q14</f>
        <v>0</v>
      </c>
      <c r="T20" s="710">
        <v>0</v>
      </c>
      <c r="U20" s="715">
        <f>T20/'État des Résultats'!T14</f>
        <v>0</v>
      </c>
      <c r="W20" s="710">
        <v>0</v>
      </c>
      <c r="X20" s="715">
        <f>W20/'État des Résultats'!W14</f>
        <v>0</v>
      </c>
      <c r="Z20" s="710">
        <v>0</v>
      </c>
      <c r="AA20" s="715">
        <f>Z20/'État des Résultats'!Z14</f>
        <v>0</v>
      </c>
      <c r="AC20" s="710">
        <v>0</v>
      </c>
      <c r="AD20" s="715">
        <f>AC20/'État des Résultats'!AC14</f>
        <v>0</v>
      </c>
      <c r="AF20" s="710">
        <v>0</v>
      </c>
      <c r="AG20" s="715">
        <f>AF20/'État des Résultats'!AF14</f>
        <v>0</v>
      </c>
      <c r="AI20" s="710">
        <v>0</v>
      </c>
      <c r="AJ20" s="715">
        <f>AI20/'État des Résultats'!AI14</f>
        <v>0</v>
      </c>
      <c r="AL20" s="710">
        <v>0</v>
      </c>
      <c r="AM20" s="715">
        <f>AL20/'État des Résultats'!AL14</f>
        <v>0</v>
      </c>
      <c r="AP20" s="712">
        <f t="shared" si="0"/>
        <v>0</v>
      </c>
      <c r="AQ20" s="713">
        <f>AP20/'État des Résultats'!$AP$14</f>
        <v>0</v>
      </c>
    </row>
    <row r="21" spans="2:47" x14ac:dyDescent="0.15">
      <c r="B21" s="709">
        <v>7345</v>
      </c>
      <c r="C21" s="394" t="s">
        <v>257</v>
      </c>
      <c r="E21" s="710">
        <v>0</v>
      </c>
      <c r="F21" s="715">
        <f>E21/'État des Résultats'!E14</f>
        <v>0</v>
      </c>
      <c r="H21" s="710">
        <v>0</v>
      </c>
      <c r="I21" s="715">
        <f>H21/'État des Résultats'!H14</f>
        <v>0</v>
      </c>
      <c r="K21" s="710">
        <v>0</v>
      </c>
      <c r="L21" s="715">
        <f>K21/'État des Résultats'!K14</f>
        <v>0</v>
      </c>
      <c r="N21" s="710">
        <v>0</v>
      </c>
      <c r="O21" s="715">
        <f>N21/'État des Résultats'!N14</f>
        <v>0</v>
      </c>
      <c r="Q21" s="710">
        <v>0</v>
      </c>
      <c r="R21" s="715">
        <f>Q21/'État des Résultats'!Q14</f>
        <v>0</v>
      </c>
      <c r="T21" s="710">
        <v>0</v>
      </c>
      <c r="U21" s="715">
        <f>T21/'État des Résultats'!T14</f>
        <v>0</v>
      </c>
      <c r="W21" s="710">
        <v>0</v>
      </c>
      <c r="X21" s="715">
        <f>W21/'État des Résultats'!W14</f>
        <v>0</v>
      </c>
      <c r="Z21" s="710">
        <v>0</v>
      </c>
      <c r="AA21" s="715">
        <f>Z21/'État des Résultats'!Z14</f>
        <v>0</v>
      </c>
      <c r="AC21" s="710">
        <v>0</v>
      </c>
      <c r="AD21" s="715">
        <f>AC21/'État des Résultats'!AC14</f>
        <v>0</v>
      </c>
      <c r="AF21" s="710">
        <v>0</v>
      </c>
      <c r="AG21" s="715">
        <f>AF21/'État des Résultats'!AF14</f>
        <v>0</v>
      </c>
      <c r="AI21" s="710">
        <v>0</v>
      </c>
      <c r="AJ21" s="715">
        <f>AI21/'État des Résultats'!AI14</f>
        <v>0</v>
      </c>
      <c r="AL21" s="710">
        <v>0</v>
      </c>
      <c r="AM21" s="715">
        <f>AL21/'État des Résultats'!AL14</f>
        <v>0</v>
      </c>
      <c r="AP21" s="712">
        <f t="shared" si="0"/>
        <v>0</v>
      </c>
      <c r="AQ21" s="713">
        <f>AP21/'État des Résultats'!$AP$14</f>
        <v>0</v>
      </c>
    </row>
    <row r="22" spans="2:47" x14ac:dyDescent="0.15">
      <c r="B22" s="709">
        <v>7350</v>
      </c>
      <c r="C22" s="394" t="s">
        <v>258</v>
      </c>
      <c r="E22" s="710">
        <v>0</v>
      </c>
      <c r="F22" s="715">
        <f>E22/'État des Résultats'!E14</f>
        <v>0</v>
      </c>
      <c r="H22" s="710">
        <v>0</v>
      </c>
      <c r="I22" s="715">
        <f>H22/'État des Résultats'!H14</f>
        <v>0</v>
      </c>
      <c r="K22" s="710">
        <v>0</v>
      </c>
      <c r="L22" s="715">
        <f>K22/'État des Résultats'!K14</f>
        <v>0</v>
      </c>
      <c r="N22" s="710">
        <v>0</v>
      </c>
      <c r="O22" s="715">
        <f>N22/'État des Résultats'!N14</f>
        <v>0</v>
      </c>
      <c r="Q22" s="710">
        <v>0</v>
      </c>
      <c r="R22" s="715">
        <f>Q22/'État des Résultats'!Q14</f>
        <v>0</v>
      </c>
      <c r="T22" s="710">
        <v>0</v>
      </c>
      <c r="U22" s="715">
        <f>T22/'État des Résultats'!T14</f>
        <v>0</v>
      </c>
      <c r="W22" s="710">
        <v>0</v>
      </c>
      <c r="X22" s="715">
        <f>W22/'État des Résultats'!W14</f>
        <v>0</v>
      </c>
      <c r="Z22" s="710">
        <v>0</v>
      </c>
      <c r="AA22" s="715">
        <f>Z22/'État des Résultats'!Z14</f>
        <v>0</v>
      </c>
      <c r="AC22" s="710">
        <v>0</v>
      </c>
      <c r="AD22" s="715">
        <f>AC22/'État des Résultats'!AC14</f>
        <v>0</v>
      </c>
      <c r="AF22" s="710">
        <v>0</v>
      </c>
      <c r="AG22" s="715">
        <f>AF22/'État des Résultats'!AF14</f>
        <v>0</v>
      </c>
      <c r="AI22" s="710">
        <v>0</v>
      </c>
      <c r="AJ22" s="715">
        <f>AI22/'État des Résultats'!AI14</f>
        <v>0</v>
      </c>
      <c r="AL22" s="710">
        <v>0</v>
      </c>
      <c r="AM22" s="715">
        <f>AL22/'État des Résultats'!AL14</f>
        <v>0</v>
      </c>
      <c r="AP22" s="712">
        <f t="shared" si="0"/>
        <v>0</v>
      </c>
      <c r="AQ22" s="713">
        <f>AP22/'État des Résultats'!$AP$14</f>
        <v>0</v>
      </c>
    </row>
    <row r="23" spans="2:47" x14ac:dyDescent="0.15">
      <c r="B23" s="709">
        <v>7360</v>
      </c>
      <c r="C23" s="394" t="s">
        <v>259</v>
      </c>
      <c r="E23" s="710">
        <v>0</v>
      </c>
      <c r="F23" s="715">
        <f>E23/'État des Résultats'!E14</f>
        <v>0</v>
      </c>
      <c r="H23" s="710">
        <v>0</v>
      </c>
      <c r="I23" s="715">
        <f>H23/'État des Résultats'!H14</f>
        <v>0</v>
      </c>
      <c r="K23" s="710">
        <v>0</v>
      </c>
      <c r="L23" s="715">
        <f>K23/'État des Résultats'!K14</f>
        <v>0</v>
      </c>
      <c r="N23" s="710">
        <v>0</v>
      </c>
      <c r="O23" s="715">
        <f>N23/'État des Résultats'!N14</f>
        <v>0</v>
      </c>
      <c r="Q23" s="710">
        <v>0</v>
      </c>
      <c r="R23" s="715">
        <f>Q23/'État des Résultats'!Q14</f>
        <v>0</v>
      </c>
      <c r="T23" s="710">
        <v>0</v>
      </c>
      <c r="U23" s="715">
        <f>T23/'État des Résultats'!T14</f>
        <v>0</v>
      </c>
      <c r="W23" s="710">
        <v>0</v>
      </c>
      <c r="X23" s="715">
        <f>W23/'État des Résultats'!W14</f>
        <v>0</v>
      </c>
      <c r="Z23" s="710">
        <v>0</v>
      </c>
      <c r="AA23" s="715">
        <f>Z23/'État des Résultats'!Z14</f>
        <v>0</v>
      </c>
      <c r="AC23" s="710">
        <v>0</v>
      </c>
      <c r="AD23" s="715">
        <f>AC23/'État des Résultats'!AC14</f>
        <v>0</v>
      </c>
      <c r="AF23" s="710">
        <v>0</v>
      </c>
      <c r="AG23" s="715">
        <f>AF23/'État des Résultats'!AF14</f>
        <v>0</v>
      </c>
      <c r="AI23" s="710">
        <v>0</v>
      </c>
      <c r="AJ23" s="715">
        <f>AI23/'État des Résultats'!AI14</f>
        <v>0</v>
      </c>
      <c r="AL23" s="710">
        <v>0</v>
      </c>
      <c r="AM23" s="715">
        <f>AL23/'État des Résultats'!AL14</f>
        <v>0</v>
      </c>
      <c r="AP23" s="712">
        <f t="shared" si="0"/>
        <v>0</v>
      </c>
      <c r="AQ23" s="713">
        <f>AP23/'État des Résultats'!$AP$14</f>
        <v>0</v>
      </c>
    </row>
    <row r="24" spans="2:47" x14ac:dyDescent="0.15">
      <c r="B24" s="709">
        <v>7399</v>
      </c>
      <c r="C24" s="394" t="s">
        <v>260</v>
      </c>
      <c r="E24" s="710">
        <v>0</v>
      </c>
      <c r="F24" s="715">
        <f>E24/'État des Résultats'!E14</f>
        <v>0</v>
      </c>
      <c r="H24" s="710">
        <v>0</v>
      </c>
      <c r="I24" s="715">
        <f>H24/'État des Résultats'!H14</f>
        <v>0</v>
      </c>
      <c r="K24" s="710">
        <v>0</v>
      </c>
      <c r="L24" s="715">
        <f>K24/'État des Résultats'!K14</f>
        <v>0</v>
      </c>
      <c r="N24" s="710">
        <v>0</v>
      </c>
      <c r="O24" s="715">
        <f>N24/'État des Résultats'!N14</f>
        <v>0</v>
      </c>
      <c r="Q24" s="710">
        <v>0</v>
      </c>
      <c r="R24" s="715">
        <f>Q24/'État des Résultats'!Q14</f>
        <v>0</v>
      </c>
      <c r="T24" s="710">
        <v>0</v>
      </c>
      <c r="U24" s="715">
        <f>T24/'État des Résultats'!T14</f>
        <v>0</v>
      </c>
      <c r="W24" s="710">
        <v>0</v>
      </c>
      <c r="X24" s="715">
        <f>W24/'État des Résultats'!W14</f>
        <v>0</v>
      </c>
      <c r="Z24" s="710">
        <v>0</v>
      </c>
      <c r="AA24" s="715">
        <f>Z24/'État des Résultats'!Z14</f>
        <v>0</v>
      </c>
      <c r="AC24" s="710">
        <v>0</v>
      </c>
      <c r="AD24" s="715">
        <f>AC24/'État des Résultats'!AC14</f>
        <v>0</v>
      </c>
      <c r="AF24" s="710">
        <v>0</v>
      </c>
      <c r="AG24" s="715">
        <f>AF24/'État des Résultats'!AF14</f>
        <v>0</v>
      </c>
      <c r="AI24" s="710">
        <v>0</v>
      </c>
      <c r="AJ24" s="715">
        <f>AI24/'État des Résultats'!AI14</f>
        <v>0</v>
      </c>
      <c r="AL24" s="710">
        <v>0</v>
      </c>
      <c r="AM24" s="715">
        <f>AL24/'État des Résultats'!AL14</f>
        <v>0</v>
      </c>
      <c r="AP24" s="712">
        <f t="shared" si="0"/>
        <v>0</v>
      </c>
      <c r="AQ24" s="713">
        <f>AP24/'État des Résultats'!$AP$14</f>
        <v>0</v>
      </c>
    </row>
    <row r="25" spans="2:47" ht="14" thickBot="1" x14ac:dyDescent="0.2">
      <c r="B25" s="739" t="s">
        <v>2</v>
      </c>
      <c r="C25" s="740"/>
      <c r="D25" s="741"/>
      <c r="E25" s="742" t="s">
        <v>2</v>
      </c>
      <c r="F25" s="717" t="s">
        <v>2</v>
      </c>
      <c r="G25" s="741"/>
      <c r="H25" s="742" t="s">
        <v>2</v>
      </c>
      <c r="I25" s="717" t="s">
        <v>2</v>
      </c>
      <c r="J25" s="741"/>
      <c r="K25" s="742" t="s">
        <v>2</v>
      </c>
      <c r="L25" s="717" t="s">
        <v>2</v>
      </c>
      <c r="M25" s="741"/>
      <c r="N25" s="742"/>
      <c r="O25" s="717" t="s">
        <v>2</v>
      </c>
      <c r="P25" s="741"/>
      <c r="Q25" s="742" t="s">
        <v>2</v>
      </c>
      <c r="R25" s="717" t="s">
        <v>2</v>
      </c>
      <c r="S25" s="743"/>
      <c r="T25" s="742" t="s">
        <v>2</v>
      </c>
      <c r="U25" s="717" t="s">
        <v>2</v>
      </c>
      <c r="V25" s="741"/>
      <c r="W25" s="742" t="s">
        <v>2</v>
      </c>
      <c r="X25" s="717" t="s">
        <v>2</v>
      </c>
      <c r="Y25" s="741"/>
      <c r="Z25" s="742" t="s">
        <v>2</v>
      </c>
      <c r="AA25" s="717" t="s">
        <v>2</v>
      </c>
      <c r="AB25" s="741"/>
      <c r="AC25" s="742" t="s">
        <v>2</v>
      </c>
      <c r="AD25" s="717" t="s">
        <v>2</v>
      </c>
      <c r="AE25" s="741"/>
      <c r="AF25" s="742" t="s">
        <v>2</v>
      </c>
      <c r="AG25" s="717" t="str">
        <f>+AD25</f>
        <v xml:space="preserve"> </v>
      </c>
      <c r="AH25" s="741"/>
      <c r="AI25" s="742" t="s">
        <v>2</v>
      </c>
      <c r="AJ25" s="717" t="str">
        <f>+AG25</f>
        <v xml:space="preserve"> </v>
      </c>
      <c r="AK25" s="741"/>
      <c r="AL25" s="742" t="s">
        <v>2</v>
      </c>
      <c r="AM25" s="717" t="str">
        <f>+AJ25</f>
        <v xml:space="preserve"> </v>
      </c>
      <c r="AN25" s="741"/>
      <c r="AO25" s="741"/>
      <c r="AP25" s="712" t="s">
        <v>2</v>
      </c>
      <c r="AQ25" s="718" t="s">
        <v>2</v>
      </c>
      <c r="AR25" s="741"/>
    </row>
    <row r="26" spans="2:47" ht="15" thickTop="1" thickBot="1" x14ac:dyDescent="0.2">
      <c r="B26" s="499">
        <v>7300</v>
      </c>
      <c r="C26" s="500" t="s">
        <v>261</v>
      </c>
      <c r="D26" s="214"/>
      <c r="E26" s="719">
        <f>SUM(E13:E25)</f>
        <v>1915.2575000000002</v>
      </c>
      <c r="F26" s="720">
        <f>SUM(F13:F24)</f>
        <v>0.05</v>
      </c>
      <c r="G26" s="214"/>
      <c r="H26" s="721">
        <f>SUM(H13:H25)</f>
        <v>1556.9190000000001</v>
      </c>
      <c r="I26" s="720">
        <f>SUM(I13:I24)</f>
        <v>0.05</v>
      </c>
      <c r="J26" s="214"/>
      <c r="K26" s="719">
        <f>SUM(K13:K25)</f>
        <v>1915.2575000000002</v>
      </c>
      <c r="L26" s="720">
        <f>SUM(L13:L24)</f>
        <v>0.05</v>
      </c>
      <c r="M26" s="214"/>
      <c r="N26" s="719">
        <f>SUM(N13:N25)</f>
        <v>2038.8225000000002</v>
      </c>
      <c r="O26" s="720">
        <f>SUM(O13:O24)</f>
        <v>0.05</v>
      </c>
      <c r="P26" s="214"/>
      <c r="Q26" s="719">
        <f>SUM(Q13:Q25)</f>
        <v>2298.3090000000007</v>
      </c>
      <c r="R26" s="720">
        <f>SUM(R13:R24)</f>
        <v>0.05</v>
      </c>
      <c r="S26" s="214"/>
      <c r="T26" s="719">
        <f>SUM(T13:T25)</f>
        <v>2780.2125000000005</v>
      </c>
      <c r="U26" s="720">
        <f>SUM(U13:U24)</f>
        <v>0.05</v>
      </c>
      <c r="V26" s="214"/>
      <c r="W26" s="719">
        <f>SUM(W13:W25)</f>
        <v>3830.5150000000003</v>
      </c>
      <c r="X26" s="720">
        <f>SUM(X13:X24)</f>
        <v>0.05</v>
      </c>
      <c r="Y26" s="214"/>
      <c r="Z26" s="719">
        <f>SUM(Z13:Z25)</f>
        <v>3447.4635000000003</v>
      </c>
      <c r="AA26" s="720">
        <f>SUM(AA13:AA24)</f>
        <v>0.05</v>
      </c>
      <c r="AB26" s="214"/>
      <c r="AC26" s="719">
        <f>SUM(AC13:AC25)</f>
        <v>2224.17</v>
      </c>
      <c r="AD26" s="720">
        <f>SUM(AD13:AD24)</f>
        <v>0.05</v>
      </c>
      <c r="AE26" s="214"/>
      <c r="AF26" s="719">
        <f>SUM(AF13:AF25)</f>
        <v>2106.78325</v>
      </c>
      <c r="AG26" s="720">
        <f>SUM(AG13:AG24)</f>
        <v>4.9999999999999996E-2</v>
      </c>
      <c r="AH26" s="214"/>
      <c r="AI26" s="719">
        <f>SUM(AI13:AI25)</f>
        <v>1853.4750000000001</v>
      </c>
      <c r="AJ26" s="720">
        <f>SUM(AJ13:AJ24)</f>
        <v>0.05</v>
      </c>
      <c r="AK26" s="214"/>
      <c r="AL26" s="719">
        <f>SUM(AL13:AL25)</f>
        <v>2298.3090000000007</v>
      </c>
      <c r="AM26" s="720">
        <f>SUM(AM13:AM24)</f>
        <v>0.05</v>
      </c>
      <c r="AN26" s="214"/>
      <c r="AO26" s="214"/>
      <c r="AP26" s="719">
        <f>SUM(AP13:AP25)</f>
        <v>28265.493750000001</v>
      </c>
      <c r="AQ26" s="720">
        <f>SUM(AQ13:AQ24)</f>
        <v>0.05</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722"/>
    </row>
  </sheetData>
  <sheetProtection algorithmName="SHA-512" hashValue="MdDVNX/Uwv5bAje7NtTq7pQlvDIef3IeWQrGHcR97xHtSIsY+LfIjGf7MnZF+UBLCt5m9d/7ngbHVh3hOhQH7w==" saltValue="YHlmNA+GA+IV73Rsq+4Ew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Calendrier 2021</vt:lpstr>
      <vt:lpstr>Achalandage 2021</vt:lpstr>
      <vt:lpstr>% Occupation</vt:lpstr>
      <vt:lpstr>Formule pour le calcul D</vt:lpstr>
      <vt:lpstr>État des Résultats</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 Total des coûts de MO'!Zone_d_impression</vt:lpstr>
      <vt:lpstr>'Administration &amp; Frais généraux'!Zone_d_impression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2021-03-03T19:09:52Z</dcterms:modified>
</cp:coreProperties>
</file>