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codeName="ThisWorkbook" defaultThemeVersion="166925"/>
  <mc:AlternateContent xmlns:mc="http://schemas.openxmlformats.org/markup-compatibility/2006">
    <mc:Choice Requires="x15">
      <x15ac:absPath xmlns:x15ac="http://schemas.microsoft.com/office/spreadsheetml/2010/11/ac" url="/Users/christianlatour/Library/Mobile Documents/com~apple~CloudDocs/COURS MÉRICI/Hiver 2022/Finance gaganante (430-853-ME)/Projet intégrateur (projet de développement)/"/>
    </mc:Choice>
  </mc:AlternateContent>
  <xr:revisionPtr revIDLastSave="0" documentId="8_{6C5B943D-532E-E449-A304-2779314C2F3D}" xr6:coauthVersionLast="47" xr6:coauthVersionMax="47" xr10:uidLastSave="{00000000-0000-0000-0000-000000000000}"/>
  <bookViews>
    <workbookView xWindow="0" yWindow="500" windowWidth="51200" windowHeight="23560" xr2:uid="{C9E6D259-BE3E-B64B-A299-46EBEF31DF44}"/>
  </bookViews>
  <sheets>
    <sheet name="Calendrier 2023" sheetId="8" r:id="rId1"/>
    <sheet name="Achalandage journalier" sheetId="1" r:id="rId2"/>
    <sheet name="% Occupation" sheetId="2" r:id="rId3"/>
    <sheet name="Calcul CmO et PmO" sheetId="4" r:id="rId4"/>
    <sheet name="Calcul CmO, PmO, Etc." sheetId="6" r:id="rId5"/>
    <sheet name="Formule pour le calcul D" sheetId="3" r:id="rId6"/>
    <sheet name="État des Résultats" sheetId="5" r:id="rId7"/>
    <sheet name="Bilan début-fin" sheetId="20" r:id="rId8"/>
    <sheet name="Tableau de trésorerie" sheetId="21" r:id="rId9"/>
    <sheet name=" Total des coûts de MO" sheetId="19" r:id="rId10"/>
    <sheet name="Salaire (planification)" sheetId="18" r:id="rId11"/>
    <sheet name="Coût marchandises vendues" sheetId="17" r:id="rId12"/>
    <sheet name="Coût d'occupation " sheetId="9" r:id="rId13"/>
    <sheet name="Coût direct d'exploitation " sheetId="10" r:id="rId14"/>
    <sheet name="Musique &amp; Divertissement" sheetId="11" r:id="rId15"/>
    <sheet name="Mark &amp; Communication marketing" sheetId="7" r:id="rId16"/>
    <sheet name="Services publics" sheetId="12" r:id="rId17"/>
    <sheet name="Administration &amp; Frais généraux" sheetId="13" r:id="rId18"/>
    <sheet name="Entretien &amp; Réparation" sheetId="14" r:id="rId19"/>
    <sheet name="Frais financier" sheetId="15" r:id="rId20"/>
    <sheet name="Amortissement" sheetId="16" r:id="rId21"/>
  </sheets>
  <externalReferences>
    <externalReference r:id="rId22"/>
  </externalReferences>
  <definedNames>
    <definedName name="image1" localSheetId="9">#REF!</definedName>
    <definedName name="image1" localSheetId="2">#REF!</definedName>
    <definedName name="image1" localSheetId="1">#REF!</definedName>
    <definedName name="image1" localSheetId="17">#REF!</definedName>
    <definedName name="image1" localSheetId="20">#REF!</definedName>
    <definedName name="image1" localSheetId="7">#REF!</definedName>
    <definedName name="image1" localSheetId="3">#REF!</definedName>
    <definedName name="image1" localSheetId="4">#REF!</definedName>
    <definedName name="image1" localSheetId="0">#REF!</definedName>
    <definedName name="image1" localSheetId="12">#REF!</definedName>
    <definedName name="image1" localSheetId="13">#REF!</definedName>
    <definedName name="image1" localSheetId="11">#REF!</definedName>
    <definedName name="image1" localSheetId="18">#REF!</definedName>
    <definedName name="image1" localSheetId="6">#REF!</definedName>
    <definedName name="image1" localSheetId="5">#REF!</definedName>
    <definedName name="image1" localSheetId="19">#REF!</definedName>
    <definedName name="image1" localSheetId="15">#REF!</definedName>
    <definedName name="image1" localSheetId="14">#REF!</definedName>
    <definedName name="image1" localSheetId="10">#REF!</definedName>
    <definedName name="image1" localSheetId="16">#REF!</definedName>
    <definedName name="image1" localSheetId="8">#REF!</definedName>
    <definedName name="image1">#REF!</definedName>
    <definedName name="image2" localSheetId="9">#REF!</definedName>
    <definedName name="image2" localSheetId="2">#REF!</definedName>
    <definedName name="image2" localSheetId="17">#REF!</definedName>
    <definedName name="image2" localSheetId="20">#REF!</definedName>
    <definedName name="image2" localSheetId="7">#REF!</definedName>
    <definedName name="image2" localSheetId="3">#REF!</definedName>
    <definedName name="image2" localSheetId="0">#REF!</definedName>
    <definedName name="image2" localSheetId="12">#REF!</definedName>
    <definedName name="image2" localSheetId="13">#REF!</definedName>
    <definedName name="image2" localSheetId="11">#REF!</definedName>
    <definedName name="image2" localSheetId="18">#REF!</definedName>
    <definedName name="image2" localSheetId="6">#REF!</definedName>
    <definedName name="image2" localSheetId="5">#REF!</definedName>
    <definedName name="image2" localSheetId="19">#REF!</definedName>
    <definedName name="image2" localSheetId="15">#REF!</definedName>
    <definedName name="image2" localSheetId="14">#REF!</definedName>
    <definedName name="image2" localSheetId="10">#REF!</definedName>
    <definedName name="image2" localSheetId="16">#REF!</definedName>
    <definedName name="image2" localSheetId="8">#REF!</definedName>
    <definedName name="image2">#REF!</definedName>
    <definedName name="_xlnm.Print_Area" localSheetId="9">' Total des coûts de MO'!$B$2:$AP$38</definedName>
    <definedName name="_xlnm.Print_Area" localSheetId="17">'Administration &amp; Frais généraux'!$B$2:$AP$29</definedName>
    <definedName name="_xlnm.Print_Area" localSheetId="20">Amortissement!$B$2:$AP$24</definedName>
    <definedName name="_xlnm.Print_Area" localSheetId="7">'Bilan début-fin'!$C$2:$AQ$64</definedName>
    <definedName name="_xlnm.Print_Area" localSheetId="12">'Coût d''occupation '!$B$2:$AQ$26</definedName>
    <definedName name="_xlnm.Print_Area" localSheetId="13">'Coût direct d''exploitation '!$B$2:$AP$34</definedName>
    <definedName name="_xlnm.Print_Area" localSheetId="11">'Coût marchandises vendues'!$C$2:$AS$37</definedName>
    <definedName name="_xlnm.Print_Area" localSheetId="18">'Entretien &amp; Réparation'!$B$2:$AP$31</definedName>
    <definedName name="_xlnm.Print_Area" localSheetId="6">'État des Résultats'!$C$2:$AS$45</definedName>
    <definedName name="_xlnm.Print_Area" localSheetId="19">'Frais financier'!$B$2:$AP$24</definedName>
    <definedName name="_xlnm.Print_Area" localSheetId="15">'Mark &amp; Communication marketing'!$B$2:$AQ$25</definedName>
    <definedName name="_xlnm.Print_Area" localSheetId="14">'Musique &amp; Divertissement'!$B$2:$AP$24</definedName>
    <definedName name="_xlnm.Print_Area" localSheetId="10">'Salaire (planification)'!$B$2:$AP$69</definedName>
    <definedName name="_xlnm.Print_Area" localSheetId="16">'Services publics'!$B$2:$AP$23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3" i="16" l="1"/>
  <c r="AR38" i="5"/>
  <c r="AR28" i="5"/>
  <c r="AR29" i="5"/>
  <c r="AR30" i="5"/>
  <c r="AR31" i="5"/>
  <c r="AR32" i="5"/>
  <c r="AR33" i="5"/>
  <c r="AR27" i="5"/>
  <c r="AO13" i="15"/>
  <c r="AL13" i="15"/>
  <c r="AI13" i="15"/>
  <c r="AF13" i="15"/>
  <c r="AC13" i="15"/>
  <c r="Z13" i="15"/>
  <c r="W13" i="15"/>
  <c r="T13" i="15"/>
  <c r="Q13" i="15"/>
  <c r="N13" i="15"/>
  <c r="K13" i="15"/>
  <c r="H13" i="15"/>
  <c r="AO23" i="7"/>
  <c r="AL23" i="7"/>
  <c r="AI23" i="7"/>
  <c r="AF23" i="7"/>
  <c r="AC23" i="7"/>
  <c r="Z23" i="7"/>
  <c r="W23" i="7"/>
  <c r="T23" i="7"/>
  <c r="Q23" i="7"/>
  <c r="N23" i="7"/>
  <c r="K23" i="7"/>
  <c r="H23" i="7"/>
  <c r="AO24" i="9"/>
  <c r="AL24" i="9"/>
  <c r="AI24" i="9"/>
  <c r="AF24" i="9"/>
  <c r="AC24" i="9"/>
  <c r="Z24" i="9"/>
  <c r="W24" i="9"/>
  <c r="T24" i="9"/>
  <c r="Q24" i="9"/>
  <c r="N24" i="9"/>
  <c r="K24" i="9"/>
  <c r="H24" i="9"/>
  <c r="E24" i="9"/>
  <c r="L514" i="4"/>
  <c r="L471" i="4"/>
  <c r="L385" i="4"/>
  <c r="L342" i="4"/>
  <c r="L299" i="4"/>
  <c r="L256" i="4"/>
  <c r="L213" i="4"/>
  <c r="L127" i="4"/>
  <c r="L84" i="4"/>
  <c r="L557" i="4"/>
  <c r="L428" i="4"/>
  <c r="L170" i="4"/>
  <c r="E256" i="1" l="1"/>
  <c r="E247" i="1"/>
  <c r="E238" i="1"/>
  <c r="E229" i="1"/>
  <c r="E220" i="1"/>
  <c r="E211" i="1"/>
  <c r="E202" i="1"/>
  <c r="E192" i="1"/>
  <c r="E183" i="1"/>
  <c r="E174" i="1"/>
  <c r="E165" i="1"/>
  <c r="E156" i="1"/>
  <c r="E138" i="1"/>
  <c r="E128" i="1"/>
  <c r="E119" i="1"/>
  <c r="E110" i="1"/>
  <c r="E101" i="1"/>
  <c r="E92" i="1"/>
  <c r="E83" i="1"/>
  <c r="E74" i="1"/>
  <c r="E64" i="1"/>
  <c r="E55" i="1"/>
  <c r="E46" i="1"/>
  <c r="E37" i="1"/>
  <c r="E28" i="1"/>
  <c r="E19" i="1"/>
  <c r="E10" i="1"/>
  <c r="E147" i="1"/>
  <c r="AO14" i="15"/>
  <c r="AL14" i="15"/>
  <c r="AI14" i="15"/>
  <c r="AF14" i="15"/>
  <c r="AC14" i="15"/>
  <c r="Z14" i="15"/>
  <c r="W14" i="15"/>
  <c r="T14" i="15"/>
  <c r="Q14" i="15"/>
  <c r="N14" i="15"/>
  <c r="K14" i="15"/>
  <c r="H14" i="15"/>
  <c r="E14" i="15"/>
  <c r="E13" i="15"/>
  <c r="AO22" i="7"/>
  <c r="AO21" i="7"/>
  <c r="AO20" i="7"/>
  <c r="AO19" i="7"/>
  <c r="AO18" i="7"/>
  <c r="AO17" i="7"/>
  <c r="AO16" i="7"/>
  <c r="AO15" i="7"/>
  <c r="AO14" i="7"/>
  <c r="AO13" i="7"/>
  <c r="AL22" i="7"/>
  <c r="AL21" i="7"/>
  <c r="AL20" i="7"/>
  <c r="AL19" i="7"/>
  <c r="AL18" i="7"/>
  <c r="AL17" i="7"/>
  <c r="AL16" i="7"/>
  <c r="AL15" i="7"/>
  <c r="AL14" i="7"/>
  <c r="AL13" i="7"/>
  <c r="AI22" i="7"/>
  <c r="AI21" i="7"/>
  <c r="AI20" i="7"/>
  <c r="AI19" i="7"/>
  <c r="AI18" i="7"/>
  <c r="AI17" i="7"/>
  <c r="AI16" i="7"/>
  <c r="AI15" i="7"/>
  <c r="AI14" i="7"/>
  <c r="AI13" i="7"/>
  <c r="AF22" i="7"/>
  <c r="AF21" i="7"/>
  <c r="AF20" i="7"/>
  <c r="AF19" i="7"/>
  <c r="AF18" i="7"/>
  <c r="AF17" i="7"/>
  <c r="AF16" i="7"/>
  <c r="AF15" i="7"/>
  <c r="AF14" i="7"/>
  <c r="AF13" i="7"/>
  <c r="AC22" i="7"/>
  <c r="AC21" i="7"/>
  <c r="AC20" i="7"/>
  <c r="AC19" i="7"/>
  <c r="AC18" i="7"/>
  <c r="AC17" i="7"/>
  <c r="AC16" i="7"/>
  <c r="AC15" i="7"/>
  <c r="AC14" i="7"/>
  <c r="AC13" i="7"/>
  <c r="Z22" i="7"/>
  <c r="Z21" i="7"/>
  <c r="Z20" i="7"/>
  <c r="Z19" i="7"/>
  <c r="Z18" i="7"/>
  <c r="Z17" i="7"/>
  <c r="Z16" i="7"/>
  <c r="Z15" i="7"/>
  <c r="Z14" i="7"/>
  <c r="Z13" i="7"/>
  <c r="W22" i="7"/>
  <c r="W21" i="7"/>
  <c r="W20" i="7"/>
  <c r="W19" i="7"/>
  <c r="W18" i="7"/>
  <c r="W17" i="7"/>
  <c r="W16" i="7"/>
  <c r="W15" i="7"/>
  <c r="W14" i="7"/>
  <c r="W13" i="7"/>
  <c r="T22" i="7"/>
  <c r="T21" i="7"/>
  <c r="T20" i="7"/>
  <c r="T19" i="7"/>
  <c r="T18" i="7"/>
  <c r="T17" i="7"/>
  <c r="T16" i="7"/>
  <c r="T15" i="7"/>
  <c r="T14" i="7"/>
  <c r="T13" i="7"/>
  <c r="Q22" i="7"/>
  <c r="Q21" i="7"/>
  <c r="Q20" i="7"/>
  <c r="Q19" i="7"/>
  <c r="Q18" i="7"/>
  <c r="Q17" i="7"/>
  <c r="Q16" i="7"/>
  <c r="Q15" i="7"/>
  <c r="Q14" i="7"/>
  <c r="Q13" i="7"/>
  <c r="N22" i="7"/>
  <c r="N21" i="7"/>
  <c r="N20" i="7"/>
  <c r="N19" i="7"/>
  <c r="N18" i="7"/>
  <c r="N17" i="7"/>
  <c r="N16" i="7"/>
  <c r="N15" i="7"/>
  <c r="N14" i="7"/>
  <c r="N13" i="7"/>
  <c r="K22" i="7"/>
  <c r="K21" i="7"/>
  <c r="K20" i="7"/>
  <c r="K19" i="7"/>
  <c r="K18" i="7"/>
  <c r="K17" i="7"/>
  <c r="K16" i="7"/>
  <c r="K15" i="7"/>
  <c r="K14" i="7"/>
  <c r="K13" i="7"/>
  <c r="H22" i="7"/>
  <c r="H21" i="7"/>
  <c r="H20" i="7"/>
  <c r="H19" i="7"/>
  <c r="H18" i="7"/>
  <c r="H17" i="7"/>
  <c r="H16" i="7"/>
  <c r="H15" i="7"/>
  <c r="H14" i="7"/>
  <c r="H13" i="7"/>
  <c r="AO22" i="11"/>
  <c r="AO21" i="11"/>
  <c r="AO20" i="11"/>
  <c r="AO19" i="11"/>
  <c r="AO18" i="11"/>
  <c r="AO17" i="11"/>
  <c r="AO16" i="11"/>
  <c r="AO15" i="11"/>
  <c r="AO14" i="11"/>
  <c r="AO13" i="11"/>
  <c r="AL22" i="11"/>
  <c r="AL21" i="11"/>
  <c r="AL20" i="11"/>
  <c r="AL19" i="11"/>
  <c r="AL18" i="11"/>
  <c r="AL17" i="11"/>
  <c r="AL16" i="11"/>
  <c r="AL15" i="11"/>
  <c r="AL14" i="11"/>
  <c r="AL13" i="11"/>
  <c r="AI22" i="11"/>
  <c r="AI21" i="11"/>
  <c r="AI20" i="11"/>
  <c r="AI19" i="11"/>
  <c r="AI18" i="11"/>
  <c r="AI17" i="11"/>
  <c r="AI16" i="11"/>
  <c r="AI15" i="11"/>
  <c r="AI14" i="11"/>
  <c r="AI13" i="11"/>
  <c r="AF22" i="11"/>
  <c r="AF21" i="11"/>
  <c r="AF20" i="11"/>
  <c r="AF19" i="11"/>
  <c r="AF18" i="11"/>
  <c r="AF17" i="11"/>
  <c r="AF16" i="11"/>
  <c r="AF15" i="11"/>
  <c r="AF14" i="11"/>
  <c r="AF13" i="11"/>
  <c r="AC22" i="11"/>
  <c r="AC21" i="11"/>
  <c r="AC20" i="11"/>
  <c r="AC19" i="11"/>
  <c r="AC18" i="11"/>
  <c r="AC17" i="11"/>
  <c r="AC16" i="11"/>
  <c r="AC15" i="11"/>
  <c r="AC14" i="11"/>
  <c r="AC13" i="11"/>
  <c r="Z22" i="11"/>
  <c r="Z21" i="11"/>
  <c r="Z20" i="11"/>
  <c r="Z19" i="11"/>
  <c r="Z18" i="11"/>
  <c r="Z17" i="11"/>
  <c r="Z16" i="11"/>
  <c r="Z15" i="11"/>
  <c r="Z14" i="11"/>
  <c r="Z13" i="11"/>
  <c r="W22" i="11"/>
  <c r="W21" i="11"/>
  <c r="W20" i="11"/>
  <c r="W19" i="11"/>
  <c r="W18" i="11"/>
  <c r="W17" i="11"/>
  <c r="W16" i="11"/>
  <c r="W15" i="11"/>
  <c r="W14" i="11"/>
  <c r="W13" i="11"/>
  <c r="T22" i="11"/>
  <c r="T21" i="11"/>
  <c r="T20" i="11"/>
  <c r="T19" i="11"/>
  <c r="T18" i="11"/>
  <c r="T17" i="11"/>
  <c r="T16" i="11"/>
  <c r="T15" i="11"/>
  <c r="T14" i="11"/>
  <c r="T13" i="11"/>
  <c r="Q22" i="11"/>
  <c r="Q21" i="11"/>
  <c r="Q20" i="11"/>
  <c r="Q19" i="11"/>
  <c r="Q18" i="11"/>
  <c r="Q17" i="11"/>
  <c r="Q16" i="11"/>
  <c r="Q15" i="11"/>
  <c r="Q14" i="11"/>
  <c r="Q13" i="11"/>
  <c r="N22" i="11"/>
  <c r="N21" i="11"/>
  <c r="N20" i="11"/>
  <c r="N19" i="11"/>
  <c r="N18" i="11"/>
  <c r="N17" i="11"/>
  <c r="N16" i="11"/>
  <c r="N15" i="11"/>
  <c r="N14" i="11"/>
  <c r="N13" i="11"/>
  <c r="K22" i="11"/>
  <c r="K21" i="11"/>
  <c r="K20" i="11"/>
  <c r="K19" i="11"/>
  <c r="K18" i="11"/>
  <c r="K17" i="11"/>
  <c r="K16" i="11"/>
  <c r="K15" i="11"/>
  <c r="K14" i="11"/>
  <c r="K13" i="11"/>
  <c r="H22" i="11"/>
  <c r="H21" i="11"/>
  <c r="H20" i="11"/>
  <c r="H19" i="11"/>
  <c r="H18" i="11"/>
  <c r="H17" i="11"/>
  <c r="H16" i="11"/>
  <c r="H15" i="11"/>
  <c r="H14" i="11"/>
  <c r="H13" i="11"/>
  <c r="AO32" i="10"/>
  <c r="AO31" i="10"/>
  <c r="AO30" i="10"/>
  <c r="AO29" i="10"/>
  <c r="AO28" i="10"/>
  <c r="AO27" i="10"/>
  <c r="AO26" i="10"/>
  <c r="AO25" i="10"/>
  <c r="AL32" i="10"/>
  <c r="AL31" i="10"/>
  <c r="AL30" i="10"/>
  <c r="AL29" i="10"/>
  <c r="AL28" i="10"/>
  <c r="AL27" i="10"/>
  <c r="AL26" i="10"/>
  <c r="AL25" i="10"/>
  <c r="AI32" i="10"/>
  <c r="AI31" i="10"/>
  <c r="AI30" i="10"/>
  <c r="AI29" i="10"/>
  <c r="AI28" i="10"/>
  <c r="AI27" i="10"/>
  <c r="AI26" i="10"/>
  <c r="AI25" i="10"/>
  <c r="AF32" i="10"/>
  <c r="AF31" i="10"/>
  <c r="AF30" i="10"/>
  <c r="AF29" i="10"/>
  <c r="AF28" i="10"/>
  <c r="AF27" i="10"/>
  <c r="AF26" i="10"/>
  <c r="AF25" i="10"/>
  <c r="AC32" i="10"/>
  <c r="AC31" i="10"/>
  <c r="AC30" i="10"/>
  <c r="AC29" i="10"/>
  <c r="AC28" i="10"/>
  <c r="AC27" i="10"/>
  <c r="AC26" i="10"/>
  <c r="AC25" i="10"/>
  <c r="Z32" i="10"/>
  <c r="Z31" i="10"/>
  <c r="Z30" i="10"/>
  <c r="Z29" i="10"/>
  <c r="Z28" i="10"/>
  <c r="Z27" i="10"/>
  <c r="Z26" i="10"/>
  <c r="Z25" i="10"/>
  <c r="W32" i="10"/>
  <c r="W31" i="10"/>
  <c r="W30" i="10"/>
  <c r="W29" i="10"/>
  <c r="W28" i="10"/>
  <c r="W27" i="10"/>
  <c r="W26" i="10"/>
  <c r="W25" i="10"/>
  <c r="T32" i="10"/>
  <c r="T31" i="10"/>
  <c r="T30" i="10"/>
  <c r="T29" i="10"/>
  <c r="T28" i="10"/>
  <c r="T27" i="10"/>
  <c r="T26" i="10"/>
  <c r="T25" i="10"/>
  <c r="Q32" i="10"/>
  <c r="Q31" i="10"/>
  <c r="Q30" i="10"/>
  <c r="Q29" i="10"/>
  <c r="Q28" i="10"/>
  <c r="Q27" i="10"/>
  <c r="Q26" i="10"/>
  <c r="Q25" i="10"/>
  <c r="N32" i="10"/>
  <c r="N31" i="10"/>
  <c r="N30" i="10"/>
  <c r="N29" i="10"/>
  <c r="N28" i="10"/>
  <c r="N27" i="10"/>
  <c r="N26" i="10"/>
  <c r="N25" i="10"/>
  <c r="K32" i="10"/>
  <c r="K31" i="10"/>
  <c r="K30" i="10"/>
  <c r="K29" i="10"/>
  <c r="K28" i="10"/>
  <c r="K27" i="10"/>
  <c r="K26" i="10"/>
  <c r="K25" i="10"/>
  <c r="H32" i="10"/>
  <c r="H31" i="10"/>
  <c r="H30" i="10"/>
  <c r="H29" i="10"/>
  <c r="H28" i="10"/>
  <c r="H27" i="10"/>
  <c r="H26" i="10"/>
  <c r="H25" i="10"/>
  <c r="AO20" i="10"/>
  <c r="AO19" i="10"/>
  <c r="AO18" i="10"/>
  <c r="AO17" i="10"/>
  <c r="AO16" i="10"/>
  <c r="AO15" i="10"/>
  <c r="AO14" i="10"/>
  <c r="AL20" i="10"/>
  <c r="AL19" i="10"/>
  <c r="AL18" i="10"/>
  <c r="AL17" i="10"/>
  <c r="AL16" i="10"/>
  <c r="AL15" i="10"/>
  <c r="AL14" i="10"/>
  <c r="AI20" i="10"/>
  <c r="AI19" i="10"/>
  <c r="AI18" i="10"/>
  <c r="AI17" i="10"/>
  <c r="AI16" i="10"/>
  <c r="AI15" i="10"/>
  <c r="AI14" i="10"/>
  <c r="AF20" i="10"/>
  <c r="AF19" i="10"/>
  <c r="AF18" i="10"/>
  <c r="AF17" i="10"/>
  <c r="AF16" i="10"/>
  <c r="AF15" i="10"/>
  <c r="AF14" i="10"/>
  <c r="AC20" i="10"/>
  <c r="AC19" i="10"/>
  <c r="AC18" i="10"/>
  <c r="AC17" i="10"/>
  <c r="AC16" i="10"/>
  <c r="AC15" i="10"/>
  <c r="AC14" i="10"/>
  <c r="Z20" i="10"/>
  <c r="Z19" i="10"/>
  <c r="Z18" i="10"/>
  <c r="Z17" i="10"/>
  <c r="Z16" i="10"/>
  <c r="Z15" i="10"/>
  <c r="Z14" i="10"/>
  <c r="W20" i="10"/>
  <c r="W19" i="10"/>
  <c r="W18" i="10"/>
  <c r="W17" i="10"/>
  <c r="W16" i="10"/>
  <c r="W15" i="10"/>
  <c r="W14" i="10"/>
  <c r="T20" i="10"/>
  <c r="T19" i="10"/>
  <c r="T18" i="10"/>
  <c r="T17" i="10"/>
  <c r="T16" i="10"/>
  <c r="T15" i="10"/>
  <c r="T14" i="10"/>
  <c r="Q20" i="10"/>
  <c r="Q19" i="10"/>
  <c r="Q18" i="10"/>
  <c r="Q17" i="10"/>
  <c r="Q16" i="10"/>
  <c r="Q15" i="10"/>
  <c r="Q14" i="10"/>
  <c r="N20" i="10"/>
  <c r="N19" i="10"/>
  <c r="N18" i="10"/>
  <c r="N17" i="10"/>
  <c r="N16" i="10"/>
  <c r="N15" i="10"/>
  <c r="N14" i="10"/>
  <c r="K20" i="10"/>
  <c r="K19" i="10"/>
  <c r="K18" i="10"/>
  <c r="K17" i="10"/>
  <c r="K16" i="10"/>
  <c r="K15" i="10"/>
  <c r="K14" i="10"/>
  <c r="H20" i="10"/>
  <c r="H19" i="10"/>
  <c r="H18" i="10"/>
  <c r="H17" i="10"/>
  <c r="H16" i="10"/>
  <c r="H15" i="10"/>
  <c r="H14" i="10"/>
  <c r="Q24" i="10"/>
  <c r="Q23" i="10"/>
  <c r="Q22" i="10"/>
  <c r="Q21" i="10"/>
  <c r="N24" i="10"/>
  <c r="N23" i="10"/>
  <c r="N22" i="10"/>
  <c r="N21" i="10"/>
  <c r="K24" i="10"/>
  <c r="K23" i="10"/>
  <c r="K22" i="10"/>
  <c r="K21" i="10"/>
  <c r="T24" i="10"/>
  <c r="W24" i="10" s="1"/>
  <c r="Z24" i="10" s="1"/>
  <c r="AC24" i="10" s="1"/>
  <c r="AF24" i="10" s="1"/>
  <c r="AI24" i="10" s="1"/>
  <c r="AL24" i="10" s="1"/>
  <c r="AO24" i="10" s="1"/>
  <c r="T23" i="10"/>
  <c r="W23" i="10" s="1"/>
  <c r="Z23" i="10" s="1"/>
  <c r="AC23" i="10" s="1"/>
  <c r="AF23" i="10" s="1"/>
  <c r="AI23" i="10" s="1"/>
  <c r="AL23" i="10" s="1"/>
  <c r="AO23" i="10" s="1"/>
  <c r="T22" i="10"/>
  <c r="W22" i="10" s="1"/>
  <c r="Z22" i="10" s="1"/>
  <c r="AC22" i="10" s="1"/>
  <c r="AF22" i="10" s="1"/>
  <c r="AI22" i="10" s="1"/>
  <c r="AL22" i="10" s="1"/>
  <c r="AO22" i="10" s="1"/>
  <c r="T21" i="10"/>
  <c r="W21" i="10" s="1"/>
  <c r="Z21" i="10" s="1"/>
  <c r="AC21" i="10" s="1"/>
  <c r="AF21" i="10" s="1"/>
  <c r="AI21" i="10" s="1"/>
  <c r="AL21" i="10" s="1"/>
  <c r="AO21" i="10" s="1"/>
  <c r="H24" i="10"/>
  <c r="H23" i="10"/>
  <c r="H22" i="10"/>
  <c r="H21" i="10"/>
  <c r="AO23" i="9"/>
  <c r="AO22" i="9"/>
  <c r="AO21" i="9"/>
  <c r="AO20" i="9"/>
  <c r="AO19" i="9"/>
  <c r="AO18" i="9"/>
  <c r="AO17" i="9"/>
  <c r="AO16" i="9"/>
  <c r="AO15" i="9"/>
  <c r="AL23" i="9"/>
  <c r="AL22" i="9"/>
  <c r="AL21" i="9"/>
  <c r="AL20" i="9"/>
  <c r="AL19" i="9"/>
  <c r="AL18" i="9"/>
  <c r="AL17" i="9"/>
  <c r="AL16" i="9"/>
  <c r="AL15" i="9"/>
  <c r="AI23" i="9"/>
  <c r="AI22" i="9"/>
  <c r="AI21" i="9"/>
  <c r="AI20" i="9"/>
  <c r="AI19" i="9"/>
  <c r="AI18" i="9"/>
  <c r="AI17" i="9"/>
  <c r="AI16" i="9"/>
  <c r="AI15" i="9"/>
  <c r="AF23" i="9"/>
  <c r="AF22" i="9"/>
  <c r="AF21" i="9"/>
  <c r="AF20" i="9"/>
  <c r="AF19" i="9"/>
  <c r="AF18" i="9"/>
  <c r="AF17" i="9"/>
  <c r="AF16" i="9"/>
  <c r="AF15" i="9"/>
  <c r="AC23" i="9"/>
  <c r="AC22" i="9"/>
  <c r="AC21" i="9"/>
  <c r="AC20" i="9"/>
  <c r="AC19" i="9"/>
  <c r="AC18" i="9"/>
  <c r="AC17" i="9"/>
  <c r="AC16" i="9"/>
  <c r="AC15" i="9"/>
  <c r="Z23" i="9"/>
  <c r="Z22" i="9"/>
  <c r="Z21" i="9"/>
  <c r="Z20" i="9"/>
  <c r="Z19" i="9"/>
  <c r="Z18" i="9"/>
  <c r="Z17" i="9"/>
  <c r="Z16" i="9"/>
  <c r="Z15" i="9"/>
  <c r="W23" i="9"/>
  <c r="W22" i="9"/>
  <c r="W21" i="9"/>
  <c r="W20" i="9"/>
  <c r="W19" i="9"/>
  <c r="W18" i="9"/>
  <c r="W17" i="9"/>
  <c r="W16" i="9"/>
  <c r="W15" i="9"/>
  <c r="T23" i="9"/>
  <c r="T22" i="9"/>
  <c r="T21" i="9"/>
  <c r="T20" i="9"/>
  <c r="T19" i="9"/>
  <c r="T18" i="9"/>
  <c r="T17" i="9"/>
  <c r="T16" i="9"/>
  <c r="T15" i="9"/>
  <c r="Q23" i="9"/>
  <c r="Q22" i="9"/>
  <c r="Q21" i="9"/>
  <c r="Q20" i="9"/>
  <c r="Q19" i="9"/>
  <c r="Q18" i="9"/>
  <c r="Q17" i="9"/>
  <c r="Q16" i="9"/>
  <c r="Q15" i="9"/>
  <c r="N23" i="9"/>
  <c r="N22" i="9"/>
  <c r="N21" i="9"/>
  <c r="N20" i="9"/>
  <c r="N19" i="9"/>
  <c r="N18" i="9"/>
  <c r="N17" i="9"/>
  <c r="N16" i="9"/>
  <c r="N15" i="9"/>
  <c r="K23" i="9"/>
  <c r="K22" i="9"/>
  <c r="K21" i="9"/>
  <c r="K20" i="9"/>
  <c r="K19" i="9"/>
  <c r="K18" i="9"/>
  <c r="K17" i="9"/>
  <c r="K16" i="9"/>
  <c r="K15" i="9"/>
  <c r="H23" i="9"/>
  <c r="H22" i="9"/>
  <c r="H21" i="9"/>
  <c r="H20" i="9"/>
  <c r="H19" i="9"/>
  <c r="H18" i="9"/>
  <c r="H17" i="9"/>
  <c r="H16" i="9"/>
  <c r="H15" i="9"/>
  <c r="E13" i="9"/>
  <c r="AO13" i="9"/>
  <c r="AL13" i="9"/>
  <c r="AI13" i="9"/>
  <c r="AF13" i="9"/>
  <c r="AC13" i="9"/>
  <c r="Z13" i="9"/>
  <c r="W13" i="9"/>
  <c r="T13" i="9"/>
  <c r="Q13" i="9"/>
  <c r="N13" i="9"/>
  <c r="K13" i="9"/>
  <c r="H13" i="9"/>
  <c r="AO54" i="18"/>
  <c r="AL54" i="18"/>
  <c r="AI54" i="18"/>
  <c r="AF54" i="18"/>
  <c r="AC54" i="18"/>
  <c r="Z54" i="18"/>
  <c r="W54" i="18"/>
  <c r="T54" i="18"/>
  <c r="Q54" i="18"/>
  <c r="N54" i="18"/>
  <c r="K54" i="18"/>
  <c r="H54" i="18"/>
  <c r="AO48" i="18"/>
  <c r="AL48" i="18"/>
  <c r="AI48" i="18"/>
  <c r="AF48" i="18"/>
  <c r="AC48" i="18"/>
  <c r="Z48" i="18"/>
  <c r="W48" i="18"/>
  <c r="T48" i="18"/>
  <c r="Q48" i="18"/>
  <c r="N48" i="18"/>
  <c r="K48" i="18"/>
  <c r="H48" i="18"/>
  <c r="AO42" i="18"/>
  <c r="AL42" i="18"/>
  <c r="AI42" i="18"/>
  <c r="AF42" i="18"/>
  <c r="AC42" i="18"/>
  <c r="Z42" i="18"/>
  <c r="W42" i="18"/>
  <c r="T42" i="18"/>
  <c r="Q42" i="18"/>
  <c r="N42" i="18"/>
  <c r="K42" i="18"/>
  <c r="H42" i="18"/>
  <c r="AO36" i="18"/>
  <c r="AL36" i="18"/>
  <c r="AI36" i="18"/>
  <c r="AF36" i="18"/>
  <c r="AC36" i="18"/>
  <c r="Z36" i="18"/>
  <c r="W36" i="18"/>
  <c r="T36" i="18"/>
  <c r="Q36" i="18"/>
  <c r="N36" i="18"/>
  <c r="K36" i="18"/>
  <c r="H36" i="18"/>
  <c r="AO30" i="18"/>
  <c r="AL30" i="18"/>
  <c r="AI30" i="18"/>
  <c r="AF30" i="18"/>
  <c r="AC30" i="18"/>
  <c r="Z30" i="18"/>
  <c r="W30" i="18"/>
  <c r="T30" i="18"/>
  <c r="Q30" i="18"/>
  <c r="N30" i="18"/>
  <c r="K30" i="18"/>
  <c r="H30" i="18"/>
  <c r="AO12" i="18"/>
  <c r="AL12" i="18"/>
  <c r="AI12" i="18"/>
  <c r="AF12" i="18"/>
  <c r="AC12" i="18"/>
  <c r="Z12" i="18"/>
  <c r="W12" i="18"/>
  <c r="T12" i="18"/>
  <c r="Q12" i="18"/>
  <c r="N12" i="18"/>
  <c r="K12" i="18"/>
  <c r="H12" i="18"/>
  <c r="J24" i="20"/>
  <c r="J47" i="20"/>
  <c r="E47" i="20"/>
  <c r="E41" i="20"/>
  <c r="AP13" i="17"/>
  <c r="AL15" i="17"/>
  <c r="AP11" i="17"/>
  <c r="AM13" i="17"/>
  <c r="AM12" i="17"/>
  <c r="AM11" i="17"/>
  <c r="AJ13" i="17"/>
  <c r="AJ12" i="17"/>
  <c r="AJ11" i="17"/>
  <c r="AG13" i="17"/>
  <c r="AG12" i="17"/>
  <c r="AG11" i="17"/>
  <c r="AD13" i="17"/>
  <c r="AD12" i="17"/>
  <c r="AD11" i="17"/>
  <c r="AA13" i="17"/>
  <c r="AA12" i="17"/>
  <c r="AA11" i="17"/>
  <c r="X13" i="17"/>
  <c r="X12" i="17"/>
  <c r="X11" i="17"/>
  <c r="U13" i="17"/>
  <c r="U12" i="17"/>
  <c r="U11" i="17"/>
  <c r="R13" i="17"/>
  <c r="R12" i="17"/>
  <c r="R11" i="17"/>
  <c r="O13" i="17"/>
  <c r="O12" i="17"/>
  <c r="O11" i="17"/>
  <c r="L13" i="17"/>
  <c r="L12" i="17"/>
  <c r="L11" i="17"/>
  <c r="I13" i="17"/>
  <c r="I12" i="17"/>
  <c r="I11" i="17"/>
  <c r="F13" i="17"/>
  <c r="F12" i="17"/>
  <c r="F11" i="17"/>
  <c r="H96" i="21"/>
  <c r="J108" i="21"/>
  <c r="I11" i="2" l="1"/>
  <c r="I237" i="1"/>
  <c r="H100" i="21"/>
  <c r="H98" i="21"/>
  <c r="H95" i="21"/>
  <c r="G100" i="21"/>
  <c r="G98" i="21"/>
  <c r="G96" i="21"/>
  <c r="G95" i="21"/>
  <c r="H86" i="21"/>
  <c r="H85" i="21"/>
  <c r="H83" i="21"/>
  <c r="G86" i="21"/>
  <c r="G85" i="21"/>
  <c r="G83" i="21"/>
  <c r="G82" i="21"/>
  <c r="H77" i="21"/>
  <c r="H76" i="21"/>
  <c r="G77" i="21"/>
  <c r="G76" i="21"/>
  <c r="G75" i="21"/>
  <c r="G74" i="21"/>
  <c r="H61" i="21"/>
  <c r="H60" i="21"/>
  <c r="H58" i="21"/>
  <c r="H57" i="21"/>
  <c r="G62" i="21"/>
  <c r="G61" i="21"/>
  <c r="G60" i="21"/>
  <c r="G59" i="21"/>
  <c r="G58" i="21"/>
  <c r="G57" i="21"/>
  <c r="H52" i="21"/>
  <c r="H50" i="21"/>
  <c r="G52" i="21"/>
  <c r="G51" i="21"/>
  <c r="G50" i="21"/>
  <c r="G102" i="21" l="1"/>
  <c r="I100" i="21"/>
  <c r="I98" i="21"/>
  <c r="I95" i="21"/>
  <c r="G87" i="21"/>
  <c r="I86" i="21"/>
  <c r="I85" i="21"/>
  <c r="I83" i="21"/>
  <c r="G78" i="21"/>
  <c r="I77" i="21"/>
  <c r="I76" i="21"/>
  <c r="I74" i="21"/>
  <c r="G63" i="21"/>
  <c r="I61" i="21"/>
  <c r="I60" i="21"/>
  <c r="I58" i="21"/>
  <c r="I57" i="21"/>
  <c r="G53" i="21"/>
  <c r="I52" i="21"/>
  <c r="I50" i="21"/>
  <c r="C2" i="20"/>
  <c r="J62" i="20"/>
  <c r="J61" i="20"/>
  <c r="J59" i="20"/>
  <c r="J50" i="20"/>
  <c r="J49" i="20"/>
  <c r="J48" i="20"/>
  <c r="H75" i="21" s="1"/>
  <c r="I75" i="21" s="1"/>
  <c r="H74" i="21"/>
  <c r="J41" i="20"/>
  <c r="H62" i="21" s="1"/>
  <c r="I62" i="21" s="1"/>
  <c r="J40" i="20"/>
  <c r="J39" i="20"/>
  <c r="J37" i="20"/>
  <c r="J36" i="20"/>
  <c r="J25" i="20"/>
  <c r="J26" i="20"/>
  <c r="H102" i="21"/>
  <c r="J17" i="20"/>
  <c r="J16" i="20"/>
  <c r="H51" i="21" s="1"/>
  <c r="I51" i="21" s="1"/>
  <c r="J15" i="20"/>
  <c r="J58" i="20"/>
  <c r="H82" i="21" s="1"/>
  <c r="H87" i="21" s="1"/>
  <c r="H68" i="20"/>
  <c r="H66" i="20"/>
  <c r="H64" i="20"/>
  <c r="E64" i="20"/>
  <c r="H62" i="20"/>
  <c r="H61" i="20"/>
  <c r="H60" i="20"/>
  <c r="H59" i="20"/>
  <c r="H58" i="20"/>
  <c r="H56" i="20"/>
  <c r="H54" i="20"/>
  <c r="H52" i="20"/>
  <c r="E52" i="20"/>
  <c r="E54" i="20" s="1"/>
  <c r="H50" i="20"/>
  <c r="H49" i="20"/>
  <c r="H48" i="20"/>
  <c r="H47" i="20"/>
  <c r="H45" i="20"/>
  <c r="H43" i="20"/>
  <c r="E43" i="20"/>
  <c r="H41" i="20"/>
  <c r="H40" i="20"/>
  <c r="H39" i="20"/>
  <c r="H38" i="20"/>
  <c r="H37" i="20"/>
  <c r="H36" i="20"/>
  <c r="H34" i="20"/>
  <c r="H32" i="20"/>
  <c r="H30" i="20"/>
  <c r="J28" i="20"/>
  <c r="H28" i="20"/>
  <c r="E28" i="20"/>
  <c r="H26" i="20"/>
  <c r="H25" i="20"/>
  <c r="H24" i="20"/>
  <c r="H23" i="20"/>
  <c r="H21" i="20"/>
  <c r="H19" i="20"/>
  <c r="E19" i="20"/>
  <c r="H17" i="20"/>
  <c r="H16" i="20"/>
  <c r="H15" i="20"/>
  <c r="H14" i="20"/>
  <c r="H12" i="20"/>
  <c r="H10" i="20"/>
  <c r="J8" i="20"/>
  <c r="H8" i="20"/>
  <c r="H7" i="20"/>
  <c r="J6" i="20"/>
  <c r="H6" i="20"/>
  <c r="H2" i="20"/>
  <c r="I82" i="21" l="1"/>
  <c r="J52" i="20"/>
  <c r="H78" i="21"/>
  <c r="I78" i="21" s="1"/>
  <c r="J89" i="21" s="1"/>
  <c r="H53" i="21"/>
  <c r="I53" i="21" s="1"/>
  <c r="I96" i="21"/>
  <c r="I102" i="21"/>
  <c r="I87" i="21"/>
  <c r="J104" i="21"/>
  <c r="E30" i="20"/>
  <c r="F47" i="20" s="1"/>
  <c r="F48" i="20"/>
  <c r="E66" i="20"/>
  <c r="F41" i="20" l="1"/>
  <c r="F37" i="20"/>
  <c r="F24" i="20"/>
  <c r="F28" i="20"/>
  <c r="F64" i="20"/>
  <c r="F30" i="20"/>
  <c r="F38" i="20"/>
  <c r="F6" i="20"/>
  <c r="F15" i="20"/>
  <c r="F50" i="20"/>
  <c r="F58" i="20"/>
  <c r="F36" i="20"/>
  <c r="F49" i="20"/>
  <c r="F16" i="20"/>
  <c r="F61" i="20"/>
  <c r="F23" i="20"/>
  <c r="F26" i="20"/>
  <c r="F14" i="20"/>
  <c r="C9" i="20"/>
  <c r="F19" i="20"/>
  <c r="F17" i="20"/>
  <c r="F39" i="20"/>
  <c r="F59" i="20"/>
  <c r="F54" i="20"/>
  <c r="F60" i="20"/>
  <c r="F25" i="20"/>
  <c r="F43" i="20"/>
  <c r="F62" i="20"/>
  <c r="F52" i="20"/>
  <c r="F40" i="20"/>
  <c r="E68" i="20"/>
  <c r="F68" i="20" s="1"/>
  <c r="F66" i="20"/>
  <c r="C11" i="12" l="1"/>
  <c r="C11" i="13"/>
  <c r="C11" i="14"/>
  <c r="AU45" i="5"/>
  <c r="AV45" i="5" s="1"/>
  <c r="AU23" i="5"/>
  <c r="AV23" i="5" s="1"/>
  <c r="AU39" i="5"/>
  <c r="AU38" i="5"/>
  <c r="AU34" i="5"/>
  <c r="AU25" i="5"/>
  <c r="AV25" i="5" s="1"/>
  <c r="AU21" i="5"/>
  <c r="AU16" i="5"/>
  <c r="AU36" i="5" l="1"/>
  <c r="AV36" i="5" l="1"/>
  <c r="AU41" i="5"/>
  <c r="AU43" i="5" l="1"/>
  <c r="AV43" i="5" s="1"/>
  <c r="AV41" i="5"/>
  <c r="C11" i="11" l="1"/>
  <c r="C11" i="7"/>
  <c r="C11" i="16"/>
  <c r="C11" i="15"/>
  <c r="C11" i="10"/>
  <c r="C11" i="9"/>
  <c r="AO21" i="19" l="1"/>
  <c r="AO20" i="19"/>
  <c r="AO19" i="19"/>
  <c r="AO18" i="19"/>
  <c r="AO17" i="19"/>
  <c r="AO16" i="19"/>
  <c r="AO13" i="19"/>
  <c r="AL21" i="19"/>
  <c r="AL20" i="19"/>
  <c r="AL19" i="19"/>
  <c r="AL18" i="19"/>
  <c r="AL17" i="19"/>
  <c r="AL16" i="19"/>
  <c r="AL13" i="19"/>
  <c r="AI21" i="19"/>
  <c r="AI20" i="19"/>
  <c r="AI19" i="19"/>
  <c r="AI18" i="19"/>
  <c r="AI17" i="19"/>
  <c r="AI16" i="19"/>
  <c r="AI13" i="19"/>
  <c r="AF21" i="19"/>
  <c r="AF20" i="19"/>
  <c r="AF19" i="19"/>
  <c r="AF18" i="19"/>
  <c r="AF17" i="19"/>
  <c r="AF16" i="19"/>
  <c r="AF13" i="19"/>
  <c r="AC21" i="19"/>
  <c r="AC20" i="19"/>
  <c r="AC19" i="19"/>
  <c r="AC18" i="19"/>
  <c r="AC17" i="19"/>
  <c r="AC16" i="19"/>
  <c r="AC13" i="19"/>
  <c r="Z21" i="19"/>
  <c r="Z20" i="19"/>
  <c r="Z19" i="19"/>
  <c r="Z18" i="19"/>
  <c r="Z17" i="19"/>
  <c r="Z16" i="19"/>
  <c r="Z13" i="19"/>
  <c r="W21" i="19"/>
  <c r="W20" i="19"/>
  <c r="W19" i="19"/>
  <c r="W18" i="19"/>
  <c r="W17" i="19"/>
  <c r="W16" i="19"/>
  <c r="W13" i="19"/>
  <c r="T21" i="19"/>
  <c r="T20" i="19"/>
  <c r="T19" i="19"/>
  <c r="T18" i="19"/>
  <c r="T17" i="19"/>
  <c r="T16" i="19"/>
  <c r="T13" i="19"/>
  <c r="Q21" i="19"/>
  <c r="Q20" i="19"/>
  <c r="Q19" i="19"/>
  <c r="Q18" i="19"/>
  <c r="Q17" i="19"/>
  <c r="Q16" i="19"/>
  <c r="Q13" i="19"/>
  <c r="N21" i="19"/>
  <c r="N20" i="19"/>
  <c r="N19" i="19"/>
  <c r="N18" i="19"/>
  <c r="N17" i="19"/>
  <c r="N16" i="19"/>
  <c r="N13" i="19"/>
  <c r="K21" i="19"/>
  <c r="K20" i="19"/>
  <c r="K19" i="19"/>
  <c r="K18" i="19"/>
  <c r="K17" i="19"/>
  <c r="K16" i="19"/>
  <c r="K13" i="19"/>
  <c r="H21" i="19"/>
  <c r="H20" i="19"/>
  <c r="H19" i="19"/>
  <c r="H18" i="19"/>
  <c r="H17" i="19"/>
  <c r="H16" i="19"/>
  <c r="H13" i="19"/>
  <c r="C14" i="17"/>
  <c r="C10" i="17"/>
  <c r="C62" i="18"/>
  <c r="B20" i="18"/>
  <c r="B14" i="18"/>
  <c r="B61" i="18"/>
  <c r="B55" i="18"/>
  <c r="B49" i="18"/>
  <c r="B43" i="18"/>
  <c r="B37" i="18"/>
  <c r="B31" i="18"/>
  <c r="B25" i="18"/>
  <c r="B19" i="18"/>
  <c r="B13" i="18"/>
  <c r="B66" i="18"/>
  <c r="B60" i="18"/>
  <c r="B54" i="18"/>
  <c r="B48" i="18"/>
  <c r="B42" i="18"/>
  <c r="B36" i="18"/>
  <c r="B30" i="18"/>
  <c r="B24" i="18"/>
  <c r="B18" i="18"/>
  <c r="B12" i="18"/>
  <c r="C66" i="18"/>
  <c r="C60" i="18"/>
  <c r="C54" i="18"/>
  <c r="C48" i="18"/>
  <c r="C42" i="18"/>
  <c r="C36" i="18"/>
  <c r="C30" i="18"/>
  <c r="C24" i="18"/>
  <c r="C18" i="18"/>
  <c r="C12" i="18"/>
  <c r="C68" i="18"/>
  <c r="C67" i="18"/>
  <c r="C61" i="18"/>
  <c r="C55" i="18"/>
  <c r="C49" i="18"/>
  <c r="C43" i="18"/>
  <c r="C37" i="18"/>
  <c r="C31" i="18"/>
  <c r="C25" i="18"/>
  <c r="C19" i="18"/>
  <c r="C13" i="18"/>
  <c r="C56" i="18"/>
  <c r="C50" i="18"/>
  <c r="C44" i="18"/>
  <c r="C38" i="18"/>
  <c r="C32" i="18"/>
  <c r="C26" i="18"/>
  <c r="C20" i="18"/>
  <c r="C14" i="18"/>
  <c r="C65" i="18"/>
  <c r="C59" i="18"/>
  <c r="C53" i="18"/>
  <c r="C47" i="18"/>
  <c r="C41" i="18"/>
  <c r="C35" i="18"/>
  <c r="C29" i="18"/>
  <c r="C23" i="18"/>
  <c r="C17" i="18"/>
  <c r="C11" i="18"/>
  <c r="AR9" i="19"/>
  <c r="AR8" i="19"/>
  <c r="F8" i="19"/>
  <c r="AR28" i="19"/>
  <c r="AR29" i="19"/>
  <c r="AR30" i="19"/>
  <c r="AR32" i="19"/>
  <c r="AR34" i="19"/>
  <c r="AR35" i="19"/>
  <c r="E21" i="19"/>
  <c r="E20" i="19"/>
  <c r="E19" i="19"/>
  <c r="E18" i="19"/>
  <c r="E17" i="19"/>
  <c r="E16" i="19"/>
  <c r="E13" i="19"/>
  <c r="AR6" i="19"/>
  <c r="E6" i="19"/>
  <c r="B6" i="19"/>
  <c r="B4" i="19"/>
  <c r="B3" i="19"/>
  <c r="B2" i="19"/>
  <c r="AR60" i="18"/>
  <c r="AR54" i="18"/>
  <c r="AR48" i="18"/>
  <c r="AR42" i="18"/>
  <c r="AR36" i="18"/>
  <c r="AR30" i="18"/>
  <c r="AO62" i="18"/>
  <c r="AO61" i="18"/>
  <c r="AO56" i="18"/>
  <c r="AO55" i="18"/>
  <c r="AO50" i="18"/>
  <c r="AO49" i="18"/>
  <c r="AO44" i="18"/>
  <c r="AO43" i="18"/>
  <c r="AO38" i="18"/>
  <c r="AO37" i="18"/>
  <c r="AO39" i="18" s="1"/>
  <c r="AO32" i="18"/>
  <c r="AO31" i="18"/>
  <c r="AO14" i="18"/>
  <c r="AO13" i="18"/>
  <c r="AL62" i="18"/>
  <c r="AL61" i="18"/>
  <c r="AL56" i="18"/>
  <c r="AL55" i="18"/>
  <c r="AL50" i="18"/>
  <c r="AL49" i="18"/>
  <c r="AL44" i="18"/>
  <c r="AL43" i="18"/>
  <c r="AL38" i="18"/>
  <c r="AL37" i="18"/>
  <c r="AL39" i="18" s="1"/>
  <c r="AL32" i="18"/>
  <c r="AL31" i="18"/>
  <c r="AL14" i="18"/>
  <c r="AL13" i="18"/>
  <c r="AI62" i="18"/>
  <c r="AI61" i="18"/>
  <c r="AI56" i="18"/>
  <c r="AI55" i="18"/>
  <c r="AI50" i="18"/>
  <c r="AI49" i="18"/>
  <c r="AI44" i="18"/>
  <c r="AI43" i="18"/>
  <c r="AI38" i="18"/>
  <c r="AI37" i="18"/>
  <c r="AI32" i="18"/>
  <c r="AI31" i="18"/>
  <c r="AI14" i="18"/>
  <c r="AI13" i="18"/>
  <c r="AF62" i="18"/>
  <c r="AF61" i="18"/>
  <c r="AF56" i="18"/>
  <c r="AF55" i="18"/>
  <c r="AF50" i="18"/>
  <c r="AF49" i="18"/>
  <c r="AF44" i="18"/>
  <c r="AF43" i="18"/>
  <c r="AF45" i="18" s="1"/>
  <c r="AF38" i="18"/>
  <c r="AF37" i="18"/>
  <c r="AF32" i="18"/>
  <c r="AF31" i="18"/>
  <c r="AF14" i="18"/>
  <c r="AF13" i="18"/>
  <c r="AC62" i="18"/>
  <c r="AC61" i="18"/>
  <c r="AC56" i="18"/>
  <c r="AC55" i="18"/>
  <c r="AC57" i="18" s="1"/>
  <c r="AC50" i="18"/>
  <c r="AC49" i="18"/>
  <c r="AC44" i="18"/>
  <c r="AC43" i="18"/>
  <c r="AC38" i="18"/>
  <c r="AC37" i="18"/>
  <c r="AC39" i="18" s="1"/>
  <c r="AC32" i="18"/>
  <c r="AC31" i="18"/>
  <c r="AC14" i="18"/>
  <c r="AC13" i="18"/>
  <c r="Z62" i="18"/>
  <c r="Z61" i="18"/>
  <c r="Z56" i="18"/>
  <c r="Z55" i="18"/>
  <c r="Z50" i="18"/>
  <c r="Z49" i="18"/>
  <c r="Z44" i="18"/>
  <c r="Z43" i="18"/>
  <c r="Z38" i="18"/>
  <c r="Z37" i="18"/>
  <c r="Z32" i="18"/>
  <c r="Z31" i="18"/>
  <c r="Z14" i="18"/>
  <c r="Z13" i="18"/>
  <c r="W62" i="18"/>
  <c r="W61" i="18"/>
  <c r="W56" i="18"/>
  <c r="W55" i="18"/>
  <c r="W50" i="18"/>
  <c r="W49" i="18"/>
  <c r="W44" i="18"/>
  <c r="W43" i="18"/>
  <c r="W45" i="18" s="1"/>
  <c r="W38" i="18"/>
  <c r="W37" i="18"/>
  <c r="W32" i="18"/>
  <c r="W31" i="18"/>
  <c r="W14" i="18"/>
  <c r="W13" i="18"/>
  <c r="T62" i="18"/>
  <c r="T61" i="18"/>
  <c r="T56" i="18"/>
  <c r="T55" i="18"/>
  <c r="T57" i="18" s="1"/>
  <c r="T50" i="18"/>
  <c r="T49" i="18"/>
  <c r="T44" i="18"/>
  <c r="T43" i="18"/>
  <c r="T38" i="18"/>
  <c r="T37" i="18"/>
  <c r="T39" i="18" s="1"/>
  <c r="T32" i="18"/>
  <c r="T31" i="18"/>
  <c r="T14" i="18"/>
  <c r="T13" i="18"/>
  <c r="Q62" i="18"/>
  <c r="Q61" i="18"/>
  <c r="Q56" i="18"/>
  <c r="Q55" i="18"/>
  <c r="Q50" i="18"/>
  <c r="Q49" i="18"/>
  <c r="Q44" i="18"/>
  <c r="Q43" i="18"/>
  <c r="Q38" i="18"/>
  <c r="Q37" i="18"/>
  <c r="Q32" i="18"/>
  <c r="Q31" i="18"/>
  <c r="Q14" i="18"/>
  <c r="Q13" i="18"/>
  <c r="N62" i="18"/>
  <c r="N61" i="18"/>
  <c r="N56" i="18"/>
  <c r="N55" i="18"/>
  <c r="N57" i="18" s="1"/>
  <c r="N50" i="18"/>
  <c r="N49" i="18"/>
  <c r="N51" i="18" s="1"/>
  <c r="N44" i="18"/>
  <c r="N43" i="18"/>
  <c r="N38" i="18"/>
  <c r="N37" i="18"/>
  <c r="N32" i="18"/>
  <c r="N31" i="18"/>
  <c r="N14" i="18"/>
  <c r="N13" i="18"/>
  <c r="K62" i="18"/>
  <c r="K61" i="18"/>
  <c r="K56" i="18"/>
  <c r="K55" i="18"/>
  <c r="K50" i="18"/>
  <c r="K49" i="18"/>
  <c r="K44" i="18"/>
  <c r="K43" i="18"/>
  <c r="K38" i="18"/>
  <c r="K37" i="18"/>
  <c r="K32" i="18"/>
  <c r="K31" i="18"/>
  <c r="K14" i="18"/>
  <c r="K13" i="18"/>
  <c r="H62" i="18"/>
  <c r="H61" i="18"/>
  <c r="H56" i="18"/>
  <c r="H55" i="18"/>
  <c r="H57" i="18" s="1"/>
  <c r="H50" i="18"/>
  <c r="H49" i="18"/>
  <c r="H51" i="18" s="1"/>
  <c r="H44" i="18"/>
  <c r="H43" i="18"/>
  <c r="H38" i="18"/>
  <c r="H37" i="18"/>
  <c r="H32" i="18"/>
  <c r="H31" i="18"/>
  <c r="H14" i="18"/>
  <c r="H13" i="18"/>
  <c r="AR12" i="18"/>
  <c r="AR9" i="18"/>
  <c r="AR8" i="18"/>
  <c r="E6" i="18"/>
  <c r="B6" i="18"/>
  <c r="B4" i="18"/>
  <c r="B3" i="18"/>
  <c r="B2" i="18"/>
  <c r="B38" i="19"/>
  <c r="I8" i="19"/>
  <c r="L8" i="19" s="1"/>
  <c r="O8" i="19" s="1"/>
  <c r="R8" i="19" s="1"/>
  <c r="U8" i="19" s="1"/>
  <c r="X8" i="19" s="1"/>
  <c r="AA8" i="19" s="1"/>
  <c r="AD8" i="19" s="1"/>
  <c r="AG8" i="19" s="1"/>
  <c r="AJ8" i="19" s="1"/>
  <c r="AM8" i="19" s="1"/>
  <c r="AP8" i="19" s="1"/>
  <c r="AS8" i="19" s="1"/>
  <c r="AX6" i="19"/>
  <c r="AV6" i="19"/>
  <c r="H6" i="19"/>
  <c r="K6" i="19" s="1"/>
  <c r="N6" i="19" s="1"/>
  <c r="Q6" i="19" s="1"/>
  <c r="T6" i="19" s="1"/>
  <c r="W6" i="19" s="1"/>
  <c r="Z6" i="19" s="1"/>
  <c r="AC6" i="19" s="1"/>
  <c r="AF6" i="19" s="1"/>
  <c r="AI6" i="19" s="1"/>
  <c r="AL6" i="19" s="1"/>
  <c r="AO6" i="19" s="1"/>
  <c r="BC4" i="19"/>
  <c r="BC6" i="19" s="1"/>
  <c r="BA4" i="19"/>
  <c r="BA6" i="19" s="1"/>
  <c r="AX4" i="19"/>
  <c r="AV4" i="19"/>
  <c r="E62" i="18"/>
  <c r="E61" i="18"/>
  <c r="E56" i="18"/>
  <c r="E55" i="18"/>
  <c r="E50" i="18"/>
  <c r="E49" i="18"/>
  <c r="E44" i="18"/>
  <c r="E43" i="18"/>
  <c r="E38" i="18"/>
  <c r="E37" i="18"/>
  <c r="E32" i="18"/>
  <c r="E31" i="18"/>
  <c r="E33" i="18" s="1"/>
  <c r="E14" i="18"/>
  <c r="B32" i="18"/>
  <c r="B38" i="18" s="1"/>
  <c r="B44" i="18" s="1"/>
  <c r="B50" i="18" s="1"/>
  <c r="B56" i="18" s="1"/>
  <c r="B62" i="18" s="1"/>
  <c r="B68" i="18" s="1"/>
  <c r="E13" i="18"/>
  <c r="B67" i="18"/>
  <c r="AX6" i="18"/>
  <c r="AV6" i="18"/>
  <c r="H6" i="18"/>
  <c r="K6" i="18" s="1"/>
  <c r="N6" i="18" s="1"/>
  <c r="Q6" i="18" s="1"/>
  <c r="T6" i="18" s="1"/>
  <c r="W6" i="18" s="1"/>
  <c r="Z6" i="18" s="1"/>
  <c r="AC6" i="18" s="1"/>
  <c r="AF6" i="18" s="1"/>
  <c r="AI6" i="18" s="1"/>
  <c r="AL6" i="18" s="1"/>
  <c r="AO6" i="18" s="1"/>
  <c r="AR6" i="18" s="1"/>
  <c r="BC4" i="18"/>
  <c r="BC6" i="18" s="1"/>
  <c r="BA4" i="18"/>
  <c r="BA6" i="18" s="1"/>
  <c r="AX4" i="18"/>
  <c r="AV4" i="18"/>
  <c r="AO57" i="18" l="1"/>
  <c r="AI57" i="18"/>
  <c r="K51" i="18"/>
  <c r="AI45" i="18"/>
  <c r="N33" i="18"/>
  <c r="Q45" i="18"/>
  <c r="N39" i="18"/>
  <c r="AF39" i="18"/>
  <c r="N63" i="18"/>
  <c r="AC51" i="18"/>
  <c r="AO33" i="18"/>
  <c r="K57" i="18"/>
  <c r="Q33" i="18"/>
  <c r="W57" i="18"/>
  <c r="AR32" i="18"/>
  <c r="K39" i="18"/>
  <c r="AR50" i="18"/>
  <c r="Q51" i="18"/>
  <c r="AR56" i="18"/>
  <c r="Z51" i="18"/>
  <c r="Q39" i="18"/>
  <c r="Q57" i="18"/>
  <c r="AO51" i="18"/>
  <c r="AR62" i="18"/>
  <c r="AI39" i="18"/>
  <c r="AR13" i="19"/>
  <c r="Z39" i="18"/>
  <c r="AF57" i="18"/>
  <c r="AR17" i="19"/>
  <c r="AR31" i="18"/>
  <c r="AR33" i="18" s="1"/>
  <c r="AR38" i="18"/>
  <c r="H39" i="18"/>
  <c r="N45" i="18"/>
  <c r="W33" i="18"/>
  <c r="K45" i="18"/>
  <c r="T51" i="18"/>
  <c r="AR44" i="18"/>
  <c r="H45" i="18"/>
  <c r="W39" i="18"/>
  <c r="AO45" i="18"/>
  <c r="AR21" i="19"/>
  <c r="AR16" i="19"/>
  <c r="AR18" i="19"/>
  <c r="AR20" i="19"/>
  <c r="AR19" i="19"/>
  <c r="AR49" i="18"/>
  <c r="AL51" i="18"/>
  <c r="AR55" i="18"/>
  <c r="AI51" i="18"/>
  <c r="AF51" i="18"/>
  <c r="AI33" i="18"/>
  <c r="H33" i="18"/>
  <c r="T63" i="18"/>
  <c r="AR37" i="18"/>
  <c r="AR61" i="18"/>
  <c r="AC63" i="18"/>
  <c r="K63" i="18"/>
  <c r="AF33" i="18"/>
  <c r="AO63" i="18"/>
  <c r="K33" i="18"/>
  <c r="Q63" i="18"/>
  <c r="AC33" i="18"/>
  <c r="H63" i="18"/>
  <c r="AR43" i="18"/>
  <c r="Z63" i="18"/>
  <c r="Z33" i="18"/>
  <c r="W51" i="18"/>
  <c r="AF63" i="18"/>
  <c r="AO15" i="18"/>
  <c r="AL45" i="18"/>
  <c r="AL15" i="18"/>
  <c r="AL63" i="18"/>
  <c r="AL57" i="18"/>
  <c r="AL33" i="18"/>
  <c r="AI63" i="18"/>
  <c r="AI15" i="18"/>
  <c r="AF15" i="18"/>
  <c r="AC45" i="18"/>
  <c r="AC15" i="18"/>
  <c r="Z15" i="18"/>
  <c r="Z57" i="18"/>
  <c r="Z45" i="18"/>
  <c r="W63" i="18"/>
  <c r="W15" i="18"/>
  <c r="T33" i="18"/>
  <c r="T45" i="18"/>
  <c r="T15" i="18"/>
  <c r="Q15" i="18"/>
  <c r="N15" i="18"/>
  <c r="AR13" i="18"/>
  <c r="K15" i="18"/>
  <c r="AR14" i="18"/>
  <c r="H15" i="18"/>
  <c r="E39" i="18"/>
  <c r="B26" i="18"/>
  <c r="E15" i="18"/>
  <c r="E57" i="18"/>
  <c r="E45" i="18"/>
  <c r="E51" i="18"/>
  <c r="E63" i="18"/>
  <c r="AR51" i="18" l="1"/>
  <c r="AR39" i="18"/>
  <c r="AR63" i="18"/>
  <c r="AR45" i="18"/>
  <c r="AR57" i="18"/>
  <c r="AR15" i="18" l="1"/>
  <c r="AR9" i="17" l="1"/>
  <c r="AR8" i="17"/>
  <c r="I9" i="17"/>
  <c r="L9" i="17" s="1"/>
  <c r="AS7" i="17"/>
  <c r="E6" i="17"/>
  <c r="AR6" i="17" s="1"/>
  <c r="C16" i="17"/>
  <c r="C6" i="17"/>
  <c r="C4" i="17"/>
  <c r="C3" i="17"/>
  <c r="C2" i="17"/>
  <c r="AX6" i="17"/>
  <c r="AV6" i="17"/>
  <c r="BC4" i="17"/>
  <c r="BC6" i="17" s="1"/>
  <c r="BA4" i="17"/>
  <c r="BA6" i="17" s="1"/>
  <c r="AX4" i="17"/>
  <c r="AV4" i="17"/>
  <c r="H6" i="17" l="1"/>
  <c r="K6" i="17" s="1"/>
  <c r="N6" i="17" s="1"/>
  <c r="Q6" i="17" s="1"/>
  <c r="T6" i="17" s="1"/>
  <c r="W6" i="17" s="1"/>
  <c r="Z6" i="17" s="1"/>
  <c r="AC6" i="17" s="1"/>
  <c r="AF6" i="17" s="1"/>
  <c r="AI6" i="17" s="1"/>
  <c r="AL6" i="17" s="1"/>
  <c r="AO6" i="17" s="1"/>
  <c r="AR9" i="16" l="1"/>
  <c r="AO9" i="16"/>
  <c r="AL9" i="16"/>
  <c r="AI9" i="16"/>
  <c r="AF9" i="16"/>
  <c r="AC9" i="16"/>
  <c r="Z9" i="16"/>
  <c r="W9" i="16"/>
  <c r="T9" i="16"/>
  <c r="Q9" i="16"/>
  <c r="N9" i="16"/>
  <c r="K9" i="16"/>
  <c r="H9" i="16"/>
  <c r="E9" i="16"/>
  <c r="AR8" i="16"/>
  <c r="AO8" i="16"/>
  <c r="AL8" i="16"/>
  <c r="AI8" i="16"/>
  <c r="AF8" i="16"/>
  <c r="AC8" i="16"/>
  <c r="Z8" i="16"/>
  <c r="W8" i="16"/>
  <c r="T8" i="16"/>
  <c r="Q8" i="16"/>
  <c r="N8" i="16"/>
  <c r="K8" i="16"/>
  <c r="H8" i="16"/>
  <c r="E8" i="16"/>
  <c r="AS7" i="16"/>
  <c r="AR14" i="16"/>
  <c r="AR15" i="16"/>
  <c r="AR16" i="16"/>
  <c r="AR17" i="16"/>
  <c r="AR18" i="16"/>
  <c r="AR19" i="16"/>
  <c r="AR20" i="16"/>
  <c r="AR21" i="16"/>
  <c r="AR22" i="16"/>
  <c r="B6" i="16"/>
  <c r="B4" i="16"/>
  <c r="B3" i="16"/>
  <c r="B2" i="16"/>
  <c r="AX6" i="16"/>
  <c r="AV6" i="16"/>
  <c r="BC4" i="16"/>
  <c r="BC6" i="16" s="1"/>
  <c r="BA4" i="16"/>
  <c r="BA6" i="16" s="1"/>
  <c r="AX4" i="16"/>
  <c r="AV4" i="16"/>
  <c r="AR9" i="15" l="1"/>
  <c r="AR8" i="15"/>
  <c r="AS7" i="15"/>
  <c r="Z24" i="15"/>
  <c r="Z38" i="5" s="1"/>
  <c r="AR14" i="15"/>
  <c r="AR15" i="15"/>
  <c r="AR16" i="15"/>
  <c r="AR17" i="15"/>
  <c r="AR18" i="15"/>
  <c r="AR19" i="15"/>
  <c r="AR20" i="15"/>
  <c r="AR21" i="15"/>
  <c r="AR22" i="15"/>
  <c r="AR13" i="15"/>
  <c r="AO24" i="15"/>
  <c r="AO38" i="5" s="1"/>
  <c r="AL24" i="15"/>
  <c r="AL38" i="5" s="1"/>
  <c r="AI24" i="15"/>
  <c r="AI38" i="5" s="1"/>
  <c r="AF24" i="15"/>
  <c r="AF38" i="5" s="1"/>
  <c r="AC24" i="15"/>
  <c r="AC38" i="5" s="1"/>
  <c r="W24" i="15"/>
  <c r="W38" i="5" s="1"/>
  <c r="T24" i="15"/>
  <c r="T38" i="5" s="1"/>
  <c r="Q24" i="15"/>
  <c r="Q38" i="5" s="1"/>
  <c r="N24" i="15"/>
  <c r="N38" i="5" s="1"/>
  <c r="K24" i="15"/>
  <c r="K38" i="5" s="1"/>
  <c r="H24" i="15"/>
  <c r="H38" i="5" s="1"/>
  <c r="B6" i="15"/>
  <c r="B4" i="15"/>
  <c r="B3" i="15"/>
  <c r="B2" i="15"/>
  <c r="E24" i="15"/>
  <c r="E38" i="5" s="1"/>
  <c r="AX6" i="15"/>
  <c r="AV6" i="15"/>
  <c r="BC4" i="15"/>
  <c r="BC6" i="15" s="1"/>
  <c r="BA4" i="15"/>
  <c r="BA6" i="15" s="1"/>
  <c r="AX4" i="15"/>
  <c r="AV4" i="15"/>
  <c r="AR24" i="15" l="1"/>
  <c r="J32" i="21" s="1"/>
  <c r="AV7" i="15" l="1"/>
  <c r="Q7" i="15"/>
  <c r="K7" i="15"/>
  <c r="H7" i="15"/>
  <c r="AO7" i="15"/>
  <c r="E7" i="15"/>
  <c r="AL7" i="15"/>
  <c r="AI7" i="15"/>
  <c r="T7" i="15"/>
  <c r="N7" i="15"/>
  <c r="AF7" i="15"/>
  <c r="Z7" i="15"/>
  <c r="W7" i="15"/>
  <c r="AC7" i="15"/>
  <c r="AR7" i="15" l="1"/>
  <c r="AR9" i="14"/>
  <c r="AO9" i="14"/>
  <c r="AL9" i="14"/>
  <c r="AI9" i="14"/>
  <c r="AF9" i="14"/>
  <c r="AC9" i="14"/>
  <c r="Z9" i="14"/>
  <c r="W9" i="14"/>
  <c r="T9" i="14"/>
  <c r="Q9" i="14"/>
  <c r="N9" i="14"/>
  <c r="K9" i="14"/>
  <c r="H9" i="14"/>
  <c r="E9" i="14"/>
  <c r="AR8" i="14"/>
  <c r="AO8" i="14"/>
  <c r="AL8" i="14"/>
  <c r="AI8" i="14"/>
  <c r="AF8" i="14"/>
  <c r="AC8" i="14"/>
  <c r="Z8" i="14"/>
  <c r="W8" i="14"/>
  <c r="T8" i="14"/>
  <c r="Q8" i="14"/>
  <c r="N8" i="14"/>
  <c r="K8" i="14"/>
  <c r="H8" i="14"/>
  <c r="E8" i="14"/>
  <c r="AR14" i="14"/>
  <c r="AR15" i="14"/>
  <c r="AR16" i="14"/>
  <c r="AR17" i="14"/>
  <c r="AR18" i="14"/>
  <c r="AR19" i="14"/>
  <c r="AR20" i="14"/>
  <c r="AR21" i="14"/>
  <c r="AR22" i="14"/>
  <c r="AR23" i="14"/>
  <c r="AR24" i="14"/>
  <c r="AR25" i="14"/>
  <c r="AR26" i="14"/>
  <c r="AR27" i="14"/>
  <c r="AR28" i="14"/>
  <c r="AR13" i="14"/>
  <c r="AS7" i="14"/>
  <c r="B6" i="14"/>
  <c r="B4" i="14"/>
  <c r="B3" i="14"/>
  <c r="B2" i="14"/>
  <c r="AX6" i="14"/>
  <c r="AV6" i="14"/>
  <c r="BC4" i="14"/>
  <c r="BC6" i="14" s="1"/>
  <c r="BA4" i="14"/>
  <c r="BA6" i="14" s="1"/>
  <c r="AX4" i="14"/>
  <c r="AV4" i="14"/>
  <c r="AO9" i="13" l="1"/>
  <c r="AL9" i="13"/>
  <c r="AI9" i="13"/>
  <c r="AF9" i="13"/>
  <c r="AC9" i="13"/>
  <c r="Z9" i="13"/>
  <c r="W9" i="13"/>
  <c r="T9" i="13"/>
  <c r="Q9" i="13"/>
  <c r="N9" i="13"/>
  <c r="K9" i="13"/>
  <c r="H9" i="13"/>
  <c r="E9" i="13"/>
  <c r="AR9" i="13"/>
  <c r="AR8" i="13"/>
  <c r="AO8" i="13"/>
  <c r="AL8" i="13"/>
  <c r="AI8" i="13"/>
  <c r="AF8" i="13"/>
  <c r="AC8" i="13"/>
  <c r="Z8" i="13"/>
  <c r="W8" i="13"/>
  <c r="T8" i="13"/>
  <c r="Q8" i="13"/>
  <c r="N8" i="13"/>
  <c r="K8" i="13"/>
  <c r="H8" i="13"/>
  <c r="E8" i="13"/>
  <c r="AS7" i="13"/>
  <c r="AR14" i="13"/>
  <c r="AR15" i="13"/>
  <c r="AR16" i="13"/>
  <c r="AR17" i="13"/>
  <c r="AR18" i="13"/>
  <c r="AR19" i="13"/>
  <c r="AR21" i="13"/>
  <c r="AR22" i="13"/>
  <c r="AR23" i="13"/>
  <c r="AR24" i="13"/>
  <c r="AR25" i="13"/>
  <c r="AR26" i="13"/>
  <c r="AR27" i="13"/>
  <c r="AR13" i="13"/>
  <c r="B6" i="13"/>
  <c r="B6" i="7"/>
  <c r="B6" i="11"/>
  <c r="B4" i="13"/>
  <c r="B3" i="13"/>
  <c r="B2" i="13"/>
  <c r="AX6" i="13"/>
  <c r="AV6" i="13"/>
  <c r="BC4" i="13"/>
  <c r="BC6" i="13" s="1"/>
  <c r="BA4" i="13"/>
  <c r="BA6" i="13" s="1"/>
  <c r="AX4" i="13"/>
  <c r="AV4" i="13"/>
  <c r="B3" i="7" l="1"/>
  <c r="B2" i="7"/>
  <c r="AR9" i="12"/>
  <c r="AO9" i="12"/>
  <c r="AL9" i="12"/>
  <c r="AI9" i="12"/>
  <c r="AF9" i="12"/>
  <c r="AC9" i="12"/>
  <c r="Z9" i="12"/>
  <c r="W9" i="12"/>
  <c r="T9" i="12"/>
  <c r="Q9" i="12"/>
  <c r="N9" i="12"/>
  <c r="K9" i="12"/>
  <c r="H9" i="12"/>
  <c r="E9" i="12"/>
  <c r="F8" i="12"/>
  <c r="F8" i="13" s="1"/>
  <c r="F8" i="7"/>
  <c r="I8" i="7" s="1"/>
  <c r="L8" i="7" s="1"/>
  <c r="O8" i="7" s="1"/>
  <c r="R8" i="7" s="1"/>
  <c r="U8" i="7" s="1"/>
  <c r="X8" i="7" s="1"/>
  <c r="AA8" i="7" s="1"/>
  <c r="AD8" i="7" s="1"/>
  <c r="AG8" i="7" s="1"/>
  <c r="AJ8" i="7" s="1"/>
  <c r="AM8" i="7" s="1"/>
  <c r="AP8" i="7" s="1"/>
  <c r="AS8" i="7" s="1"/>
  <c r="F8" i="11"/>
  <c r="F8" i="10"/>
  <c r="AR8" i="12"/>
  <c r="AO8" i="12"/>
  <c r="AL8" i="12"/>
  <c r="AI8" i="12"/>
  <c r="AF8" i="12"/>
  <c r="AC8" i="12"/>
  <c r="Z8" i="12"/>
  <c r="W8" i="12"/>
  <c r="T8" i="12"/>
  <c r="Q8" i="12"/>
  <c r="N8" i="12"/>
  <c r="K8" i="12"/>
  <c r="H8" i="12"/>
  <c r="E8" i="12"/>
  <c r="AS7" i="12"/>
  <c r="AG6" i="12"/>
  <c r="AR14" i="12"/>
  <c r="AR15" i="12"/>
  <c r="AR16" i="12"/>
  <c r="AR17" i="12"/>
  <c r="AR18" i="12"/>
  <c r="AR19" i="12"/>
  <c r="AR20" i="12"/>
  <c r="AR21" i="12"/>
  <c r="AR13" i="12"/>
  <c r="B4" i="12"/>
  <c r="B3" i="12"/>
  <c r="B2" i="12"/>
  <c r="AF23" i="12"/>
  <c r="AF31" i="5" s="1"/>
  <c r="AC23" i="12"/>
  <c r="AC31" i="5" s="1"/>
  <c r="Z23" i="12"/>
  <c r="Z31" i="5" s="1"/>
  <c r="N23" i="12"/>
  <c r="N31" i="5" s="1"/>
  <c r="K23" i="12"/>
  <c r="K31" i="5" s="1"/>
  <c r="H23" i="12"/>
  <c r="H31" i="5" s="1"/>
  <c r="AL23" i="12"/>
  <c r="AL31" i="5" s="1"/>
  <c r="AI23" i="12"/>
  <c r="AI31" i="5" s="1"/>
  <c r="W23" i="12"/>
  <c r="W31" i="5" s="1"/>
  <c r="T23" i="12"/>
  <c r="T31" i="5" s="1"/>
  <c r="Q23" i="12"/>
  <c r="Q31" i="5" s="1"/>
  <c r="E23" i="12"/>
  <c r="E31" i="5" s="1"/>
  <c r="AX6" i="12"/>
  <c r="AV6" i="12"/>
  <c r="E6" i="12"/>
  <c r="BC4" i="12"/>
  <c r="BC6" i="12" s="1"/>
  <c r="BA4" i="12"/>
  <c r="BA6" i="12" s="1"/>
  <c r="AX4" i="12"/>
  <c r="AV4" i="12"/>
  <c r="AR23" i="12" l="1"/>
  <c r="AC7" i="12" s="1"/>
  <c r="J25" i="21"/>
  <c r="K7" i="12"/>
  <c r="N7" i="12"/>
  <c r="Q7" i="12"/>
  <c r="T7" i="12"/>
  <c r="F8" i="14"/>
  <c r="I8" i="13"/>
  <c r="L8" i="13" s="1"/>
  <c r="O8" i="13" s="1"/>
  <c r="R8" i="13" s="1"/>
  <c r="U8" i="13" s="1"/>
  <c r="X8" i="13" s="1"/>
  <c r="AA8" i="13" s="1"/>
  <c r="AD8" i="13" s="1"/>
  <c r="AG8" i="13" s="1"/>
  <c r="AJ8" i="13" s="1"/>
  <c r="AM8" i="13" s="1"/>
  <c r="AP8" i="13" s="1"/>
  <c r="AS8" i="13" s="1"/>
  <c r="AF7" i="12"/>
  <c r="AI7" i="12"/>
  <c r="AL7" i="12"/>
  <c r="E7" i="12"/>
  <c r="I8" i="12"/>
  <c r="L8" i="12" s="1"/>
  <c r="O8" i="12" s="1"/>
  <c r="R8" i="12" s="1"/>
  <c r="U8" i="12" s="1"/>
  <c r="X8" i="12" s="1"/>
  <c r="AA8" i="12" s="1"/>
  <c r="AD8" i="12" s="1"/>
  <c r="AG8" i="12" s="1"/>
  <c r="AJ8" i="12" s="1"/>
  <c r="AM8" i="12" s="1"/>
  <c r="AP8" i="12" s="1"/>
  <c r="AS8" i="12" s="1"/>
  <c r="H6" i="12"/>
  <c r="K6" i="12" s="1"/>
  <c r="N6" i="12" s="1"/>
  <c r="Q6" i="12" s="1"/>
  <c r="T6" i="12" s="1"/>
  <c r="W6" i="12" s="1"/>
  <c r="Z6" i="12" s="1"/>
  <c r="AC6" i="12" s="1"/>
  <c r="AF6" i="12" s="1"/>
  <c r="AI6" i="12" s="1"/>
  <c r="AL6" i="12" s="1"/>
  <c r="AO6" i="12" s="1"/>
  <c r="AR6" i="12" s="1"/>
  <c r="E6" i="13"/>
  <c r="H7" i="12" l="1"/>
  <c r="Z7" i="12"/>
  <c r="W7" i="12"/>
  <c r="F8" i="15"/>
  <c r="I8" i="14"/>
  <c r="L8" i="14" s="1"/>
  <c r="O8" i="14" s="1"/>
  <c r="R8" i="14" s="1"/>
  <c r="U8" i="14" s="1"/>
  <c r="X8" i="14" s="1"/>
  <c r="AA8" i="14" s="1"/>
  <c r="AD8" i="14" s="1"/>
  <c r="AG8" i="14" s="1"/>
  <c r="AJ8" i="14" s="1"/>
  <c r="AM8" i="14" s="1"/>
  <c r="AP8" i="14" s="1"/>
  <c r="AS8" i="14" s="1"/>
  <c r="H6" i="13"/>
  <c r="K6" i="13" s="1"/>
  <c r="N6" i="13" s="1"/>
  <c r="Q6" i="13" s="1"/>
  <c r="T6" i="13" s="1"/>
  <c r="W6" i="13" s="1"/>
  <c r="Z6" i="13" s="1"/>
  <c r="AC6" i="13" s="1"/>
  <c r="AF6" i="13" s="1"/>
  <c r="AI6" i="13" s="1"/>
  <c r="AL6" i="13" s="1"/>
  <c r="AO6" i="13" s="1"/>
  <c r="AR6" i="13" s="1"/>
  <c r="E6" i="14"/>
  <c r="AO23" i="12"/>
  <c r="AO31" i="5" l="1"/>
  <c r="AO7" i="12"/>
  <c r="AR7" i="12" s="1"/>
  <c r="F8" i="16"/>
  <c r="I8" i="16" s="1"/>
  <c r="L8" i="16" s="1"/>
  <c r="O8" i="16" s="1"/>
  <c r="R8" i="16" s="1"/>
  <c r="U8" i="16" s="1"/>
  <c r="X8" i="16" s="1"/>
  <c r="AA8" i="16" s="1"/>
  <c r="AD8" i="16" s="1"/>
  <c r="AG8" i="16" s="1"/>
  <c r="AJ8" i="16" s="1"/>
  <c r="AM8" i="16" s="1"/>
  <c r="AP8" i="16" s="1"/>
  <c r="AS8" i="16" s="1"/>
  <c r="I8" i="15"/>
  <c r="L8" i="15" s="1"/>
  <c r="O8" i="15" s="1"/>
  <c r="R8" i="15" s="1"/>
  <c r="U8" i="15" s="1"/>
  <c r="X8" i="15" s="1"/>
  <c r="AA8" i="15" s="1"/>
  <c r="AD8" i="15" s="1"/>
  <c r="AG8" i="15" s="1"/>
  <c r="AJ8" i="15" s="1"/>
  <c r="AM8" i="15" s="1"/>
  <c r="AP8" i="15" s="1"/>
  <c r="AS8" i="15" s="1"/>
  <c r="H6" i="14"/>
  <c r="K6" i="14" s="1"/>
  <c r="N6" i="14" s="1"/>
  <c r="Q6" i="14" s="1"/>
  <c r="T6" i="14" s="1"/>
  <c r="W6" i="14" s="1"/>
  <c r="Z6" i="14" s="1"/>
  <c r="AC6" i="14" s="1"/>
  <c r="AF6" i="14" s="1"/>
  <c r="AI6" i="14" s="1"/>
  <c r="AL6" i="14" s="1"/>
  <c r="AO6" i="14" s="1"/>
  <c r="AR6" i="14" s="1"/>
  <c r="E6" i="15"/>
  <c r="AV7" i="12"/>
  <c r="H6" i="15" l="1"/>
  <c r="K6" i="15" s="1"/>
  <c r="N6" i="15" s="1"/>
  <c r="Q6" i="15" s="1"/>
  <c r="T6" i="15" s="1"/>
  <c r="W6" i="15" s="1"/>
  <c r="Z6" i="15" s="1"/>
  <c r="AC6" i="15" s="1"/>
  <c r="AF6" i="15" s="1"/>
  <c r="AI6" i="15" s="1"/>
  <c r="AL6" i="15" s="1"/>
  <c r="AO6" i="15" s="1"/>
  <c r="AR6" i="15" s="1"/>
  <c r="E6" i="16"/>
  <c r="H6" i="16" s="1"/>
  <c r="K6" i="16" s="1"/>
  <c r="N6" i="16" s="1"/>
  <c r="Q6" i="16" s="1"/>
  <c r="T6" i="16" s="1"/>
  <c r="W6" i="16" s="1"/>
  <c r="Z6" i="16" s="1"/>
  <c r="AC6" i="16" s="1"/>
  <c r="AF6" i="16" s="1"/>
  <c r="AI6" i="16" s="1"/>
  <c r="AL6" i="16" s="1"/>
  <c r="AO6" i="16" s="1"/>
  <c r="AR6" i="16" s="1"/>
  <c r="AR9" i="11"/>
  <c r="I8" i="11"/>
  <c r="L8" i="11" s="1"/>
  <c r="O8" i="11" s="1"/>
  <c r="R8" i="11" s="1"/>
  <c r="U8" i="11" s="1"/>
  <c r="X8" i="11" s="1"/>
  <c r="AA8" i="11" s="1"/>
  <c r="AD8" i="11" s="1"/>
  <c r="AG8" i="11" s="1"/>
  <c r="AJ8" i="11" s="1"/>
  <c r="AM8" i="11" s="1"/>
  <c r="AP8" i="11" s="1"/>
  <c r="AS8" i="11" s="1"/>
  <c r="AO9" i="11"/>
  <c r="AL9" i="11"/>
  <c r="AI9" i="11"/>
  <c r="AF9" i="11"/>
  <c r="AC9" i="11"/>
  <c r="Z9" i="11"/>
  <c r="W9" i="11"/>
  <c r="T9" i="11"/>
  <c r="Q9" i="11"/>
  <c r="N9" i="11"/>
  <c r="K9" i="11"/>
  <c r="H9" i="11"/>
  <c r="E9" i="11"/>
  <c r="AR8" i="11"/>
  <c r="AO8" i="11"/>
  <c r="AL8" i="11"/>
  <c r="AI8" i="11"/>
  <c r="AF8" i="11"/>
  <c r="AC8" i="11"/>
  <c r="Z8" i="11"/>
  <c r="W8" i="11"/>
  <c r="T8" i="11"/>
  <c r="Q8" i="11"/>
  <c r="N8" i="11"/>
  <c r="K8" i="11"/>
  <c r="H8" i="11"/>
  <c r="E8" i="11"/>
  <c r="AR14" i="11"/>
  <c r="AR15" i="11"/>
  <c r="AR16" i="11"/>
  <c r="AR17" i="11"/>
  <c r="AR18" i="11"/>
  <c r="AR19" i="11"/>
  <c r="AR20" i="11"/>
  <c r="AR21" i="11"/>
  <c r="AR22" i="11"/>
  <c r="AR13" i="11"/>
  <c r="AS7" i="11"/>
  <c r="B4" i="11"/>
  <c r="B3" i="11"/>
  <c r="B2" i="11"/>
  <c r="AL24" i="11"/>
  <c r="AL29" i="5" s="1"/>
  <c r="AI24" i="11"/>
  <c r="AI29" i="5" s="1"/>
  <c r="AF24" i="11"/>
  <c r="AF29" i="5" s="1"/>
  <c r="AC24" i="11"/>
  <c r="AC29" i="5" s="1"/>
  <c r="Z24" i="11"/>
  <c r="Z29" i="5" s="1"/>
  <c r="W24" i="11"/>
  <c r="W29" i="5" s="1"/>
  <c r="T24" i="11"/>
  <c r="T29" i="5" s="1"/>
  <c r="Q24" i="11"/>
  <c r="Q29" i="5" s="1"/>
  <c r="N24" i="11"/>
  <c r="N29" i="5" s="1"/>
  <c r="K24" i="11"/>
  <c r="K29" i="5" s="1"/>
  <c r="H24" i="11"/>
  <c r="H29" i="5" s="1"/>
  <c r="E24" i="11"/>
  <c r="E29" i="5" s="1"/>
  <c r="AX6" i="11"/>
  <c r="AV6" i="11"/>
  <c r="BC4" i="11"/>
  <c r="BC6" i="11" s="1"/>
  <c r="BA4" i="11"/>
  <c r="BA6" i="11" s="1"/>
  <c r="AX4" i="11"/>
  <c r="AV4" i="11"/>
  <c r="AR24" i="11" l="1"/>
  <c r="AC7" i="11" s="1"/>
  <c r="AO24" i="11"/>
  <c r="AO29" i="5" s="1"/>
  <c r="W7" i="11" l="1"/>
  <c r="T7" i="11"/>
  <c r="Z7" i="11"/>
  <c r="Q7" i="11"/>
  <c r="AV7" i="11"/>
  <c r="J23" i="21"/>
  <c r="AL7" i="11"/>
  <c r="AF7" i="11"/>
  <c r="AO7" i="11"/>
  <c r="N7" i="11"/>
  <c r="H7" i="11"/>
  <c r="K7" i="11"/>
  <c r="E7" i="11"/>
  <c r="AI7" i="11"/>
  <c r="AR7" i="11" l="1"/>
  <c r="D7" i="1"/>
  <c r="AR9" i="10"/>
  <c r="AO9" i="10"/>
  <c r="AL9" i="10"/>
  <c r="AI9" i="10"/>
  <c r="AF9" i="10"/>
  <c r="AC9" i="10"/>
  <c r="Z9" i="10"/>
  <c r="W9" i="10"/>
  <c r="T9" i="10"/>
  <c r="Q9" i="10"/>
  <c r="N9" i="10"/>
  <c r="K9" i="10"/>
  <c r="H9" i="10"/>
  <c r="E9" i="10"/>
  <c r="AS7" i="10"/>
  <c r="AR8" i="10"/>
  <c r="AO8" i="10"/>
  <c r="AL8" i="10"/>
  <c r="AI8" i="10"/>
  <c r="AF8" i="10"/>
  <c r="AC8" i="10"/>
  <c r="Z8" i="10"/>
  <c r="W8" i="10"/>
  <c r="T8" i="10"/>
  <c r="Q8" i="10"/>
  <c r="N8" i="10"/>
  <c r="K8" i="10"/>
  <c r="H8" i="10"/>
  <c r="E8" i="10"/>
  <c r="AR14" i="10"/>
  <c r="AR15" i="10"/>
  <c r="AR16" i="10"/>
  <c r="AR17" i="10"/>
  <c r="AR18" i="10"/>
  <c r="AR19" i="10"/>
  <c r="AR20" i="10"/>
  <c r="AR21" i="10"/>
  <c r="AR22" i="10"/>
  <c r="AR23" i="10"/>
  <c r="AR24" i="10"/>
  <c r="AR25" i="10"/>
  <c r="AR26" i="10"/>
  <c r="AR27" i="10"/>
  <c r="AR28" i="10"/>
  <c r="AR29" i="10"/>
  <c r="AR30" i="10"/>
  <c r="AR31" i="10"/>
  <c r="AR32" i="10"/>
  <c r="B6" i="10"/>
  <c r="B4" i="10"/>
  <c r="B3" i="10"/>
  <c r="B2" i="10"/>
  <c r="I8" i="10"/>
  <c r="L8" i="10" s="1"/>
  <c r="O8" i="10" s="1"/>
  <c r="R8" i="10" s="1"/>
  <c r="U8" i="10" s="1"/>
  <c r="X8" i="10" s="1"/>
  <c r="AA8" i="10" s="1"/>
  <c r="AD8" i="10" s="1"/>
  <c r="AG8" i="10" s="1"/>
  <c r="AJ8" i="10" s="1"/>
  <c r="AM8" i="10" s="1"/>
  <c r="AP8" i="10" s="1"/>
  <c r="AS8" i="10" s="1"/>
  <c r="AY6" i="10"/>
  <c r="AW6" i="10"/>
  <c r="BD4" i="10"/>
  <c r="BD6" i="10" s="1"/>
  <c r="BB4" i="10"/>
  <c r="BB6" i="10" s="1"/>
  <c r="AY4" i="10"/>
  <c r="AW4" i="10"/>
  <c r="AS7" i="7"/>
  <c r="AX6" i="7"/>
  <c r="AV6" i="7"/>
  <c r="BC4" i="7"/>
  <c r="BC6" i="7" s="1"/>
  <c r="BA4" i="7"/>
  <c r="BA6" i="7" s="1"/>
  <c r="AX4" i="7"/>
  <c r="AV4" i="7"/>
  <c r="AR15" i="9"/>
  <c r="AR16" i="9"/>
  <c r="AR17" i="9"/>
  <c r="AR18" i="9"/>
  <c r="AR19" i="9"/>
  <c r="AR20" i="9"/>
  <c r="AR21" i="9"/>
  <c r="AR22" i="9"/>
  <c r="AR23" i="9"/>
  <c r="AR24" i="9"/>
  <c r="AR13" i="9"/>
  <c r="AR9" i="9"/>
  <c r="AO9" i="9"/>
  <c r="AL9" i="9"/>
  <c r="AI9" i="9"/>
  <c r="AF9" i="9"/>
  <c r="AC9" i="9"/>
  <c r="Z9" i="9"/>
  <c r="W9" i="9"/>
  <c r="T9" i="9"/>
  <c r="Q9" i="9"/>
  <c r="N9" i="9"/>
  <c r="K9" i="9"/>
  <c r="H9" i="9"/>
  <c r="E9" i="9"/>
  <c r="AR8" i="9"/>
  <c r="AO8" i="9"/>
  <c r="AL8" i="9"/>
  <c r="AI8" i="9"/>
  <c r="AF8" i="9"/>
  <c r="AC8" i="9"/>
  <c r="Z8" i="9"/>
  <c r="W8" i="9"/>
  <c r="T8" i="9"/>
  <c r="Q8" i="9"/>
  <c r="N8" i="9"/>
  <c r="K8" i="9"/>
  <c r="H8" i="9"/>
  <c r="E8" i="9"/>
  <c r="AS7" i="9"/>
  <c r="B6" i="9"/>
  <c r="E6" i="9"/>
  <c r="H6" i="9" s="1"/>
  <c r="K6" i="9" s="1"/>
  <c r="N6" i="9" s="1"/>
  <c r="Q6" i="9" s="1"/>
  <c r="T6" i="9" s="1"/>
  <c r="W6" i="9" s="1"/>
  <c r="Z6" i="9" s="1"/>
  <c r="AC6" i="9" s="1"/>
  <c r="AF6" i="9" s="1"/>
  <c r="AI6" i="9" s="1"/>
  <c r="AL6" i="9" s="1"/>
  <c r="AO6" i="9" s="1"/>
  <c r="AR6" i="9" s="1"/>
  <c r="B4" i="9"/>
  <c r="B3" i="9"/>
  <c r="B2" i="9"/>
  <c r="AG25" i="9"/>
  <c r="AJ25" i="9" s="1"/>
  <c r="AM25" i="9" s="1"/>
  <c r="AX6" i="9"/>
  <c r="AV6" i="9"/>
  <c r="BC4" i="9"/>
  <c r="BC6" i="9" s="1"/>
  <c r="BA4" i="9"/>
  <c r="BA6" i="9" s="1"/>
  <c r="AX4" i="9"/>
  <c r="AV4" i="9"/>
  <c r="E6" i="10" l="1"/>
  <c r="H6" i="10" l="1"/>
  <c r="K6" i="10" s="1"/>
  <c r="N6" i="10" s="1"/>
  <c r="Q6" i="10" s="1"/>
  <c r="T6" i="10" s="1"/>
  <c r="W6" i="10" s="1"/>
  <c r="Z6" i="10" s="1"/>
  <c r="AC6" i="10" s="1"/>
  <c r="AF6" i="10" s="1"/>
  <c r="AI6" i="10" s="1"/>
  <c r="AL6" i="10" s="1"/>
  <c r="AO6" i="10" s="1"/>
  <c r="AR6" i="10" s="1"/>
  <c r="E6" i="11"/>
  <c r="H6" i="11" s="1"/>
  <c r="K6" i="11" s="1"/>
  <c r="N6" i="11" s="1"/>
  <c r="Q6" i="11" s="1"/>
  <c r="T6" i="11" s="1"/>
  <c r="W6" i="11" s="1"/>
  <c r="Z6" i="11" s="1"/>
  <c r="AC6" i="11" s="1"/>
  <c r="AF6" i="11" s="1"/>
  <c r="AI6" i="11" s="1"/>
  <c r="AL6" i="11" s="1"/>
  <c r="AO6" i="11" s="1"/>
  <c r="AR6" i="11" s="1"/>
  <c r="P6" i="1" l="1"/>
  <c r="O6" i="1"/>
  <c r="N6" i="1"/>
  <c r="M6" i="1"/>
  <c r="L6" i="1"/>
  <c r="K6" i="1"/>
  <c r="J6" i="1"/>
  <c r="I6" i="1"/>
  <c r="H6" i="1"/>
  <c r="G6" i="1"/>
  <c r="F6" i="1"/>
  <c r="E6" i="1"/>
  <c r="D6" i="1"/>
  <c r="P5" i="1"/>
  <c r="O5" i="1"/>
  <c r="N5" i="1"/>
  <c r="M5" i="1"/>
  <c r="L5" i="1"/>
  <c r="K5" i="1"/>
  <c r="J5" i="1"/>
  <c r="I5" i="1"/>
  <c r="H5" i="1"/>
  <c r="G5" i="1"/>
  <c r="F5" i="1"/>
  <c r="E5" i="1"/>
  <c r="D5" i="1"/>
  <c r="C28" i="8"/>
  <c r="C35" i="8" s="1"/>
  <c r="C27" i="8"/>
  <c r="C34" i="8" s="1"/>
  <c r="C26" i="8"/>
  <c r="C33" i="8" s="1"/>
  <c r="C25" i="8"/>
  <c r="C32" i="8" s="1"/>
  <c r="C24" i="8"/>
  <c r="C31" i="8" s="1"/>
  <c r="C21" i="8"/>
  <c r="C20" i="8"/>
  <c r="C19" i="8"/>
  <c r="C18" i="8"/>
  <c r="C17" i="8"/>
  <c r="C16" i="8"/>
  <c r="C23" i="8" s="1"/>
  <c r="C30" i="8" s="1"/>
  <c r="C15" i="8"/>
  <c r="C22" i="8" s="1"/>
  <c r="C29" i="8" s="1"/>
  <c r="R7" i="8"/>
  <c r="E6" i="8"/>
  <c r="F6" i="8" s="1"/>
  <c r="G6" i="8" s="1"/>
  <c r="H6" i="8" l="1"/>
  <c r="I6" i="8" s="1"/>
  <c r="J6" i="8" s="1"/>
  <c r="K6" i="8" s="1"/>
  <c r="L6" i="8" s="1"/>
  <c r="M6" i="8" s="1"/>
  <c r="N6" i="8" s="1"/>
  <c r="O6" i="8" s="1"/>
  <c r="P6" i="8" s="1"/>
  <c r="AR9" i="7"/>
  <c r="AO9" i="7"/>
  <c r="AL9" i="7"/>
  <c r="AI9" i="7"/>
  <c r="AF9" i="7"/>
  <c r="AC9" i="7"/>
  <c r="Z9" i="7"/>
  <c r="W9" i="7"/>
  <c r="T9" i="7"/>
  <c r="Q9" i="7"/>
  <c r="N9" i="7"/>
  <c r="K9" i="7"/>
  <c r="H9" i="7"/>
  <c r="E9" i="7"/>
  <c r="AR8" i="7"/>
  <c r="AO8" i="7"/>
  <c r="AL8" i="7"/>
  <c r="AI8" i="7"/>
  <c r="AF8" i="7"/>
  <c r="AC8" i="7"/>
  <c r="Z8" i="7"/>
  <c r="W8" i="7"/>
  <c r="T8" i="7"/>
  <c r="Q8" i="7"/>
  <c r="N8" i="7"/>
  <c r="K8" i="7"/>
  <c r="H8" i="7"/>
  <c r="E8" i="7"/>
  <c r="AR14" i="7"/>
  <c r="AR15" i="7"/>
  <c r="AR16" i="7"/>
  <c r="AR17" i="7"/>
  <c r="AR18" i="7"/>
  <c r="AR19" i="7"/>
  <c r="AR20" i="7"/>
  <c r="AR21" i="7"/>
  <c r="AR22" i="7"/>
  <c r="AR13" i="7"/>
  <c r="C7" i="7"/>
  <c r="H6" i="7"/>
  <c r="K6" i="7" s="1"/>
  <c r="N6" i="7" s="1"/>
  <c r="Q6" i="7" s="1"/>
  <c r="T6" i="7" s="1"/>
  <c r="W6" i="7" s="1"/>
  <c r="Z6" i="7" s="1"/>
  <c r="AC6" i="7" s="1"/>
  <c r="AF6" i="7" s="1"/>
  <c r="AI6" i="7" s="1"/>
  <c r="AL6" i="7" s="1"/>
  <c r="AO6" i="7" s="1"/>
  <c r="AR6" i="7" s="1"/>
  <c r="F19" i="6"/>
  <c r="F18" i="6"/>
  <c r="F17" i="6"/>
  <c r="F16" i="6"/>
  <c r="F15" i="6"/>
  <c r="F14" i="6"/>
  <c r="F13" i="6"/>
  <c r="F12" i="6"/>
  <c r="G11" i="6"/>
  <c r="F11" i="6"/>
  <c r="E21" i="6"/>
  <c r="F10" i="6"/>
  <c r="BA22" i="5"/>
  <c r="BB13" i="5" s="1"/>
  <c r="BB10" i="5" l="1"/>
  <c r="BB16" i="5"/>
  <c r="BB14" i="5"/>
  <c r="BB15" i="5"/>
  <c r="BB17" i="5"/>
  <c r="BB18" i="5"/>
  <c r="BB19" i="5"/>
  <c r="BB20" i="5"/>
  <c r="G19" i="6"/>
  <c r="G18" i="6"/>
  <c r="G16" i="6"/>
  <c r="G15" i="6"/>
  <c r="G13" i="6"/>
  <c r="G12" i="6"/>
  <c r="E28" i="6"/>
  <c r="D21" i="6"/>
  <c r="G17" i="6"/>
  <c r="G10" i="6"/>
  <c r="G14" i="6"/>
  <c r="BB21" i="5"/>
  <c r="BB11" i="5"/>
  <c r="BB12" i="5"/>
  <c r="BA24" i="5"/>
  <c r="BB24" i="5" s="1"/>
  <c r="BB22" i="5" l="1"/>
  <c r="AV106" i="3"/>
  <c r="AV10" i="3"/>
  <c r="AV34" i="3"/>
  <c r="AV98" i="3"/>
  <c r="AV82" i="3"/>
  <c r="AV74" i="3"/>
  <c r="AV18" i="3"/>
  <c r="AV90" i="3"/>
  <c r="AV66" i="3"/>
  <c r="AV58" i="3"/>
  <c r="AV50" i="3"/>
  <c r="AV42" i="3"/>
  <c r="AV26" i="3"/>
  <c r="D28" i="6"/>
  <c r="F21" i="6"/>
  <c r="F28" i="6" s="1"/>
  <c r="G21" i="6"/>
  <c r="G28" i="6" s="1"/>
  <c r="AO9" i="5"/>
  <c r="AL9" i="5"/>
  <c r="AI9" i="5"/>
  <c r="AF9" i="5"/>
  <c r="AC9" i="5"/>
  <c r="Z9" i="5"/>
  <c r="W9" i="5"/>
  <c r="T9" i="5"/>
  <c r="Q9" i="5"/>
  <c r="N9" i="5"/>
  <c r="K9" i="5"/>
  <c r="H9" i="5"/>
  <c r="E9" i="5"/>
  <c r="AO8" i="5"/>
  <c r="AL8" i="5"/>
  <c r="AI8" i="5"/>
  <c r="AF8" i="5"/>
  <c r="AC8" i="5"/>
  <c r="Z8" i="5"/>
  <c r="W8" i="5"/>
  <c r="T8" i="5"/>
  <c r="Q8" i="5"/>
  <c r="N8" i="5"/>
  <c r="K8" i="5"/>
  <c r="H8" i="5"/>
  <c r="E8" i="5"/>
  <c r="C7" i="5"/>
  <c r="AV14" i="5"/>
  <c r="AU13" i="5"/>
  <c r="AU12" i="5"/>
  <c r="AU11" i="5"/>
  <c r="AU9" i="5"/>
  <c r="I9" i="5"/>
  <c r="L9" i="5" s="1"/>
  <c r="O9" i="5" s="1"/>
  <c r="R9" i="5" s="1"/>
  <c r="U9" i="5" s="1"/>
  <c r="X9" i="5" s="1"/>
  <c r="AA9" i="5" s="1"/>
  <c r="AD9" i="5" s="1"/>
  <c r="AG9" i="5" s="1"/>
  <c r="AJ9" i="5" s="1"/>
  <c r="AM9" i="5" s="1"/>
  <c r="AU8" i="5"/>
  <c r="I8" i="5"/>
  <c r="L8" i="5" s="1"/>
  <c r="O8" i="5" s="1"/>
  <c r="R8" i="5" s="1"/>
  <c r="U8" i="5" s="1"/>
  <c r="X8" i="5" s="1"/>
  <c r="AV7" i="5"/>
  <c r="BG6" i="5"/>
  <c r="BE6" i="5"/>
  <c r="H6" i="5"/>
  <c r="K6" i="5" s="1"/>
  <c r="N6" i="5" s="1"/>
  <c r="Q6" i="5" s="1"/>
  <c r="T6" i="5" s="1"/>
  <c r="W6" i="5" s="1"/>
  <c r="Z6" i="5" s="1"/>
  <c r="AC6" i="5" s="1"/>
  <c r="AF6" i="5" s="1"/>
  <c r="AI6" i="5" s="1"/>
  <c r="AL6" i="5" s="1"/>
  <c r="BL4" i="5"/>
  <c r="BL6" i="5" s="1"/>
  <c r="BJ4" i="5"/>
  <c r="BJ6" i="5" s="1"/>
  <c r="BG4" i="5"/>
  <c r="BE4" i="5"/>
  <c r="AJ106" i="3"/>
  <c r="X106" i="3"/>
  <c r="AJ98" i="3"/>
  <c r="X98" i="3"/>
  <c r="AJ90" i="3"/>
  <c r="X90" i="3"/>
  <c r="AJ82" i="3"/>
  <c r="X82" i="3"/>
  <c r="AJ74" i="3"/>
  <c r="X74" i="3"/>
  <c r="AJ66" i="3"/>
  <c r="X66" i="3"/>
  <c r="AJ58" i="3"/>
  <c r="X58" i="3"/>
  <c r="AJ50" i="3"/>
  <c r="X50" i="3"/>
  <c r="AJ42" i="3"/>
  <c r="X42" i="3"/>
  <c r="AJ34" i="3"/>
  <c r="X34" i="3"/>
  <c r="AJ26" i="3"/>
  <c r="X26" i="3"/>
  <c r="AJ18" i="3"/>
  <c r="X18" i="3"/>
  <c r="AJ10" i="3"/>
  <c r="X10" i="3"/>
  <c r="AH106" i="3"/>
  <c r="V106" i="3"/>
  <c r="AH98" i="3"/>
  <c r="V98" i="3"/>
  <c r="AH90" i="3"/>
  <c r="V90" i="3"/>
  <c r="AH82" i="3"/>
  <c r="V82" i="3"/>
  <c r="AH74" i="3"/>
  <c r="V74" i="3"/>
  <c r="AH66" i="3"/>
  <c r="V66" i="3"/>
  <c r="AH58" i="3"/>
  <c r="V58" i="3"/>
  <c r="AH50" i="3"/>
  <c r="V50" i="3"/>
  <c r="AH42" i="3"/>
  <c r="V42" i="3"/>
  <c r="AH34" i="3"/>
  <c r="V34" i="3"/>
  <c r="AH26" i="3"/>
  <c r="V26" i="3"/>
  <c r="AH18" i="3"/>
  <c r="V18" i="3"/>
  <c r="V10" i="3"/>
  <c r="G9" i="4"/>
  <c r="H9" i="4"/>
  <c r="I9" i="4"/>
  <c r="J9" i="4"/>
  <c r="G10" i="4"/>
  <c r="H10" i="4"/>
  <c r="G11" i="4"/>
  <c r="H11" i="4"/>
  <c r="I11" i="4"/>
  <c r="I18" i="4" s="1"/>
  <c r="I19" i="4" s="1"/>
  <c r="G12" i="4"/>
  <c r="H12" i="4"/>
  <c r="I12" i="4"/>
  <c r="J12" i="4"/>
  <c r="G13" i="4"/>
  <c r="H13" i="4"/>
  <c r="G14" i="4"/>
  <c r="H14" i="4"/>
  <c r="G15" i="4"/>
  <c r="H15" i="4"/>
  <c r="G16" i="4"/>
  <c r="H16" i="4"/>
  <c r="G17" i="4"/>
  <c r="H17" i="4"/>
  <c r="G18" i="4"/>
  <c r="H18" i="4"/>
  <c r="G19" i="4"/>
  <c r="H19" i="4"/>
  <c r="J19" i="4"/>
  <c r="G20" i="4"/>
  <c r="H20" i="4"/>
  <c r="I20" i="4"/>
  <c r="E21" i="4"/>
  <c r="G21" i="4" s="1"/>
  <c r="F21" i="4"/>
  <c r="E24" i="4"/>
  <c r="G24" i="4" s="1"/>
  <c r="F24" i="4"/>
  <c r="H24" i="4" s="1"/>
  <c r="J24" i="4"/>
  <c r="E25" i="4"/>
  <c r="F25" i="4"/>
  <c r="G25" i="4"/>
  <c r="H25" i="4"/>
  <c r="E26" i="4"/>
  <c r="F26" i="4"/>
  <c r="E27" i="4"/>
  <c r="G27" i="4" s="1"/>
  <c r="F27" i="4"/>
  <c r="H27" i="4" s="1"/>
  <c r="J27" i="4"/>
  <c r="E28" i="4"/>
  <c r="F28" i="4"/>
  <c r="E29" i="4"/>
  <c r="E72" i="4" s="1"/>
  <c r="F29" i="4"/>
  <c r="F72" i="4" s="1"/>
  <c r="E30" i="4"/>
  <c r="F30" i="4"/>
  <c r="E31" i="4"/>
  <c r="F31" i="4"/>
  <c r="E32" i="4"/>
  <c r="F32" i="4"/>
  <c r="G32" i="4"/>
  <c r="H32" i="4"/>
  <c r="E33" i="4"/>
  <c r="E76" i="4" s="1"/>
  <c r="F33" i="4"/>
  <c r="F76" i="4" s="1"/>
  <c r="G76" i="4" s="1"/>
  <c r="E34" i="4"/>
  <c r="F34" i="4"/>
  <c r="J34" i="4"/>
  <c r="E35" i="4"/>
  <c r="F35" i="4"/>
  <c r="G35" i="4"/>
  <c r="H35" i="4"/>
  <c r="I35" i="4"/>
  <c r="AH10" i="3"/>
  <c r="E47" i="4"/>
  <c r="E90" i="4" s="1"/>
  <c r="F47" i="4"/>
  <c r="F90" i="4" s="1"/>
  <c r="G47" i="4"/>
  <c r="H47" i="4"/>
  <c r="D51" i="4"/>
  <c r="B52" i="4"/>
  <c r="C52" i="4"/>
  <c r="D52" i="4"/>
  <c r="E52" i="4"/>
  <c r="F52" i="4"/>
  <c r="G52" i="4" s="1"/>
  <c r="B53" i="4"/>
  <c r="B96" i="4" s="1"/>
  <c r="B139" i="4" s="1"/>
  <c r="C53" i="4"/>
  <c r="C96" i="4" s="1"/>
  <c r="C139" i="4" s="1"/>
  <c r="D53" i="4"/>
  <c r="E53" i="4"/>
  <c r="F53" i="4"/>
  <c r="G53" i="4" s="1"/>
  <c r="B54" i="4"/>
  <c r="C54" i="4"/>
  <c r="C97" i="4" s="1"/>
  <c r="D54" i="4"/>
  <c r="D97" i="4" s="1"/>
  <c r="E54" i="4"/>
  <c r="E97" i="4" s="1"/>
  <c r="F54" i="4"/>
  <c r="F97" i="4" s="1"/>
  <c r="H97" i="4" s="1"/>
  <c r="B55" i="4"/>
  <c r="C55" i="4"/>
  <c r="D55" i="4"/>
  <c r="E55" i="4"/>
  <c r="F55" i="4"/>
  <c r="G55" i="4"/>
  <c r="H55" i="4"/>
  <c r="B56" i="4"/>
  <c r="B99" i="4" s="1"/>
  <c r="C56" i="4"/>
  <c r="C99" i="4" s="1"/>
  <c r="C142" i="4" s="1"/>
  <c r="C185" i="4" s="1"/>
  <c r="C228" i="4" s="1"/>
  <c r="C271" i="4" s="1"/>
  <c r="C314" i="4" s="1"/>
  <c r="C357" i="4" s="1"/>
  <c r="C400" i="4" s="1"/>
  <c r="D56" i="4"/>
  <c r="D99" i="4" s="1"/>
  <c r="D142" i="4" s="1"/>
  <c r="D185" i="4" s="1"/>
  <c r="D228" i="4" s="1"/>
  <c r="D271" i="4" s="1"/>
  <c r="D314" i="4" s="1"/>
  <c r="D357" i="4" s="1"/>
  <c r="D400" i="4" s="1"/>
  <c r="D443" i="4" s="1"/>
  <c r="D486" i="4" s="1"/>
  <c r="E56" i="4"/>
  <c r="F56" i="4"/>
  <c r="B57" i="4"/>
  <c r="B100" i="4" s="1"/>
  <c r="B143" i="4" s="1"/>
  <c r="B186" i="4" s="1"/>
  <c r="B229" i="4" s="1"/>
  <c r="B272" i="4" s="1"/>
  <c r="B315" i="4" s="1"/>
  <c r="B358" i="4" s="1"/>
  <c r="B401" i="4" s="1"/>
  <c r="B444" i="4" s="1"/>
  <c r="B487" i="4" s="1"/>
  <c r="C57" i="4"/>
  <c r="C100" i="4" s="1"/>
  <c r="C143" i="4" s="1"/>
  <c r="C186" i="4" s="1"/>
  <c r="C229" i="4" s="1"/>
  <c r="C272" i="4" s="1"/>
  <c r="C315" i="4" s="1"/>
  <c r="C358" i="4" s="1"/>
  <c r="C401" i="4" s="1"/>
  <c r="C444" i="4" s="1"/>
  <c r="C487" i="4" s="1"/>
  <c r="D57" i="4"/>
  <c r="E57" i="4"/>
  <c r="F57" i="4"/>
  <c r="F100" i="4" s="1"/>
  <c r="G57" i="4"/>
  <c r="H57" i="4"/>
  <c r="B58" i="4"/>
  <c r="B101" i="4" s="1"/>
  <c r="B144" i="4" s="1"/>
  <c r="C58" i="4"/>
  <c r="C101" i="4" s="1"/>
  <c r="C144" i="4" s="1"/>
  <c r="D58" i="4"/>
  <c r="D101" i="4" s="1"/>
  <c r="D144" i="4" s="1"/>
  <c r="D187" i="4" s="1"/>
  <c r="D230" i="4" s="1"/>
  <c r="D273" i="4" s="1"/>
  <c r="D316" i="4" s="1"/>
  <c r="D359" i="4" s="1"/>
  <c r="D402" i="4" s="1"/>
  <c r="D445" i="4" s="1"/>
  <c r="D488" i="4" s="1"/>
  <c r="E58" i="4"/>
  <c r="F58" i="4"/>
  <c r="G58" i="4"/>
  <c r="H58" i="4"/>
  <c r="B59" i="4"/>
  <c r="C59" i="4"/>
  <c r="D59" i="4"/>
  <c r="D102" i="4" s="1"/>
  <c r="E59" i="4"/>
  <c r="F59" i="4"/>
  <c r="B60" i="4"/>
  <c r="B103" i="4" s="1"/>
  <c r="B146" i="4" s="1"/>
  <c r="C60" i="4"/>
  <c r="C103" i="4" s="1"/>
  <c r="C146" i="4" s="1"/>
  <c r="C189" i="4" s="1"/>
  <c r="C232" i="4" s="1"/>
  <c r="C275" i="4" s="1"/>
  <c r="C318" i="4" s="1"/>
  <c r="C361" i="4" s="1"/>
  <c r="C404" i="4" s="1"/>
  <c r="C447" i="4" s="1"/>
  <c r="C490" i="4" s="1"/>
  <c r="D60" i="4"/>
  <c r="D103" i="4" s="1"/>
  <c r="D146" i="4" s="1"/>
  <c r="D189" i="4" s="1"/>
  <c r="D232" i="4" s="1"/>
  <c r="D275" i="4" s="1"/>
  <c r="D318" i="4" s="1"/>
  <c r="D361" i="4" s="1"/>
  <c r="D404" i="4" s="1"/>
  <c r="D447" i="4" s="1"/>
  <c r="D490" i="4" s="1"/>
  <c r="D532" i="4" s="1"/>
  <c r="E60" i="4"/>
  <c r="G60" i="4" s="1"/>
  <c r="F60" i="4"/>
  <c r="F103" i="4" s="1"/>
  <c r="H60" i="4"/>
  <c r="B61" i="4"/>
  <c r="B104" i="4" s="1"/>
  <c r="C61" i="4"/>
  <c r="C104" i="4" s="1"/>
  <c r="D61" i="4"/>
  <c r="D104" i="4" s="1"/>
  <c r="D147" i="4" s="1"/>
  <c r="E61" i="4"/>
  <c r="F61" i="4"/>
  <c r="B62" i="4"/>
  <c r="C62" i="4"/>
  <c r="D62" i="4"/>
  <c r="E62" i="4"/>
  <c r="G62" i="4" s="1"/>
  <c r="F62" i="4"/>
  <c r="B63" i="4"/>
  <c r="B106" i="4" s="1"/>
  <c r="B149" i="4" s="1"/>
  <c r="B192" i="4" s="1"/>
  <c r="B235" i="4" s="1"/>
  <c r="C63" i="4"/>
  <c r="C106" i="4" s="1"/>
  <c r="C149" i="4" s="1"/>
  <c r="D63" i="4"/>
  <c r="D106" i="4" s="1"/>
  <c r="D149" i="4" s="1"/>
  <c r="E63" i="4"/>
  <c r="F63" i="4"/>
  <c r="D64" i="4"/>
  <c r="D66" i="4"/>
  <c r="D109" i="4" s="1"/>
  <c r="D152" i="4" s="1"/>
  <c r="D195" i="4" s="1"/>
  <c r="D238" i="4" s="1"/>
  <c r="D281" i="4" s="1"/>
  <c r="D324" i="4" s="1"/>
  <c r="B67" i="4"/>
  <c r="B110" i="4" s="1"/>
  <c r="B153" i="4" s="1"/>
  <c r="B196" i="4" s="1"/>
  <c r="B239" i="4" s="1"/>
  <c r="B282" i="4" s="1"/>
  <c r="B325" i="4" s="1"/>
  <c r="B368" i="4" s="1"/>
  <c r="B411" i="4" s="1"/>
  <c r="B454" i="4" s="1"/>
  <c r="B497" i="4" s="1"/>
  <c r="C67" i="4"/>
  <c r="C110" i="4" s="1"/>
  <c r="C153" i="4" s="1"/>
  <c r="C196" i="4" s="1"/>
  <c r="C239" i="4" s="1"/>
  <c r="C282" i="4" s="1"/>
  <c r="C325" i="4" s="1"/>
  <c r="D67" i="4"/>
  <c r="D110" i="4" s="1"/>
  <c r="D153" i="4" s="1"/>
  <c r="D196" i="4" s="1"/>
  <c r="D239" i="4" s="1"/>
  <c r="D282" i="4" s="1"/>
  <c r="D325" i="4" s="1"/>
  <c r="D368" i="4" s="1"/>
  <c r="D411" i="4" s="1"/>
  <c r="D454" i="4" s="1"/>
  <c r="D497" i="4" s="1"/>
  <c r="E67" i="4"/>
  <c r="E110" i="4" s="1"/>
  <c r="F67" i="4"/>
  <c r="H67" i="4" s="1"/>
  <c r="B68" i="4"/>
  <c r="C68" i="4"/>
  <c r="C111" i="4" s="1"/>
  <c r="C154" i="4" s="1"/>
  <c r="C197" i="4" s="1"/>
  <c r="D68" i="4"/>
  <c r="D111" i="4" s="1"/>
  <c r="D154" i="4" s="1"/>
  <c r="E68" i="4"/>
  <c r="E111" i="4" s="1"/>
  <c r="F68" i="4"/>
  <c r="F111" i="4" s="1"/>
  <c r="H111" i="4" s="1"/>
  <c r="G68" i="4"/>
  <c r="H68" i="4"/>
  <c r="B69" i="4"/>
  <c r="C69" i="4"/>
  <c r="D69" i="4"/>
  <c r="F69" i="4"/>
  <c r="B70" i="4"/>
  <c r="B113" i="4" s="1"/>
  <c r="C70" i="4"/>
  <c r="C113" i="4" s="1"/>
  <c r="D70" i="4"/>
  <c r="D113" i="4" s="1"/>
  <c r="D156" i="4" s="1"/>
  <c r="B71" i="4"/>
  <c r="C71" i="4"/>
  <c r="D71" i="4"/>
  <c r="D114" i="4" s="1"/>
  <c r="D157" i="4" s="1"/>
  <c r="D200" i="4" s="1"/>
  <c r="D243" i="4" s="1"/>
  <c r="D286" i="4" s="1"/>
  <c r="D329" i="4" s="1"/>
  <c r="D372" i="4" s="1"/>
  <c r="D415" i="4" s="1"/>
  <c r="D458" i="4" s="1"/>
  <c r="D501" i="4" s="1"/>
  <c r="F71" i="4"/>
  <c r="B72" i="4"/>
  <c r="B115" i="4" s="1"/>
  <c r="B158" i="4" s="1"/>
  <c r="B201" i="4" s="1"/>
  <c r="B244" i="4" s="1"/>
  <c r="B287" i="4" s="1"/>
  <c r="B330" i="4" s="1"/>
  <c r="B373" i="4" s="1"/>
  <c r="B416" i="4" s="1"/>
  <c r="B459" i="4" s="1"/>
  <c r="B502" i="4" s="1"/>
  <c r="C72" i="4"/>
  <c r="C115" i="4" s="1"/>
  <c r="C158" i="4" s="1"/>
  <c r="C201" i="4" s="1"/>
  <c r="C244" i="4" s="1"/>
  <c r="C287" i="4" s="1"/>
  <c r="C330" i="4" s="1"/>
  <c r="C373" i="4" s="1"/>
  <c r="C416" i="4" s="1"/>
  <c r="C459" i="4" s="1"/>
  <c r="C502" i="4" s="1"/>
  <c r="D72" i="4"/>
  <c r="D115" i="4" s="1"/>
  <c r="D158" i="4" s="1"/>
  <c r="B73" i="4"/>
  <c r="C73" i="4"/>
  <c r="D73" i="4"/>
  <c r="D116" i="4" s="1"/>
  <c r="D159" i="4" s="1"/>
  <c r="D202" i="4" s="1"/>
  <c r="D245" i="4" s="1"/>
  <c r="D288" i="4" s="1"/>
  <c r="D331" i="4" s="1"/>
  <c r="D374" i="4" s="1"/>
  <c r="B74" i="4"/>
  <c r="B117" i="4" s="1"/>
  <c r="B160" i="4" s="1"/>
  <c r="B203" i="4" s="1"/>
  <c r="B246" i="4" s="1"/>
  <c r="C74" i="4"/>
  <c r="D74" i="4"/>
  <c r="D117" i="4" s="1"/>
  <c r="D160" i="4" s="1"/>
  <c r="D203" i="4" s="1"/>
  <c r="D246" i="4" s="1"/>
  <c r="D289" i="4" s="1"/>
  <c r="D332" i="4" s="1"/>
  <c r="D375" i="4" s="1"/>
  <c r="D418" i="4" s="1"/>
  <c r="D461" i="4" s="1"/>
  <c r="D504" i="4" s="1"/>
  <c r="B75" i="4"/>
  <c r="B118" i="4" s="1"/>
  <c r="C75" i="4"/>
  <c r="C118" i="4" s="1"/>
  <c r="C161" i="4" s="1"/>
  <c r="C204" i="4" s="1"/>
  <c r="C247" i="4" s="1"/>
  <c r="C290" i="4" s="1"/>
  <c r="C333" i="4" s="1"/>
  <c r="C376" i="4" s="1"/>
  <c r="C419" i="4" s="1"/>
  <c r="C462" i="4" s="1"/>
  <c r="C505" i="4" s="1"/>
  <c r="D75" i="4"/>
  <c r="D118" i="4" s="1"/>
  <c r="E75" i="4"/>
  <c r="E118" i="4" s="1"/>
  <c r="F75" i="4"/>
  <c r="G75" i="4" s="1"/>
  <c r="B76" i="4"/>
  <c r="C76" i="4"/>
  <c r="D76" i="4"/>
  <c r="B77" i="4"/>
  <c r="B120" i="4" s="1"/>
  <c r="C77" i="4"/>
  <c r="C120" i="4" s="1"/>
  <c r="D77" i="4"/>
  <c r="D120" i="4" s="1"/>
  <c r="D163" i="4" s="1"/>
  <c r="E77" i="4"/>
  <c r="F77" i="4"/>
  <c r="F120" i="4" s="1"/>
  <c r="F163" i="4" s="1"/>
  <c r="F206" i="4" s="1"/>
  <c r="F249" i="4" s="1"/>
  <c r="F292" i="4" s="1"/>
  <c r="B78" i="4"/>
  <c r="C78" i="4"/>
  <c r="D78" i="4"/>
  <c r="D121" i="4" s="1"/>
  <c r="D164" i="4" s="1"/>
  <c r="D207" i="4" s="1"/>
  <c r="D250" i="4" s="1"/>
  <c r="D293" i="4" s="1"/>
  <c r="D336" i="4" s="1"/>
  <c r="D379" i="4" s="1"/>
  <c r="D422" i="4" s="1"/>
  <c r="D465" i="4" s="1"/>
  <c r="D508" i="4" s="1"/>
  <c r="E78" i="4"/>
  <c r="F78" i="4"/>
  <c r="D79" i="4"/>
  <c r="D122" i="4" s="1"/>
  <c r="D165" i="4" s="1"/>
  <c r="E82" i="4"/>
  <c r="F82" i="4"/>
  <c r="G82" i="4"/>
  <c r="G125" i="4" s="1"/>
  <c r="G168" i="4" s="1"/>
  <c r="G211" i="4" s="1"/>
  <c r="G254" i="4" s="1"/>
  <c r="G297" i="4" s="1"/>
  <c r="H82" i="4"/>
  <c r="H125" i="4" s="1"/>
  <c r="H168" i="4" s="1"/>
  <c r="H211" i="4" s="1"/>
  <c r="H254" i="4" s="1"/>
  <c r="H297" i="4" s="1"/>
  <c r="H340" i="4" s="1"/>
  <c r="H383" i="4" s="1"/>
  <c r="H426" i="4" s="1"/>
  <c r="H469" i="4" s="1"/>
  <c r="H512" i="4" s="1"/>
  <c r="D83" i="4"/>
  <c r="D126" i="4" s="1"/>
  <c r="D169" i="4" s="1"/>
  <c r="D212" i="4" s="1"/>
  <c r="D255" i="4" s="1"/>
  <c r="D298" i="4" s="1"/>
  <c r="D341" i="4" s="1"/>
  <c r="D384" i="4" s="1"/>
  <c r="D427" i="4" s="1"/>
  <c r="D470" i="4" s="1"/>
  <c r="D513" i="4" s="1"/>
  <c r="D84" i="4"/>
  <c r="D127" i="4" s="1"/>
  <c r="D170" i="4" s="1"/>
  <c r="D213" i="4" s="1"/>
  <c r="D256" i="4" s="1"/>
  <c r="D299" i="4" s="1"/>
  <c r="D342" i="4" s="1"/>
  <c r="D385" i="4" s="1"/>
  <c r="D428" i="4" s="1"/>
  <c r="D471" i="4" s="1"/>
  <c r="D514" i="4" s="1"/>
  <c r="G90" i="4"/>
  <c r="G133" i="4" s="1"/>
  <c r="H90" i="4"/>
  <c r="H133" i="4" s="1"/>
  <c r="H176" i="4" s="1"/>
  <c r="D94" i="4"/>
  <c r="D137" i="4" s="1"/>
  <c r="D180" i="4" s="1"/>
  <c r="B95" i="4"/>
  <c r="B138" i="4" s="1"/>
  <c r="B181" i="4" s="1"/>
  <c r="C95" i="4"/>
  <c r="C138" i="4" s="1"/>
  <c r="C181" i="4" s="1"/>
  <c r="D95" i="4"/>
  <c r="D138" i="4" s="1"/>
  <c r="D181" i="4" s="1"/>
  <c r="D96" i="4"/>
  <c r="D139" i="4" s="1"/>
  <c r="D182" i="4" s="1"/>
  <c r="D225" i="4" s="1"/>
  <c r="D268" i="4" s="1"/>
  <c r="D311" i="4" s="1"/>
  <c r="D354" i="4" s="1"/>
  <c r="D397" i="4" s="1"/>
  <c r="D440" i="4" s="1"/>
  <c r="D483" i="4" s="1"/>
  <c r="D525" i="4" s="1"/>
  <c r="E96" i="4"/>
  <c r="E139" i="4" s="1"/>
  <c r="F96" i="4"/>
  <c r="F139" i="4" s="1"/>
  <c r="B97" i="4"/>
  <c r="B140" i="4" s="1"/>
  <c r="B183" i="4" s="1"/>
  <c r="B226" i="4" s="1"/>
  <c r="B269" i="4" s="1"/>
  <c r="B312" i="4" s="1"/>
  <c r="B355" i="4" s="1"/>
  <c r="B398" i="4" s="1"/>
  <c r="B441" i="4" s="1"/>
  <c r="B484" i="4" s="1"/>
  <c r="B98" i="4"/>
  <c r="B141" i="4" s="1"/>
  <c r="C98" i="4"/>
  <c r="C141" i="4" s="1"/>
  <c r="C184" i="4" s="1"/>
  <c r="D98" i="4"/>
  <c r="D141" i="4" s="1"/>
  <c r="D184" i="4" s="1"/>
  <c r="E98" i="4"/>
  <c r="E141" i="4" s="1"/>
  <c r="E184" i="4" s="1"/>
  <c r="F98" i="4"/>
  <c r="D100" i="4"/>
  <c r="E100" i="4"/>
  <c r="G100" i="4" s="1"/>
  <c r="E101" i="4"/>
  <c r="E144" i="4" s="1"/>
  <c r="F101" i="4"/>
  <c r="F144" i="4" s="1"/>
  <c r="F187" i="4" s="1"/>
  <c r="F230" i="4" s="1"/>
  <c r="F273" i="4" s="1"/>
  <c r="F316" i="4" s="1"/>
  <c r="B102" i="4"/>
  <c r="B145" i="4" s="1"/>
  <c r="B188" i="4" s="1"/>
  <c r="B231" i="4" s="1"/>
  <c r="B274" i="4" s="1"/>
  <c r="B317" i="4" s="1"/>
  <c r="B360" i="4" s="1"/>
  <c r="B403" i="4" s="1"/>
  <c r="B446" i="4" s="1"/>
  <c r="B489" i="4" s="1"/>
  <c r="C102" i="4"/>
  <c r="C145" i="4" s="1"/>
  <c r="C188" i="4" s="1"/>
  <c r="C231" i="4" s="1"/>
  <c r="B105" i="4"/>
  <c r="C105" i="4"/>
  <c r="D105" i="4"/>
  <c r="E105" i="4"/>
  <c r="E148" i="4" s="1"/>
  <c r="F105" i="4"/>
  <c r="F106" i="4"/>
  <c r="F149" i="4" s="1"/>
  <c r="D107" i="4"/>
  <c r="D150" i="4" s="1"/>
  <c r="D193" i="4" s="1"/>
  <c r="D236" i="4" s="1"/>
  <c r="D279" i="4" s="1"/>
  <c r="D322" i="4" s="1"/>
  <c r="D365" i="4" s="1"/>
  <c r="D408" i="4" s="1"/>
  <c r="D451" i="4" s="1"/>
  <c r="D494" i="4" s="1"/>
  <c r="B111" i="4"/>
  <c r="B154" i="4" s="1"/>
  <c r="B197" i="4" s="1"/>
  <c r="B112" i="4"/>
  <c r="B155" i="4" s="1"/>
  <c r="B198" i="4" s="1"/>
  <c r="B241" i="4" s="1"/>
  <c r="B284" i="4" s="1"/>
  <c r="B327" i="4" s="1"/>
  <c r="B370" i="4" s="1"/>
  <c r="B413" i="4" s="1"/>
  <c r="B456" i="4" s="1"/>
  <c r="B499" i="4" s="1"/>
  <c r="C112" i="4"/>
  <c r="C155" i="4" s="1"/>
  <c r="C198" i="4" s="1"/>
  <c r="C241" i="4" s="1"/>
  <c r="C284" i="4" s="1"/>
  <c r="C327" i="4" s="1"/>
  <c r="C370" i="4" s="1"/>
  <c r="C413" i="4" s="1"/>
  <c r="C456" i="4" s="1"/>
  <c r="C499" i="4" s="1"/>
  <c r="D112" i="4"/>
  <c r="D155" i="4" s="1"/>
  <c r="D198" i="4" s="1"/>
  <c r="D241" i="4" s="1"/>
  <c r="D284" i="4" s="1"/>
  <c r="D327" i="4" s="1"/>
  <c r="D370" i="4" s="1"/>
  <c r="D413" i="4" s="1"/>
  <c r="D456" i="4" s="1"/>
  <c r="D499" i="4" s="1"/>
  <c r="F112" i="4"/>
  <c r="B114" i="4"/>
  <c r="B157" i="4" s="1"/>
  <c r="B200" i="4" s="1"/>
  <c r="B243" i="4" s="1"/>
  <c r="B286" i="4" s="1"/>
  <c r="C114" i="4"/>
  <c r="C157" i="4" s="1"/>
  <c r="C200" i="4" s="1"/>
  <c r="E115" i="4"/>
  <c r="E158" i="4" s="1"/>
  <c r="B116" i="4"/>
  <c r="B159" i="4" s="1"/>
  <c r="B202" i="4" s="1"/>
  <c r="B245" i="4" s="1"/>
  <c r="B288" i="4" s="1"/>
  <c r="B331" i="4" s="1"/>
  <c r="C116" i="4"/>
  <c r="C117" i="4"/>
  <c r="C160" i="4" s="1"/>
  <c r="B119" i="4"/>
  <c r="B162" i="4" s="1"/>
  <c r="B205" i="4" s="1"/>
  <c r="C119" i="4"/>
  <c r="C162" i="4" s="1"/>
  <c r="C205" i="4" s="1"/>
  <c r="C248" i="4" s="1"/>
  <c r="C291" i="4" s="1"/>
  <c r="D119" i="4"/>
  <c r="D162" i="4" s="1"/>
  <c r="D205" i="4" s="1"/>
  <c r="D248" i="4" s="1"/>
  <c r="D291" i="4" s="1"/>
  <c r="D334" i="4" s="1"/>
  <c r="D377" i="4" s="1"/>
  <c r="D420" i="4" s="1"/>
  <c r="D463" i="4" s="1"/>
  <c r="D506" i="4" s="1"/>
  <c r="E119" i="4"/>
  <c r="B121" i="4"/>
  <c r="B164" i="4" s="1"/>
  <c r="B207" i="4" s="1"/>
  <c r="B250" i="4" s="1"/>
  <c r="B293" i="4" s="1"/>
  <c r="B336" i="4" s="1"/>
  <c r="B379" i="4" s="1"/>
  <c r="C121" i="4"/>
  <c r="E125" i="4"/>
  <c r="E168" i="4" s="1"/>
  <c r="E211" i="4" s="1"/>
  <c r="F125" i="4"/>
  <c r="E133" i="4"/>
  <c r="E176" i="4" s="1"/>
  <c r="E219" i="4" s="1"/>
  <c r="E262" i="4" s="1"/>
  <c r="E305" i="4" s="1"/>
  <c r="E348" i="4" s="1"/>
  <c r="E391" i="4" s="1"/>
  <c r="E434" i="4" s="1"/>
  <c r="E477" i="4" s="1"/>
  <c r="E520" i="4" s="1"/>
  <c r="F133" i="4"/>
  <c r="F176" i="4" s="1"/>
  <c r="F219" i="4" s="1"/>
  <c r="F262" i="4" s="1"/>
  <c r="F305" i="4" s="1"/>
  <c r="F348" i="4" s="1"/>
  <c r="F391" i="4" s="1"/>
  <c r="F434" i="4" s="1"/>
  <c r="F477" i="4" s="1"/>
  <c r="I138" i="4"/>
  <c r="I140" i="4" s="1"/>
  <c r="I147" i="4" s="1"/>
  <c r="I148" i="4" s="1"/>
  <c r="J138" i="4"/>
  <c r="C140" i="4"/>
  <c r="C183" i="4" s="1"/>
  <c r="C226" i="4" s="1"/>
  <c r="C269" i="4" s="1"/>
  <c r="D140" i="4"/>
  <c r="D183" i="4" s="1"/>
  <c r="D226" i="4" s="1"/>
  <c r="D269" i="4" s="1"/>
  <c r="E140" i="4"/>
  <c r="F141" i="4"/>
  <c r="F184" i="4" s="1"/>
  <c r="J141" i="4"/>
  <c r="B142" i="4"/>
  <c r="D143" i="4"/>
  <c r="D186" i="4" s="1"/>
  <c r="D229" i="4" s="1"/>
  <c r="D272" i="4" s="1"/>
  <c r="D315" i="4" s="1"/>
  <c r="D358" i="4" s="1"/>
  <c r="D401" i="4" s="1"/>
  <c r="F143" i="4"/>
  <c r="D145" i="4"/>
  <c r="D188" i="4" s="1"/>
  <c r="B147" i="4"/>
  <c r="B190" i="4" s="1"/>
  <c r="B233" i="4" s="1"/>
  <c r="B276" i="4" s="1"/>
  <c r="B319" i="4" s="1"/>
  <c r="B362" i="4" s="1"/>
  <c r="B405" i="4" s="1"/>
  <c r="B448" i="4" s="1"/>
  <c r="B491" i="4" s="1"/>
  <c r="C147" i="4"/>
  <c r="C190" i="4" s="1"/>
  <c r="C233" i="4" s="1"/>
  <c r="C276" i="4" s="1"/>
  <c r="C319" i="4" s="1"/>
  <c r="C362" i="4" s="1"/>
  <c r="C405" i="4" s="1"/>
  <c r="B148" i="4"/>
  <c r="B191" i="4" s="1"/>
  <c r="C148" i="4"/>
  <c r="C191" i="4" s="1"/>
  <c r="C234" i="4" s="1"/>
  <c r="C277" i="4" s="1"/>
  <c r="C320" i="4" s="1"/>
  <c r="C363" i="4" s="1"/>
  <c r="C406" i="4" s="1"/>
  <c r="C449" i="4" s="1"/>
  <c r="C492" i="4" s="1"/>
  <c r="D148" i="4"/>
  <c r="D191" i="4" s="1"/>
  <c r="D234" i="4" s="1"/>
  <c r="D277" i="4" s="1"/>
  <c r="D320" i="4" s="1"/>
  <c r="D363" i="4" s="1"/>
  <c r="D406" i="4" s="1"/>
  <c r="D449" i="4" s="1"/>
  <c r="D492" i="4" s="1"/>
  <c r="F148" i="4"/>
  <c r="J148" i="4"/>
  <c r="J153" i="4"/>
  <c r="E154" i="4"/>
  <c r="E197" i="4" s="1"/>
  <c r="E240" i="4" s="1"/>
  <c r="F154" i="4"/>
  <c r="F197" i="4" s="1"/>
  <c r="B156" i="4"/>
  <c r="B199" i="4" s="1"/>
  <c r="B242" i="4" s="1"/>
  <c r="B285" i="4" s="1"/>
  <c r="B328" i="4" s="1"/>
  <c r="B371" i="4" s="1"/>
  <c r="B414" i="4" s="1"/>
  <c r="B457" i="4" s="1"/>
  <c r="B500" i="4" s="1"/>
  <c r="C156" i="4"/>
  <c r="C199" i="4" s="1"/>
  <c r="C242" i="4" s="1"/>
  <c r="C285" i="4" s="1"/>
  <c r="C328" i="4" s="1"/>
  <c r="J156" i="4"/>
  <c r="C159" i="4"/>
  <c r="C202" i="4" s="1"/>
  <c r="B161" i="4"/>
  <c r="B204" i="4" s="1"/>
  <c r="D161" i="4"/>
  <c r="D204" i="4" s="1"/>
  <c r="D247" i="4" s="1"/>
  <c r="D290" i="4" s="1"/>
  <c r="D333" i="4" s="1"/>
  <c r="D376" i="4" s="1"/>
  <c r="D419" i="4" s="1"/>
  <c r="D462" i="4" s="1"/>
  <c r="D505" i="4" s="1"/>
  <c r="E161" i="4"/>
  <c r="B163" i="4"/>
  <c r="C163" i="4"/>
  <c r="J163" i="4"/>
  <c r="C164" i="4"/>
  <c r="C207" i="4" s="1"/>
  <c r="C250" i="4" s="1"/>
  <c r="C293" i="4" s="1"/>
  <c r="C336" i="4" s="1"/>
  <c r="C379" i="4" s="1"/>
  <c r="C422" i="4" s="1"/>
  <c r="C465" i="4" s="1"/>
  <c r="C508" i="4" s="1"/>
  <c r="F168" i="4"/>
  <c r="F211" i="4" s="1"/>
  <c r="F254" i="4" s="1"/>
  <c r="F297" i="4" s="1"/>
  <c r="G176" i="4"/>
  <c r="G219" i="4" s="1"/>
  <c r="G262" i="4" s="1"/>
  <c r="G305" i="4" s="1"/>
  <c r="G348" i="4" s="1"/>
  <c r="G391" i="4" s="1"/>
  <c r="G434" i="4" s="1"/>
  <c r="G477" i="4" s="1"/>
  <c r="F181" i="4"/>
  <c r="B182" i="4"/>
  <c r="B225" i="4" s="1"/>
  <c r="B268" i="4" s="1"/>
  <c r="B311" i="4" s="1"/>
  <c r="B354" i="4" s="1"/>
  <c r="B397" i="4" s="1"/>
  <c r="B440" i="4" s="1"/>
  <c r="B483" i="4" s="1"/>
  <c r="C182" i="4"/>
  <c r="C225" i="4" s="1"/>
  <c r="C268" i="4" s="1"/>
  <c r="B184" i="4"/>
  <c r="B227" i="4" s="1"/>
  <c r="B270" i="4" s="1"/>
  <c r="B313" i="4" s="1"/>
  <c r="B185" i="4"/>
  <c r="B228" i="4" s="1"/>
  <c r="B271" i="4" s="1"/>
  <c r="B187" i="4"/>
  <c r="B230" i="4" s="1"/>
  <c r="B273" i="4" s="1"/>
  <c r="C187" i="4"/>
  <c r="C230" i="4" s="1"/>
  <c r="C273" i="4" s="1"/>
  <c r="C316" i="4" s="1"/>
  <c r="C359" i="4" s="1"/>
  <c r="C402" i="4" s="1"/>
  <c r="C445" i="4" s="1"/>
  <c r="C488" i="4" s="1"/>
  <c r="C574" i="4" s="1"/>
  <c r="E187" i="4"/>
  <c r="B189" i="4"/>
  <c r="B232" i="4" s="1"/>
  <c r="D190" i="4"/>
  <c r="D233" i="4" s="1"/>
  <c r="D276" i="4" s="1"/>
  <c r="D319" i="4" s="1"/>
  <c r="C192" i="4"/>
  <c r="C235" i="4" s="1"/>
  <c r="C278" i="4" s="1"/>
  <c r="C321" i="4" s="1"/>
  <c r="C364" i="4" s="1"/>
  <c r="C407" i="4" s="1"/>
  <c r="C450" i="4" s="1"/>
  <c r="C493" i="4" s="1"/>
  <c r="D192" i="4"/>
  <c r="D235" i="4" s="1"/>
  <c r="D278" i="4" s="1"/>
  <c r="D197" i="4"/>
  <c r="D240" i="4" s="1"/>
  <c r="D199" i="4"/>
  <c r="D242" i="4" s="1"/>
  <c r="D201" i="4"/>
  <c r="D244" i="4" s="1"/>
  <c r="D287" i="4" s="1"/>
  <c r="D330" i="4" s="1"/>
  <c r="D373" i="4" s="1"/>
  <c r="D416" i="4" s="1"/>
  <c r="D459" i="4" s="1"/>
  <c r="E201" i="4"/>
  <c r="C203" i="4"/>
  <c r="B206" i="4"/>
  <c r="B249" i="4" s="1"/>
  <c r="B292" i="4" s="1"/>
  <c r="B335" i="4" s="1"/>
  <c r="B378" i="4" s="1"/>
  <c r="B421" i="4" s="1"/>
  <c r="B464" i="4" s="1"/>
  <c r="B507" i="4" s="1"/>
  <c r="B593" i="4" s="1"/>
  <c r="C206" i="4"/>
  <c r="C249" i="4" s="1"/>
  <c r="D206" i="4"/>
  <c r="D208" i="4"/>
  <c r="D251" i="4" s="1"/>
  <c r="D294" i="4" s="1"/>
  <c r="D337" i="4" s="1"/>
  <c r="D380" i="4" s="1"/>
  <c r="D423" i="4" s="1"/>
  <c r="D466" i="4" s="1"/>
  <c r="D509" i="4" s="1"/>
  <c r="D551" i="4" s="1"/>
  <c r="H219" i="4"/>
  <c r="H262" i="4" s="1"/>
  <c r="H305" i="4" s="1"/>
  <c r="H348" i="4" s="1"/>
  <c r="H391" i="4" s="1"/>
  <c r="H434" i="4" s="1"/>
  <c r="H477" i="4" s="1"/>
  <c r="D223" i="4"/>
  <c r="D266" i="4" s="1"/>
  <c r="B224" i="4"/>
  <c r="C224" i="4"/>
  <c r="C267" i="4" s="1"/>
  <c r="C310" i="4" s="1"/>
  <c r="C353" i="4" s="1"/>
  <c r="C396" i="4" s="1"/>
  <c r="C439" i="4" s="1"/>
  <c r="C482" i="4" s="1"/>
  <c r="D224" i="4"/>
  <c r="D267" i="4" s="1"/>
  <c r="C227" i="4"/>
  <c r="D227" i="4"/>
  <c r="E227" i="4"/>
  <c r="E270" i="4" s="1"/>
  <c r="F227" i="4"/>
  <c r="D231" i="4"/>
  <c r="B234" i="4"/>
  <c r="B277" i="4" s="1"/>
  <c r="B320" i="4" s="1"/>
  <c r="B363" i="4" s="1"/>
  <c r="B406" i="4" s="1"/>
  <c r="B449" i="4" s="1"/>
  <c r="B492" i="4" s="1"/>
  <c r="B240" i="4"/>
  <c r="B283" i="4" s="1"/>
  <c r="B326" i="4" s="1"/>
  <c r="B369" i="4" s="1"/>
  <c r="B412" i="4" s="1"/>
  <c r="B455" i="4" s="1"/>
  <c r="C240" i="4"/>
  <c r="C243" i="4"/>
  <c r="C286" i="4" s="1"/>
  <c r="C245" i="4"/>
  <c r="C288" i="4" s="1"/>
  <c r="C331" i="4" s="1"/>
  <c r="C374" i="4" s="1"/>
  <c r="C417" i="4" s="1"/>
  <c r="C460" i="4" s="1"/>
  <c r="C503" i="4" s="1"/>
  <c r="C246" i="4"/>
  <c r="C289" i="4" s="1"/>
  <c r="C332" i="4" s="1"/>
  <c r="C375" i="4" s="1"/>
  <c r="C418" i="4" s="1"/>
  <c r="C461" i="4" s="1"/>
  <c r="C504" i="4" s="1"/>
  <c r="C590" i="4" s="1"/>
  <c r="B247" i="4"/>
  <c r="B290" i="4" s="1"/>
  <c r="B333" i="4" s="1"/>
  <c r="B376" i="4" s="1"/>
  <c r="B419" i="4" s="1"/>
  <c r="B462" i="4" s="1"/>
  <c r="B505" i="4" s="1"/>
  <c r="B248" i="4"/>
  <c r="D249" i="4"/>
  <c r="D292" i="4" s="1"/>
  <c r="D335" i="4" s="1"/>
  <c r="D378" i="4" s="1"/>
  <c r="D421" i="4" s="1"/>
  <c r="D464" i="4" s="1"/>
  <c r="D507" i="4" s="1"/>
  <c r="E254" i="4"/>
  <c r="E297" i="4" s="1"/>
  <c r="B267" i="4"/>
  <c r="B310" i="4" s="1"/>
  <c r="B353" i="4" s="1"/>
  <c r="B396" i="4" s="1"/>
  <c r="B439" i="4" s="1"/>
  <c r="B482" i="4" s="1"/>
  <c r="J267" i="4"/>
  <c r="C270" i="4"/>
  <c r="C313" i="4" s="1"/>
  <c r="C356" i="4" s="1"/>
  <c r="C399" i="4" s="1"/>
  <c r="C442" i="4" s="1"/>
  <c r="C485" i="4" s="1"/>
  <c r="D270" i="4"/>
  <c r="D313" i="4" s="1"/>
  <c r="D356" i="4" s="1"/>
  <c r="F270" i="4"/>
  <c r="J270" i="4"/>
  <c r="C274" i="4"/>
  <c r="C317" i="4" s="1"/>
  <c r="D274" i="4"/>
  <c r="D317" i="4" s="1"/>
  <c r="D360" i="4" s="1"/>
  <c r="D403" i="4" s="1"/>
  <c r="D446" i="4" s="1"/>
  <c r="D489" i="4" s="1"/>
  <c r="B275" i="4"/>
  <c r="B318" i="4" s="1"/>
  <c r="B361" i="4" s="1"/>
  <c r="B404" i="4" s="1"/>
  <c r="B447" i="4" s="1"/>
  <c r="B490" i="4" s="1"/>
  <c r="J277" i="4"/>
  <c r="B278" i="4"/>
  <c r="B321" i="4" s="1"/>
  <c r="B364" i="4" s="1"/>
  <c r="B407" i="4" s="1"/>
  <c r="B450" i="4" s="1"/>
  <c r="B493" i="4" s="1"/>
  <c r="J282" i="4"/>
  <c r="C283" i="4"/>
  <c r="C326" i="4" s="1"/>
  <c r="C369" i="4" s="1"/>
  <c r="C412" i="4" s="1"/>
  <c r="C455" i="4" s="1"/>
  <c r="C498" i="4" s="1"/>
  <c r="C541" i="4" s="1"/>
  <c r="D283" i="4"/>
  <c r="D326" i="4" s="1"/>
  <c r="D369" i="4" s="1"/>
  <c r="D412" i="4" s="1"/>
  <c r="D455" i="4" s="1"/>
  <c r="D498" i="4" s="1"/>
  <c r="D540" i="4" s="1"/>
  <c r="E283" i="4"/>
  <c r="E326" i="4" s="1"/>
  <c r="E369" i="4" s="1"/>
  <c r="E412" i="4" s="1"/>
  <c r="E455" i="4" s="1"/>
  <c r="E498" i="4" s="1"/>
  <c r="E541" i="4" s="1"/>
  <c r="D285" i="4"/>
  <c r="D328" i="4" s="1"/>
  <c r="D371" i="4" s="1"/>
  <c r="D414" i="4" s="1"/>
  <c r="D457" i="4" s="1"/>
  <c r="D500" i="4" s="1"/>
  <c r="J285" i="4"/>
  <c r="B289" i="4"/>
  <c r="B332" i="4" s="1"/>
  <c r="B291" i="4"/>
  <c r="B334" i="4" s="1"/>
  <c r="B377" i="4" s="1"/>
  <c r="B420" i="4" s="1"/>
  <c r="B463" i="4" s="1"/>
  <c r="B506" i="4" s="1"/>
  <c r="C292" i="4"/>
  <c r="C335" i="4" s="1"/>
  <c r="C378" i="4" s="1"/>
  <c r="C421" i="4" s="1"/>
  <c r="C464" i="4" s="1"/>
  <c r="C507" i="4" s="1"/>
  <c r="C593" i="4" s="1"/>
  <c r="J292" i="4"/>
  <c r="D309" i="4"/>
  <c r="D352" i="4" s="1"/>
  <c r="D310" i="4"/>
  <c r="D353" i="4" s="1"/>
  <c r="D396" i="4" s="1"/>
  <c r="D439" i="4" s="1"/>
  <c r="D482" i="4" s="1"/>
  <c r="D568" i="4" s="1"/>
  <c r="C311" i="4"/>
  <c r="C354" i="4" s="1"/>
  <c r="C397" i="4" s="1"/>
  <c r="C440" i="4" s="1"/>
  <c r="C483" i="4" s="1"/>
  <c r="C312" i="4"/>
  <c r="D312" i="4"/>
  <c r="D355" i="4" s="1"/>
  <c r="D398" i="4" s="1"/>
  <c r="D441" i="4" s="1"/>
  <c r="D484" i="4" s="1"/>
  <c r="B314" i="4"/>
  <c r="B357" i="4" s="1"/>
  <c r="B400" i="4" s="1"/>
  <c r="B316" i="4"/>
  <c r="B359" i="4" s="1"/>
  <c r="D321" i="4"/>
  <c r="D364" i="4" s="1"/>
  <c r="D407" i="4" s="1"/>
  <c r="D450" i="4" s="1"/>
  <c r="D493" i="4" s="1"/>
  <c r="B329" i="4"/>
  <c r="B372" i="4" s="1"/>
  <c r="C329" i="4"/>
  <c r="C372" i="4" s="1"/>
  <c r="C415" i="4" s="1"/>
  <c r="C458" i="4" s="1"/>
  <c r="C501" i="4" s="1"/>
  <c r="C334" i="4"/>
  <c r="C377" i="4" s="1"/>
  <c r="C420" i="4" s="1"/>
  <c r="C463" i="4" s="1"/>
  <c r="C506" i="4" s="1"/>
  <c r="E340" i="4"/>
  <c r="E383" i="4" s="1"/>
  <c r="E426" i="4" s="1"/>
  <c r="E469" i="4" s="1"/>
  <c r="E512" i="4" s="1"/>
  <c r="F340" i="4"/>
  <c r="G340" i="4"/>
  <c r="G383" i="4" s="1"/>
  <c r="G426" i="4" s="1"/>
  <c r="G469" i="4" s="1"/>
  <c r="G512" i="4" s="1"/>
  <c r="C355" i="4"/>
  <c r="C398" i="4" s="1"/>
  <c r="C441" i="4" s="1"/>
  <c r="C484" i="4" s="1"/>
  <c r="C527" i="4" s="1"/>
  <c r="B356" i="4"/>
  <c r="B399" i="4" s="1"/>
  <c r="B442" i="4" s="1"/>
  <c r="B485" i="4" s="1"/>
  <c r="B528" i="4" s="1"/>
  <c r="C360" i="4"/>
  <c r="C403" i="4" s="1"/>
  <c r="C446" i="4" s="1"/>
  <c r="C489" i="4" s="1"/>
  <c r="D362" i="4"/>
  <c r="D405" i="4" s="1"/>
  <c r="D448" i="4" s="1"/>
  <c r="D491" i="4" s="1"/>
  <c r="D367" i="4"/>
  <c r="D410" i="4" s="1"/>
  <c r="C368" i="4"/>
  <c r="C411" i="4" s="1"/>
  <c r="C371" i="4"/>
  <c r="C414" i="4" s="1"/>
  <c r="C457" i="4" s="1"/>
  <c r="B374" i="4"/>
  <c r="B417" i="4" s="1"/>
  <c r="B460" i="4" s="1"/>
  <c r="B503" i="4" s="1"/>
  <c r="B375" i="4"/>
  <c r="B418" i="4" s="1"/>
  <c r="B461" i="4" s="1"/>
  <c r="B504" i="4" s="1"/>
  <c r="F383" i="4"/>
  <c r="F426" i="4" s="1"/>
  <c r="F469" i="4" s="1"/>
  <c r="F512" i="4" s="1"/>
  <c r="D395" i="4"/>
  <c r="D438" i="4" s="1"/>
  <c r="D481" i="4" s="1"/>
  <c r="D567" i="4" s="1"/>
  <c r="J396" i="4"/>
  <c r="D399" i="4"/>
  <c r="D442" i="4" s="1"/>
  <c r="D485" i="4" s="1"/>
  <c r="J399" i="4"/>
  <c r="B402" i="4"/>
  <c r="J406" i="4"/>
  <c r="J411" i="4"/>
  <c r="J414" i="4"/>
  <c r="B415" i="4"/>
  <c r="B458" i="4" s="1"/>
  <c r="B501" i="4" s="1"/>
  <c r="D417" i="4"/>
  <c r="D460" i="4" s="1"/>
  <c r="J421" i="4"/>
  <c r="B422" i="4"/>
  <c r="B465" i="4" s="1"/>
  <c r="B508" i="4" s="1"/>
  <c r="B443" i="4"/>
  <c r="B486" i="4" s="1"/>
  <c r="C443" i="4"/>
  <c r="C486" i="4" s="1"/>
  <c r="C529" i="4" s="1"/>
  <c r="D444" i="4"/>
  <c r="D487" i="4" s="1"/>
  <c r="B445" i="4"/>
  <c r="B488" i="4" s="1"/>
  <c r="B531" i="4" s="1"/>
  <c r="C448" i="4"/>
  <c r="C491" i="4" s="1"/>
  <c r="C577" i="4" s="1"/>
  <c r="D453" i="4"/>
  <c r="D496" i="4" s="1"/>
  <c r="D582" i="4" s="1"/>
  <c r="C454" i="4"/>
  <c r="C497" i="4" s="1"/>
  <c r="B498" i="4"/>
  <c r="B541" i="4" s="1"/>
  <c r="C500" i="4"/>
  <c r="C586" i="4" s="1"/>
  <c r="D502" i="4"/>
  <c r="D588" i="4" s="1"/>
  <c r="D503" i="4"/>
  <c r="C531" i="4"/>
  <c r="D545" i="4"/>
  <c r="C550" i="4"/>
  <c r="M552" i="4"/>
  <c r="J568" i="4"/>
  <c r="J571" i="4"/>
  <c r="J578" i="4"/>
  <c r="L580" i="4"/>
  <c r="F608" i="4" s="1"/>
  <c r="M580" i="4"/>
  <c r="J583" i="4"/>
  <c r="B584" i="4"/>
  <c r="J586" i="4"/>
  <c r="D589" i="4"/>
  <c r="J593" i="4"/>
  <c r="M595" i="4"/>
  <c r="G101" i="3"/>
  <c r="S101" i="3" s="1"/>
  <c r="AE101" i="3" s="1"/>
  <c r="AQ101" i="3" s="1"/>
  <c r="BC101" i="3" s="1"/>
  <c r="BO101" i="3" s="1"/>
  <c r="G93" i="3"/>
  <c r="S93" i="3" s="1"/>
  <c r="AE93" i="3" s="1"/>
  <c r="AQ93" i="3" s="1"/>
  <c r="BC93" i="3" s="1"/>
  <c r="BO93" i="3" s="1"/>
  <c r="G85" i="3"/>
  <c r="S85" i="3" s="1"/>
  <c r="AE85" i="3" s="1"/>
  <c r="AQ85" i="3" s="1"/>
  <c r="BC85" i="3" s="1"/>
  <c r="BO85" i="3" s="1"/>
  <c r="G77" i="3"/>
  <c r="S77" i="3" s="1"/>
  <c r="AE77" i="3" s="1"/>
  <c r="AQ77" i="3" s="1"/>
  <c r="BC77" i="3" s="1"/>
  <c r="BO77" i="3" s="1"/>
  <c r="G69" i="3"/>
  <c r="S69" i="3" s="1"/>
  <c r="AE69" i="3" s="1"/>
  <c r="AQ69" i="3" s="1"/>
  <c r="BC69" i="3" s="1"/>
  <c r="BO69" i="3" s="1"/>
  <c r="G61" i="3"/>
  <c r="S61" i="3" s="1"/>
  <c r="AE61" i="3" s="1"/>
  <c r="AQ61" i="3" s="1"/>
  <c r="BC61" i="3" s="1"/>
  <c r="BO61" i="3" s="1"/>
  <c r="G53" i="3"/>
  <c r="S53" i="3" s="1"/>
  <c r="AE53" i="3" s="1"/>
  <c r="AQ53" i="3" s="1"/>
  <c r="BC53" i="3" s="1"/>
  <c r="BO53" i="3" s="1"/>
  <c r="G45" i="3"/>
  <c r="S45" i="3" s="1"/>
  <c r="AE45" i="3" s="1"/>
  <c r="AQ45" i="3" s="1"/>
  <c r="BC45" i="3" s="1"/>
  <c r="BO45" i="3" s="1"/>
  <c r="G37" i="3"/>
  <c r="S37" i="3" s="1"/>
  <c r="AE37" i="3" s="1"/>
  <c r="AQ37" i="3" s="1"/>
  <c r="BC37" i="3" s="1"/>
  <c r="BO37" i="3" s="1"/>
  <c r="G29" i="3"/>
  <c r="S29" i="3" s="1"/>
  <c r="AE29" i="3" s="1"/>
  <c r="AQ29" i="3" s="1"/>
  <c r="BC29" i="3" s="1"/>
  <c r="BO29" i="3" s="1"/>
  <c r="G21" i="3"/>
  <c r="S21" i="3" s="1"/>
  <c r="AE21" i="3" s="1"/>
  <c r="AQ21" i="3" s="1"/>
  <c r="BC21" i="3" s="1"/>
  <c r="BO21" i="3" s="1"/>
  <c r="G13" i="3"/>
  <c r="S13" i="3" s="1"/>
  <c r="AE13" i="3" s="1"/>
  <c r="AQ13" i="3" s="1"/>
  <c r="BC13" i="3" s="1"/>
  <c r="BO13" i="3" s="1"/>
  <c r="G5" i="3"/>
  <c r="S5" i="3" s="1"/>
  <c r="AE5" i="3" s="1"/>
  <c r="AQ5" i="3" s="1"/>
  <c r="BC5" i="3" s="1"/>
  <c r="BO5" i="3" s="1"/>
  <c r="AT114" i="3"/>
  <c r="BR121" i="3"/>
  <c r="BM121" i="3"/>
  <c r="BF121" i="3"/>
  <c r="BA121" i="3"/>
  <c r="J121" i="3"/>
  <c r="BM119" i="3"/>
  <c r="BC119" i="3"/>
  <c r="BA119" i="3"/>
  <c r="V119" i="3"/>
  <c r="V121" i="3" s="1"/>
  <c r="G119" i="3"/>
  <c r="BT113" i="3"/>
  <c r="BO113" i="3"/>
  <c r="BO121" i="3" s="1"/>
  <c r="BH113" i="3"/>
  <c r="BO111" i="3"/>
  <c r="BO119" i="3" s="1"/>
  <c r="S111" i="3"/>
  <c r="AE111" i="3" s="1"/>
  <c r="AQ111" i="3" s="1"/>
  <c r="AQ119" i="3" s="1"/>
  <c r="BR63" i="3"/>
  <c r="BR71" i="3" s="1"/>
  <c r="BF63" i="3"/>
  <c r="BF71" i="3" s="1"/>
  <c r="BR57" i="3"/>
  <c r="BF57" i="3"/>
  <c r="BM17" i="3"/>
  <c r="BM25" i="3" s="1"/>
  <c r="BM33" i="3" s="1"/>
  <c r="BM41" i="3" s="1"/>
  <c r="BM49" i="3" s="1"/>
  <c r="BM57" i="3" s="1"/>
  <c r="BM65" i="3" s="1"/>
  <c r="BM73" i="3" s="1"/>
  <c r="BM81" i="3" s="1"/>
  <c r="BM89" i="3" s="1"/>
  <c r="BM97" i="3" s="1"/>
  <c r="BM105" i="3" s="1"/>
  <c r="BA17" i="3"/>
  <c r="BA25" i="3" s="1"/>
  <c r="BA33" i="3" s="1"/>
  <c r="BA41" i="3" s="1"/>
  <c r="BA49" i="3" s="1"/>
  <c r="BA57" i="3" s="1"/>
  <c r="BA65" i="3" s="1"/>
  <c r="BA73" i="3" s="1"/>
  <c r="BA81" i="3" s="1"/>
  <c r="BA89" i="3" s="1"/>
  <c r="BA97" i="3" s="1"/>
  <c r="BA105" i="3" s="1"/>
  <c r="G17" i="3"/>
  <c r="BC17" i="3" s="1"/>
  <c r="E17" i="3"/>
  <c r="E25" i="3" s="1"/>
  <c r="E33" i="3" s="1"/>
  <c r="E41" i="3" s="1"/>
  <c r="E49" i="3" s="1"/>
  <c r="E57" i="3" s="1"/>
  <c r="E65" i="3" s="1"/>
  <c r="E73" i="3" s="1"/>
  <c r="E81" i="3" s="1"/>
  <c r="E89" i="3" s="1"/>
  <c r="E97" i="3" s="1"/>
  <c r="E113" i="3" s="1"/>
  <c r="BT15" i="3"/>
  <c r="BT17" i="3" s="1"/>
  <c r="BM15" i="3"/>
  <c r="BM23" i="3" s="1"/>
  <c r="BM31" i="3" s="1"/>
  <c r="BM39" i="3" s="1"/>
  <c r="BM47" i="3" s="1"/>
  <c r="BM55" i="3" s="1"/>
  <c r="BM63" i="3" s="1"/>
  <c r="BM71" i="3" s="1"/>
  <c r="BM79" i="3" s="1"/>
  <c r="BM87" i="3" s="1"/>
  <c r="BM95" i="3" s="1"/>
  <c r="BM103" i="3" s="1"/>
  <c r="BH15" i="3"/>
  <c r="BH23" i="3" s="1"/>
  <c r="BA15" i="3"/>
  <c r="BA23" i="3" s="1"/>
  <c r="BA31" i="3" s="1"/>
  <c r="BA39" i="3" s="1"/>
  <c r="BA47" i="3" s="1"/>
  <c r="BA55" i="3" s="1"/>
  <c r="BA63" i="3" s="1"/>
  <c r="BA71" i="3" s="1"/>
  <c r="BA79" i="3" s="1"/>
  <c r="BA87" i="3" s="1"/>
  <c r="BA95" i="3" s="1"/>
  <c r="BA103" i="3" s="1"/>
  <c r="L15" i="3"/>
  <c r="L23" i="3" s="1"/>
  <c r="J15" i="3"/>
  <c r="BF15" i="3" s="1"/>
  <c r="BF17" i="3" s="1"/>
  <c r="G15" i="3"/>
  <c r="BC15" i="3" s="1"/>
  <c r="E15" i="3"/>
  <c r="E23" i="3" s="1"/>
  <c r="E31" i="3" s="1"/>
  <c r="E39" i="3" s="1"/>
  <c r="E47" i="3" s="1"/>
  <c r="E55" i="3" s="1"/>
  <c r="E63" i="3" s="1"/>
  <c r="E71" i="3" s="1"/>
  <c r="E79" i="3" s="1"/>
  <c r="E87" i="3" s="1"/>
  <c r="E95" i="3" s="1"/>
  <c r="E111" i="3" s="1"/>
  <c r="BT9" i="3"/>
  <c r="BH9" i="3"/>
  <c r="BC9" i="3"/>
  <c r="AQ9" i="3"/>
  <c r="AQ17" i="3" s="1"/>
  <c r="AQ25" i="3" s="1"/>
  <c r="AQ33" i="3" s="1"/>
  <c r="AQ41" i="3" s="1"/>
  <c r="AQ49" i="3" s="1"/>
  <c r="AQ57" i="3" s="1"/>
  <c r="AQ65" i="3" s="1"/>
  <c r="AQ73" i="3" s="1"/>
  <c r="AQ81" i="3" s="1"/>
  <c r="AQ89" i="3" s="1"/>
  <c r="AQ97" i="3" s="1"/>
  <c r="AQ105" i="3" s="1"/>
  <c r="AO9" i="3"/>
  <c r="AO17" i="3" s="1"/>
  <c r="AO25" i="3" s="1"/>
  <c r="AO33" i="3" s="1"/>
  <c r="AO41" i="3" s="1"/>
  <c r="AO49" i="3" s="1"/>
  <c r="AO57" i="3" s="1"/>
  <c r="AO65" i="3" s="1"/>
  <c r="AO73" i="3" s="1"/>
  <c r="AO81" i="3" s="1"/>
  <c r="AO89" i="3" s="1"/>
  <c r="AO97" i="3" s="1"/>
  <c r="AO105" i="3" s="1"/>
  <c r="AE9" i="3"/>
  <c r="AE17" i="3" s="1"/>
  <c r="AE25" i="3" s="1"/>
  <c r="AE33" i="3" s="1"/>
  <c r="AE41" i="3" s="1"/>
  <c r="AE49" i="3" s="1"/>
  <c r="AE57" i="3" s="1"/>
  <c r="AE65" i="3" s="1"/>
  <c r="AE73" i="3" s="1"/>
  <c r="AE81" i="3" s="1"/>
  <c r="AE89" i="3" s="1"/>
  <c r="AE97" i="3" s="1"/>
  <c r="AE105" i="3" s="1"/>
  <c r="AC9" i="3"/>
  <c r="AC17" i="3" s="1"/>
  <c r="AC25" i="3" s="1"/>
  <c r="AC33" i="3" s="1"/>
  <c r="AC41" i="3" s="1"/>
  <c r="AC49" i="3" s="1"/>
  <c r="AC57" i="3" s="1"/>
  <c r="AC65" i="3" s="1"/>
  <c r="AC73" i="3" s="1"/>
  <c r="AC81" i="3" s="1"/>
  <c r="AC89" i="3" s="1"/>
  <c r="AC97" i="3" s="1"/>
  <c r="AC113" i="3" s="1"/>
  <c r="AC121" i="3" s="1"/>
  <c r="S9" i="3"/>
  <c r="Q9" i="3"/>
  <c r="Q17" i="3" s="1"/>
  <c r="Q25" i="3" s="1"/>
  <c r="Q33" i="3" s="1"/>
  <c r="Q41" i="3" s="1"/>
  <c r="Q49" i="3" s="1"/>
  <c r="Q57" i="3" s="1"/>
  <c r="Q65" i="3" s="1"/>
  <c r="Q73" i="3" s="1"/>
  <c r="Q81" i="3" s="1"/>
  <c r="Q89" i="3" s="1"/>
  <c r="Q97" i="3" s="1"/>
  <c r="Q105" i="3" s="1"/>
  <c r="L9" i="3"/>
  <c r="J9" i="3"/>
  <c r="BF7" i="3"/>
  <c r="BF9" i="3" s="1"/>
  <c r="BC7" i="3"/>
  <c r="AV7" i="3"/>
  <c r="AV15" i="3" s="1"/>
  <c r="AT7" i="3"/>
  <c r="AT9" i="3" s="1"/>
  <c r="AQ7" i="3"/>
  <c r="AQ15" i="3" s="1"/>
  <c r="AQ23" i="3" s="1"/>
  <c r="AQ31" i="3" s="1"/>
  <c r="AQ39" i="3" s="1"/>
  <c r="AQ47" i="3" s="1"/>
  <c r="AQ55" i="3" s="1"/>
  <c r="AQ63" i="3" s="1"/>
  <c r="AQ71" i="3" s="1"/>
  <c r="AQ79" i="3" s="1"/>
  <c r="AQ87" i="3" s="1"/>
  <c r="AQ95" i="3" s="1"/>
  <c r="AQ103" i="3" s="1"/>
  <c r="AO7" i="3"/>
  <c r="AO15" i="3" s="1"/>
  <c r="AO23" i="3" s="1"/>
  <c r="AO31" i="3" s="1"/>
  <c r="AO39" i="3" s="1"/>
  <c r="AO47" i="3" s="1"/>
  <c r="AO55" i="3" s="1"/>
  <c r="AO63" i="3" s="1"/>
  <c r="AO71" i="3" s="1"/>
  <c r="AO79" i="3" s="1"/>
  <c r="AO87" i="3" s="1"/>
  <c r="AO95" i="3" s="1"/>
  <c r="AO103" i="3" s="1"/>
  <c r="AJ7" i="3"/>
  <c r="AJ9" i="3" s="1"/>
  <c r="AH7" i="3"/>
  <c r="AH9" i="3" s="1"/>
  <c r="AE7" i="3"/>
  <c r="AE15" i="3" s="1"/>
  <c r="AE23" i="3" s="1"/>
  <c r="AE31" i="3" s="1"/>
  <c r="AE39" i="3" s="1"/>
  <c r="AE47" i="3" s="1"/>
  <c r="AE55" i="3" s="1"/>
  <c r="AE63" i="3" s="1"/>
  <c r="AE71" i="3" s="1"/>
  <c r="AE79" i="3" s="1"/>
  <c r="AE87" i="3" s="1"/>
  <c r="AE95" i="3" s="1"/>
  <c r="AE103" i="3" s="1"/>
  <c r="AC7" i="3"/>
  <c r="AC15" i="3" s="1"/>
  <c r="AC23" i="3" s="1"/>
  <c r="AC31" i="3" s="1"/>
  <c r="AC39" i="3" s="1"/>
  <c r="AC47" i="3" s="1"/>
  <c r="AC55" i="3" s="1"/>
  <c r="AC63" i="3" s="1"/>
  <c r="AC71" i="3" s="1"/>
  <c r="AC79" i="3" s="1"/>
  <c r="AC87" i="3" s="1"/>
  <c r="AC95" i="3" s="1"/>
  <c r="AC111" i="3" s="1"/>
  <c r="X7" i="3"/>
  <c r="X15" i="3" s="1"/>
  <c r="V7" i="3"/>
  <c r="BR7" i="3" s="1"/>
  <c r="BR9" i="3" s="1"/>
  <c r="S7" i="3"/>
  <c r="BO7" i="3" s="1"/>
  <c r="Q7" i="3"/>
  <c r="Q15" i="3" s="1"/>
  <c r="Q23" i="3" s="1"/>
  <c r="Q31" i="3" s="1"/>
  <c r="Q39" i="3" s="1"/>
  <c r="Q47" i="3" s="1"/>
  <c r="Q55" i="3" s="1"/>
  <c r="Q63" i="3" s="1"/>
  <c r="Q71" i="3" s="1"/>
  <c r="Q79" i="3" s="1"/>
  <c r="Q87" i="3" s="1"/>
  <c r="Q95" i="3" s="1"/>
  <c r="Q103" i="3" s="1"/>
  <c r="V114" i="3" l="1"/>
  <c r="B7" i="18"/>
  <c r="B7" i="19"/>
  <c r="C7" i="17"/>
  <c r="B7" i="16"/>
  <c r="B7" i="15"/>
  <c r="B7" i="14"/>
  <c r="B7" i="13"/>
  <c r="B7" i="12"/>
  <c r="B7" i="11"/>
  <c r="AA8" i="5"/>
  <c r="F8" i="9"/>
  <c r="B7" i="10"/>
  <c r="B7" i="9"/>
  <c r="AU14" i="5"/>
  <c r="AV6" i="5" s="1"/>
  <c r="L595" i="4"/>
  <c r="F613" i="4" s="1"/>
  <c r="AO6" i="5"/>
  <c r="AR6" i="5"/>
  <c r="AU6" i="5" s="1"/>
  <c r="AS9" i="5"/>
  <c r="AP9" i="5"/>
  <c r="L41" i="4"/>
  <c r="AH114" i="3"/>
  <c r="J10" i="3"/>
  <c r="BF10" i="3" s="1"/>
  <c r="D570" i="4"/>
  <c r="D526" i="4"/>
  <c r="C548" i="4"/>
  <c r="C591" i="4"/>
  <c r="D587" i="4"/>
  <c r="D543" i="4"/>
  <c r="C546" i="4"/>
  <c r="C589" i="4"/>
  <c r="D578" i="4"/>
  <c r="D534" i="4"/>
  <c r="B569" i="4"/>
  <c r="B526" i="4"/>
  <c r="C578" i="4"/>
  <c r="C535" i="4"/>
  <c r="C573" i="4"/>
  <c r="C530" i="4"/>
  <c r="B530" i="4"/>
  <c r="B573" i="4"/>
  <c r="G103" i="4"/>
  <c r="F146" i="4"/>
  <c r="F189" i="4" s="1"/>
  <c r="H189" i="4" s="1"/>
  <c r="D547" i="4"/>
  <c r="D591" i="4"/>
  <c r="D574" i="4"/>
  <c r="D530" i="4"/>
  <c r="D572" i="4"/>
  <c r="D528" i="4"/>
  <c r="B533" i="4"/>
  <c r="B576" i="4"/>
  <c r="I149" i="4"/>
  <c r="F192" i="4"/>
  <c r="C576" i="4"/>
  <c r="C533" i="4"/>
  <c r="C569" i="4"/>
  <c r="C526" i="4"/>
  <c r="B592" i="4"/>
  <c r="B549" i="4"/>
  <c r="E313" i="4"/>
  <c r="E356" i="4" s="1"/>
  <c r="G270" i="4"/>
  <c r="C588" i="4"/>
  <c r="C545" i="4"/>
  <c r="B543" i="4"/>
  <c r="B586" i="4"/>
  <c r="B588" i="4"/>
  <c r="B545" i="4"/>
  <c r="D541" i="4"/>
  <c r="D585" i="4"/>
  <c r="B548" i="4"/>
  <c r="B591" i="4"/>
  <c r="G144" i="4"/>
  <c r="H62" i="4"/>
  <c r="E143" i="4"/>
  <c r="H101" i="4"/>
  <c r="H54" i="4"/>
  <c r="H52" i="4"/>
  <c r="H33" i="4"/>
  <c r="H29" i="4"/>
  <c r="H154" i="4"/>
  <c r="H105" i="4"/>
  <c r="G101" i="4"/>
  <c r="G54" i="4"/>
  <c r="G33" i="4"/>
  <c r="G29" i="4"/>
  <c r="H21" i="4"/>
  <c r="G97" i="4"/>
  <c r="H28" i="4"/>
  <c r="F70" i="4"/>
  <c r="E584" i="4"/>
  <c r="H184" i="4"/>
  <c r="E70" i="4"/>
  <c r="H70" i="4" s="1"/>
  <c r="H227" i="4"/>
  <c r="F140" i="4"/>
  <c r="H140" i="4" s="1"/>
  <c r="F110" i="4"/>
  <c r="E103" i="4"/>
  <c r="E146" i="4" s="1"/>
  <c r="E189" i="4" s="1"/>
  <c r="E232" i="4" s="1"/>
  <c r="I24" i="4"/>
  <c r="I26" i="4" s="1"/>
  <c r="B574" i="4"/>
  <c r="G227" i="4"/>
  <c r="G98" i="4"/>
  <c r="H144" i="4"/>
  <c r="G78" i="4"/>
  <c r="C571" i="4"/>
  <c r="C528" i="4"/>
  <c r="B585" i="4"/>
  <c r="B542" i="4"/>
  <c r="D542" i="4"/>
  <c r="D586" i="4"/>
  <c r="D583" i="4"/>
  <c r="D539" i="4"/>
  <c r="B575" i="4"/>
  <c r="B532" i="4"/>
  <c r="H555" i="4"/>
  <c r="H598" i="4"/>
  <c r="F520" i="4"/>
  <c r="F563" i="4"/>
  <c r="G563" i="4"/>
  <c r="G520" i="4"/>
  <c r="D575" i="4"/>
  <c r="D531" i="4"/>
  <c r="B551" i="4"/>
  <c r="B594" i="4"/>
  <c r="B527" i="4"/>
  <c r="B570" i="4"/>
  <c r="C532" i="4"/>
  <c r="C575" i="4"/>
  <c r="C542" i="4"/>
  <c r="C585" i="4"/>
  <c r="D593" i="4"/>
  <c r="D549" i="4"/>
  <c r="B547" i="4"/>
  <c r="B590" i="4"/>
  <c r="E598" i="4"/>
  <c r="E555" i="4"/>
  <c r="D550" i="4"/>
  <c r="D594" i="4"/>
  <c r="G555" i="4"/>
  <c r="G598" i="4"/>
  <c r="B546" i="4"/>
  <c r="B589" i="4"/>
  <c r="D571" i="4"/>
  <c r="D527" i="4"/>
  <c r="D577" i="4"/>
  <c r="D533" i="4"/>
  <c r="D529" i="4"/>
  <c r="D573" i="4"/>
  <c r="D548" i="4"/>
  <c r="D592" i="4"/>
  <c r="F555" i="4"/>
  <c r="F598" i="4"/>
  <c r="C592" i="4"/>
  <c r="C549" i="4"/>
  <c r="B534" i="4"/>
  <c r="B577" i="4"/>
  <c r="C525" i="4"/>
  <c r="C568" i="4"/>
  <c r="B525" i="4"/>
  <c r="B568" i="4"/>
  <c r="D557" i="4"/>
  <c r="D600" i="4"/>
  <c r="C544" i="4"/>
  <c r="C587" i="4"/>
  <c r="C551" i="4"/>
  <c r="C594" i="4"/>
  <c r="B535" i="4"/>
  <c r="B578" i="4"/>
  <c r="D579" i="4"/>
  <c r="D535" i="4"/>
  <c r="D546" i="4"/>
  <c r="D590" i="4"/>
  <c r="C536" i="4"/>
  <c r="C579" i="4"/>
  <c r="B544" i="4"/>
  <c r="B587" i="4"/>
  <c r="B583" i="4"/>
  <c r="B540" i="4"/>
  <c r="C540" i="4"/>
  <c r="C583" i="4"/>
  <c r="H563" i="4"/>
  <c r="H520" i="4"/>
  <c r="D556" i="4"/>
  <c r="D599" i="4"/>
  <c r="B579" i="4"/>
  <c r="B536" i="4"/>
  <c r="E399" i="4"/>
  <c r="H30" i="4"/>
  <c r="F36" i="4"/>
  <c r="F73" i="4"/>
  <c r="F84" i="4" s="1"/>
  <c r="D569" i="4"/>
  <c r="F114" i="4"/>
  <c r="H71" i="4"/>
  <c r="H72" i="4"/>
  <c r="F115" i="4"/>
  <c r="B571" i="4"/>
  <c r="B550" i="4"/>
  <c r="C547" i="4"/>
  <c r="D524" i="4"/>
  <c r="B572" i="4"/>
  <c r="B529" i="4"/>
  <c r="G30" i="4"/>
  <c r="E73" i="4"/>
  <c r="D552" i="4"/>
  <c r="G187" i="4"/>
  <c r="E230" i="4"/>
  <c r="H143" i="4"/>
  <c r="F186" i="4"/>
  <c r="D580" i="4"/>
  <c r="D536" i="4"/>
  <c r="E563" i="4"/>
  <c r="F224" i="4"/>
  <c r="E275" i="4"/>
  <c r="E186" i="4"/>
  <c r="G143" i="4"/>
  <c r="F121" i="4"/>
  <c r="H78" i="4"/>
  <c r="E244" i="4"/>
  <c r="G26" i="4"/>
  <c r="H26" i="4"/>
  <c r="E69" i="4"/>
  <c r="E36" i="4"/>
  <c r="G36" i="4" s="1"/>
  <c r="H270" i="4"/>
  <c r="F313" i="4"/>
  <c r="F335" i="4"/>
  <c r="C543" i="4"/>
  <c r="F119" i="4"/>
  <c r="H76" i="4"/>
  <c r="D595" i="4"/>
  <c r="D537" i="4"/>
  <c r="F240" i="4"/>
  <c r="G197" i="4"/>
  <c r="H197" i="4"/>
  <c r="D584" i="4"/>
  <c r="D544" i="4"/>
  <c r="C572" i="4"/>
  <c r="C534" i="4"/>
  <c r="C584" i="4"/>
  <c r="D576" i="4"/>
  <c r="C570" i="4"/>
  <c r="H230" i="4"/>
  <c r="F235" i="4"/>
  <c r="E204" i="4"/>
  <c r="H146" i="4"/>
  <c r="H103" i="4"/>
  <c r="H96" i="4"/>
  <c r="E121" i="4"/>
  <c r="G146" i="4"/>
  <c r="E162" i="4"/>
  <c r="G96" i="4"/>
  <c r="F182" i="4"/>
  <c r="H139" i="4"/>
  <c r="F155" i="4"/>
  <c r="G189" i="4"/>
  <c r="E182" i="4"/>
  <c r="G139" i="4"/>
  <c r="G154" i="4"/>
  <c r="G140" i="4"/>
  <c r="E183" i="4"/>
  <c r="F232" i="4"/>
  <c r="H75" i="4"/>
  <c r="F118" i="4"/>
  <c r="F102" i="4"/>
  <c r="H59" i="4"/>
  <c r="E102" i="4"/>
  <c r="G59" i="4"/>
  <c r="F359" i="4"/>
  <c r="H148" i="4"/>
  <c r="F191" i="4"/>
  <c r="I141" i="4"/>
  <c r="E104" i="4"/>
  <c r="G61" i="4"/>
  <c r="H100" i="4"/>
  <c r="E191" i="4"/>
  <c r="G148" i="4"/>
  <c r="H141" i="4"/>
  <c r="G184" i="4"/>
  <c r="G141" i="4"/>
  <c r="E153" i="4"/>
  <c r="G110" i="4"/>
  <c r="F79" i="4"/>
  <c r="G72" i="4"/>
  <c r="F113" i="4"/>
  <c r="F41" i="4"/>
  <c r="H41" i="4" s="1"/>
  <c r="G105" i="4"/>
  <c r="H98" i="4"/>
  <c r="G118" i="4"/>
  <c r="G111" i="4"/>
  <c r="H56" i="4"/>
  <c r="F99" i="4"/>
  <c r="G28" i="4"/>
  <c r="E71" i="4"/>
  <c r="E41" i="4"/>
  <c r="G77" i="4"/>
  <c r="H77" i="4"/>
  <c r="E120" i="4"/>
  <c r="G56" i="4"/>
  <c r="E99" i="4"/>
  <c r="H31" i="4"/>
  <c r="F74" i="4"/>
  <c r="F95" i="4"/>
  <c r="F64" i="4"/>
  <c r="G31" i="4"/>
  <c r="E74" i="4"/>
  <c r="H187" i="4"/>
  <c r="E95" i="4"/>
  <c r="E64" i="4"/>
  <c r="G34" i="4"/>
  <c r="H34" i="4"/>
  <c r="G63" i="4"/>
  <c r="H63" i="4"/>
  <c r="E106" i="4"/>
  <c r="H61" i="4"/>
  <c r="F104" i="4"/>
  <c r="H53" i="4"/>
  <c r="G67" i="4"/>
  <c r="AC105" i="3"/>
  <c r="E103" i="3"/>
  <c r="E105" i="3"/>
  <c r="AC103" i="3"/>
  <c r="AJ15" i="3"/>
  <c r="AJ17" i="3" s="1"/>
  <c r="S119" i="3"/>
  <c r="BF65" i="3"/>
  <c r="BT23" i="3"/>
  <c r="BT31" i="3" s="1"/>
  <c r="BT39" i="3" s="1"/>
  <c r="AV9" i="3"/>
  <c r="AO113" i="3"/>
  <c r="AO121" i="3" s="1"/>
  <c r="V9" i="3"/>
  <c r="X9" i="3"/>
  <c r="Q113" i="3"/>
  <c r="E121" i="3"/>
  <c r="Q121" i="3" s="1"/>
  <c r="E119" i="3"/>
  <c r="Q111" i="3"/>
  <c r="Q119" i="3" s="1"/>
  <c r="X23" i="3"/>
  <c r="X17" i="3"/>
  <c r="AV23" i="3"/>
  <c r="AV17" i="3"/>
  <c r="J34" i="3"/>
  <c r="BR79" i="3"/>
  <c r="BR73" i="3"/>
  <c r="AC119" i="3"/>
  <c r="AO111" i="3"/>
  <c r="AO119" i="3" s="1"/>
  <c r="S17" i="3"/>
  <c r="BO9" i="3"/>
  <c r="BT25" i="3"/>
  <c r="L31" i="3"/>
  <c r="L25" i="3"/>
  <c r="BH31" i="3"/>
  <c r="BH25" i="3"/>
  <c r="BF73" i="3"/>
  <c r="BF79" i="3"/>
  <c r="AH15" i="3"/>
  <c r="J18" i="3"/>
  <c r="G23" i="3"/>
  <c r="G25" i="3"/>
  <c r="AE119" i="3"/>
  <c r="AT15" i="3"/>
  <c r="J17" i="3"/>
  <c r="J23" i="3"/>
  <c r="AH119" i="3"/>
  <c r="L17" i="3"/>
  <c r="BR65" i="3"/>
  <c r="S15" i="3"/>
  <c r="V15" i="3"/>
  <c r="BH17" i="3"/>
  <c r="AD8" i="5" l="1"/>
  <c r="AG8" i="5" s="1"/>
  <c r="AJ8" i="5" s="1"/>
  <c r="AM8" i="5" s="1"/>
  <c r="AS8" i="5" s="1"/>
  <c r="AV8" i="5" s="1"/>
  <c r="F8" i="18"/>
  <c r="I8" i="18" s="1"/>
  <c r="L8" i="18" s="1"/>
  <c r="O8" i="18" s="1"/>
  <c r="R8" i="18" s="1"/>
  <c r="U8" i="18" s="1"/>
  <c r="X8" i="18" s="1"/>
  <c r="AA8" i="18" s="1"/>
  <c r="AD8" i="18" s="1"/>
  <c r="AG8" i="18" s="1"/>
  <c r="AJ8" i="18" s="1"/>
  <c r="AM8" i="18" s="1"/>
  <c r="AP8" i="18" s="1"/>
  <c r="AS8" i="18" s="1"/>
  <c r="L600" i="4"/>
  <c r="F618" i="4" s="1"/>
  <c r="I6" i="11"/>
  <c r="U6" i="11"/>
  <c r="R6" i="11"/>
  <c r="AG6" i="11"/>
  <c r="F6" i="11"/>
  <c r="X6" i="11"/>
  <c r="AM6" i="11"/>
  <c r="O6" i="11"/>
  <c r="L6" i="11"/>
  <c r="AD6" i="11"/>
  <c r="AA6" i="11"/>
  <c r="AS6" i="11"/>
  <c r="AJ6" i="11"/>
  <c r="AP6" i="11"/>
  <c r="B9" i="11"/>
  <c r="X6" i="12"/>
  <c r="U6" i="12"/>
  <c r="F6" i="12"/>
  <c r="AS6" i="12"/>
  <c r="R6" i="12"/>
  <c r="O6" i="12"/>
  <c r="L6" i="12"/>
  <c r="I6" i="12"/>
  <c r="AP6" i="12"/>
  <c r="AM6" i="12"/>
  <c r="AJ6" i="12"/>
  <c r="AD6" i="12"/>
  <c r="AA6" i="12"/>
  <c r="B9" i="12"/>
  <c r="F8" i="17"/>
  <c r="I8" i="17" s="1"/>
  <c r="L8" i="17" s="1"/>
  <c r="O8" i="17" s="1"/>
  <c r="R8" i="17" s="1"/>
  <c r="U8" i="17" s="1"/>
  <c r="X8" i="17" s="1"/>
  <c r="AA8" i="17" s="1"/>
  <c r="AD8" i="17" s="1"/>
  <c r="AG8" i="17" s="1"/>
  <c r="AJ8" i="17" s="1"/>
  <c r="AM8" i="17" s="1"/>
  <c r="AP8" i="17" s="1"/>
  <c r="AS8" i="17" s="1"/>
  <c r="I8" i="9"/>
  <c r="L8" i="9" s="1"/>
  <c r="O8" i="9" s="1"/>
  <c r="R8" i="9" s="1"/>
  <c r="U8" i="9" s="1"/>
  <c r="X8" i="9" s="1"/>
  <c r="AA8" i="9" s="1"/>
  <c r="AD8" i="9" s="1"/>
  <c r="AG8" i="9" s="1"/>
  <c r="AJ8" i="9" s="1"/>
  <c r="AM8" i="9" s="1"/>
  <c r="AP8" i="9" s="1"/>
  <c r="AS8" i="9" s="1"/>
  <c r="X6" i="15"/>
  <c r="F6" i="15"/>
  <c r="AP6" i="15"/>
  <c r="U6" i="15"/>
  <c r="R6" i="15"/>
  <c r="O6" i="15"/>
  <c r="I6" i="15"/>
  <c r="AA6" i="15"/>
  <c r="AM6" i="15"/>
  <c r="AD6" i="15"/>
  <c r="AG6" i="15"/>
  <c r="AJ6" i="15"/>
  <c r="L6" i="15"/>
  <c r="B9" i="15"/>
  <c r="AS6" i="15"/>
  <c r="AP8" i="5"/>
  <c r="BR10" i="3"/>
  <c r="H110" i="4"/>
  <c r="F153" i="4"/>
  <c r="G70" i="4"/>
  <c r="G64" i="4"/>
  <c r="E113" i="4"/>
  <c r="E79" i="4"/>
  <c r="G79" i="4" s="1"/>
  <c r="F183" i="4"/>
  <c r="F226" i="4" s="1"/>
  <c r="I33" i="4"/>
  <c r="I34" i="4" s="1"/>
  <c r="I27" i="4"/>
  <c r="H182" i="4"/>
  <c r="F225" i="4"/>
  <c r="E287" i="4"/>
  <c r="F116" i="4"/>
  <c r="H73" i="4"/>
  <c r="F156" i="4"/>
  <c r="H113" i="4"/>
  <c r="F378" i="4"/>
  <c r="H36" i="4"/>
  <c r="E318" i="4"/>
  <c r="F402" i="4"/>
  <c r="E247" i="4"/>
  <c r="H119" i="4"/>
  <c r="F162" i="4"/>
  <c r="G162" i="4" s="1"/>
  <c r="G102" i="4"/>
  <c r="E145" i="4"/>
  <c r="H95" i="4"/>
  <c r="F127" i="4"/>
  <c r="F107" i="4"/>
  <c r="E147" i="4"/>
  <c r="G104" i="4"/>
  <c r="F145" i="4"/>
  <c r="H102" i="4"/>
  <c r="G69" i="4"/>
  <c r="H69" i="4"/>
  <c r="E112" i="4"/>
  <c r="E84" i="4"/>
  <c r="G84" i="4" s="1"/>
  <c r="G41" i="4"/>
  <c r="E114" i="4"/>
  <c r="H114" i="4" s="1"/>
  <c r="G71" i="4"/>
  <c r="G106" i="4"/>
  <c r="E149" i="4"/>
  <c r="H106" i="4"/>
  <c r="G182" i="4"/>
  <c r="E225" i="4"/>
  <c r="H121" i="4"/>
  <c r="F164" i="4"/>
  <c r="F229" i="4"/>
  <c r="H186" i="4"/>
  <c r="G95" i="4"/>
  <c r="E138" i="4"/>
  <c r="E107" i="4"/>
  <c r="G107" i="4" s="1"/>
  <c r="G121" i="4"/>
  <c r="E164" i="4"/>
  <c r="H240" i="4"/>
  <c r="F283" i="4"/>
  <c r="F157" i="4"/>
  <c r="F147" i="4"/>
  <c r="H104" i="4"/>
  <c r="G191" i="4"/>
  <c r="E234" i="4"/>
  <c r="F267" i="4"/>
  <c r="H64" i="4"/>
  <c r="F142" i="4"/>
  <c r="H99" i="4"/>
  <c r="H74" i="4"/>
  <c r="F117" i="4"/>
  <c r="E196" i="4"/>
  <c r="G153" i="4"/>
  <c r="H118" i="4"/>
  <c r="F161" i="4"/>
  <c r="E205" i="4"/>
  <c r="F278" i="4"/>
  <c r="G113" i="4"/>
  <c r="E156" i="4"/>
  <c r="F234" i="4"/>
  <c r="H191" i="4"/>
  <c r="G119" i="4"/>
  <c r="G313" i="4"/>
  <c r="F356" i="4"/>
  <c r="H313" i="4"/>
  <c r="E142" i="4"/>
  <c r="G99" i="4"/>
  <c r="G240" i="4"/>
  <c r="E229" i="4"/>
  <c r="G186" i="4"/>
  <c r="E273" i="4"/>
  <c r="G230" i="4"/>
  <c r="E442" i="4"/>
  <c r="E163" i="4"/>
  <c r="G120" i="4"/>
  <c r="H120" i="4"/>
  <c r="E116" i="4"/>
  <c r="E127" i="4" s="1"/>
  <c r="G73" i="4"/>
  <c r="E226" i="4"/>
  <c r="G183" i="4"/>
  <c r="G74" i="4"/>
  <c r="E117" i="4"/>
  <c r="H232" i="4"/>
  <c r="F275" i="4"/>
  <c r="G275" i="4" s="1"/>
  <c r="F198" i="4"/>
  <c r="G232" i="4"/>
  <c r="F158" i="4"/>
  <c r="G115" i="4"/>
  <c r="H115" i="4"/>
  <c r="AJ23" i="3"/>
  <c r="J26" i="3"/>
  <c r="BF26" i="3" s="1"/>
  <c r="BT33" i="3"/>
  <c r="J42" i="3"/>
  <c r="BF81" i="3"/>
  <c r="BF87" i="3"/>
  <c r="BH33" i="3"/>
  <c r="BH39" i="3"/>
  <c r="AH121" i="3"/>
  <c r="AT119" i="3"/>
  <c r="AT121" i="3" s="1"/>
  <c r="BR34" i="3"/>
  <c r="BF34" i="3"/>
  <c r="BC25" i="3"/>
  <c r="BC33" i="3" s="1"/>
  <c r="BC41" i="3" s="1"/>
  <c r="BC49" i="3" s="1"/>
  <c r="BC57" i="3" s="1"/>
  <c r="BC65" i="3" s="1"/>
  <c r="BC73" i="3" s="1"/>
  <c r="BC81" i="3" s="1"/>
  <c r="BC89" i="3" s="1"/>
  <c r="BC97" i="3" s="1"/>
  <c r="BC105" i="3" s="1"/>
  <c r="G33" i="3"/>
  <c r="G41" i="3" s="1"/>
  <c r="G49" i="3" s="1"/>
  <c r="G57" i="3" s="1"/>
  <c r="G65" i="3" s="1"/>
  <c r="G73" i="3" s="1"/>
  <c r="G81" i="3" s="1"/>
  <c r="G89" i="3" s="1"/>
  <c r="G97" i="3" s="1"/>
  <c r="AJ25" i="3"/>
  <c r="AJ31" i="3"/>
  <c r="S23" i="3"/>
  <c r="BO15" i="3"/>
  <c r="BC23" i="3"/>
  <c r="BC31" i="3" s="1"/>
  <c r="BC39" i="3" s="1"/>
  <c r="BC47" i="3" s="1"/>
  <c r="BC55" i="3" s="1"/>
  <c r="BC63" i="3" s="1"/>
  <c r="BC71" i="3" s="1"/>
  <c r="BC79" i="3" s="1"/>
  <c r="BC87" i="3" s="1"/>
  <c r="BC95" i="3" s="1"/>
  <c r="BC103" i="3" s="1"/>
  <c r="G31" i="3"/>
  <c r="G39" i="3" s="1"/>
  <c r="G47" i="3" s="1"/>
  <c r="G55" i="3" s="1"/>
  <c r="G63" i="3" s="1"/>
  <c r="G71" i="3" s="1"/>
  <c r="G79" i="3" s="1"/>
  <c r="G87" i="3" s="1"/>
  <c r="G95" i="3" s="1"/>
  <c r="G103" i="3" s="1"/>
  <c r="BF18" i="3"/>
  <c r="BR18" i="3"/>
  <c r="AV31" i="3"/>
  <c r="AV25" i="3"/>
  <c r="BR81" i="3"/>
  <c r="BR87" i="3"/>
  <c r="BT41" i="3"/>
  <c r="BT47" i="3"/>
  <c r="V23" i="3"/>
  <c r="V17" i="3"/>
  <c r="BR15" i="3"/>
  <c r="BR17" i="3" s="1"/>
  <c r="AT23" i="3"/>
  <c r="AT17" i="3"/>
  <c r="AH17" i="3"/>
  <c r="AH23" i="3"/>
  <c r="L33" i="3"/>
  <c r="L39" i="3"/>
  <c r="S25" i="3"/>
  <c r="BO17" i="3"/>
  <c r="X31" i="3"/>
  <c r="X25" i="3"/>
  <c r="BF23" i="3"/>
  <c r="J31" i="3"/>
  <c r="J25" i="3"/>
  <c r="BR26" i="3" l="1"/>
  <c r="H79" i="4"/>
  <c r="H183" i="4"/>
  <c r="F196" i="4"/>
  <c r="H153" i="4"/>
  <c r="I153" i="4"/>
  <c r="I155" i="4" s="1"/>
  <c r="H127" i="4"/>
  <c r="F445" i="4"/>
  <c r="F241" i="4"/>
  <c r="H226" i="4"/>
  <c r="F269" i="4"/>
  <c r="F318" i="4"/>
  <c r="H275" i="4"/>
  <c r="H161" i="4"/>
  <c r="F204" i="4"/>
  <c r="G161" i="4"/>
  <c r="G149" i="4"/>
  <c r="H149" i="4"/>
  <c r="E192" i="4"/>
  <c r="G145" i="4"/>
  <c r="E188" i="4"/>
  <c r="H234" i="4"/>
  <c r="F277" i="4"/>
  <c r="E199" i="4"/>
  <c r="G156" i="4"/>
  <c r="F421" i="4"/>
  <c r="E485" i="4"/>
  <c r="E571" i="4"/>
  <c r="G196" i="4"/>
  <c r="E239" i="4"/>
  <c r="H164" i="4"/>
  <c r="I164" i="4"/>
  <c r="F207" i="4"/>
  <c r="H84" i="4"/>
  <c r="E248" i="4"/>
  <c r="H147" i="4"/>
  <c r="F190" i="4"/>
  <c r="H116" i="4"/>
  <c r="F159" i="4"/>
  <c r="F200" i="4"/>
  <c r="F122" i="4"/>
  <c r="E330" i="4"/>
  <c r="E160" i="4"/>
  <c r="G117" i="4"/>
  <c r="G114" i="4"/>
  <c r="E157" i="4"/>
  <c r="H157" i="4" s="1"/>
  <c r="G229" i="4"/>
  <c r="E272" i="4"/>
  <c r="E150" i="4"/>
  <c r="E181" i="4"/>
  <c r="G138" i="4"/>
  <c r="H138" i="4"/>
  <c r="G127" i="4"/>
  <c r="H142" i="4"/>
  <c r="F185" i="4"/>
  <c r="F150" i="4"/>
  <c r="E361" i="4"/>
  <c r="H225" i="4"/>
  <c r="F268" i="4"/>
  <c r="I267" i="4"/>
  <c r="I269" i="4" s="1"/>
  <c r="F310" i="4"/>
  <c r="F201" i="4"/>
  <c r="H158" i="4"/>
  <c r="G158" i="4"/>
  <c r="G163" i="4"/>
  <c r="E206" i="4"/>
  <c r="H163" i="4"/>
  <c r="H145" i="4"/>
  <c r="F188" i="4"/>
  <c r="F205" i="4"/>
  <c r="H162" i="4"/>
  <c r="G142" i="4"/>
  <c r="E185" i="4"/>
  <c r="H229" i="4"/>
  <c r="F272" i="4"/>
  <c r="F326" i="4"/>
  <c r="H283" i="4"/>
  <c r="G283" i="4"/>
  <c r="E290" i="4"/>
  <c r="G226" i="4"/>
  <c r="E269" i="4"/>
  <c r="F399" i="4"/>
  <c r="H356" i="4"/>
  <c r="G356" i="4"/>
  <c r="E277" i="4"/>
  <c r="G234" i="4"/>
  <c r="E155" i="4"/>
  <c r="G112" i="4"/>
  <c r="H112" i="4"/>
  <c r="E122" i="4"/>
  <c r="G147" i="4"/>
  <c r="E190" i="4"/>
  <c r="I278" i="4"/>
  <c r="F321" i="4"/>
  <c r="F160" i="4"/>
  <c r="H117" i="4"/>
  <c r="G164" i="4"/>
  <c r="E207" i="4"/>
  <c r="G225" i="4"/>
  <c r="E268" i="4"/>
  <c r="H156" i="4"/>
  <c r="F199" i="4"/>
  <c r="G116" i="4"/>
  <c r="E159" i="4"/>
  <c r="E316" i="4"/>
  <c r="G273" i="4"/>
  <c r="H273" i="4"/>
  <c r="H107" i="4"/>
  <c r="G113" i="3"/>
  <c r="G105" i="3"/>
  <c r="J39" i="3"/>
  <c r="J33" i="3"/>
  <c r="AT31" i="3"/>
  <c r="AT25" i="3"/>
  <c r="G121" i="3"/>
  <c r="S121" i="3" s="1"/>
  <c r="S113" i="3"/>
  <c r="AE113" i="3" s="1"/>
  <c r="V31" i="3"/>
  <c r="V25" i="3"/>
  <c r="BR23" i="3"/>
  <c r="BR42" i="3"/>
  <c r="BF42" i="3"/>
  <c r="J50" i="3"/>
  <c r="BF31" i="3"/>
  <c r="BF25" i="3"/>
  <c r="BF95" i="3"/>
  <c r="BF89" i="3"/>
  <c r="AV33" i="3"/>
  <c r="AV39" i="3"/>
  <c r="L47" i="3"/>
  <c r="L41" i="3"/>
  <c r="AH31" i="3"/>
  <c r="AH25" i="3"/>
  <c r="AJ33" i="3"/>
  <c r="AJ39" i="3"/>
  <c r="BH47" i="3"/>
  <c r="BH41" i="3"/>
  <c r="BT55" i="3"/>
  <c r="BT49" i="3"/>
  <c r="X33" i="3"/>
  <c r="X39" i="3"/>
  <c r="S33" i="3"/>
  <c r="S41" i="3" s="1"/>
  <c r="S49" i="3" s="1"/>
  <c r="S57" i="3" s="1"/>
  <c r="S65" i="3" s="1"/>
  <c r="S73" i="3" s="1"/>
  <c r="S81" i="3" s="1"/>
  <c r="S89" i="3" s="1"/>
  <c r="S97" i="3" s="1"/>
  <c r="S105" i="3" s="1"/>
  <c r="BO25" i="3"/>
  <c r="BO33" i="3" s="1"/>
  <c r="BO41" i="3" s="1"/>
  <c r="BO49" i="3" s="1"/>
  <c r="BO57" i="3" s="1"/>
  <c r="BO65" i="3" s="1"/>
  <c r="BO73" i="3" s="1"/>
  <c r="BO81" i="3" s="1"/>
  <c r="BO89" i="3" s="1"/>
  <c r="BO97" i="3" s="1"/>
  <c r="BO105" i="3" s="1"/>
  <c r="BR95" i="3"/>
  <c r="BR89" i="3"/>
  <c r="S31" i="3"/>
  <c r="S39" i="3" s="1"/>
  <c r="S47" i="3" s="1"/>
  <c r="S55" i="3" s="1"/>
  <c r="S63" i="3" s="1"/>
  <c r="S71" i="3" s="1"/>
  <c r="S79" i="3" s="1"/>
  <c r="S87" i="3" s="1"/>
  <c r="S95" i="3" s="1"/>
  <c r="S103" i="3" s="1"/>
  <c r="BO23" i="3"/>
  <c r="BO31" i="3" s="1"/>
  <c r="BO39" i="3" s="1"/>
  <c r="BO47" i="3" s="1"/>
  <c r="BO55" i="3" s="1"/>
  <c r="BO63" i="3" s="1"/>
  <c r="BO71" i="3" s="1"/>
  <c r="BO79" i="3" s="1"/>
  <c r="BO87" i="3" s="1"/>
  <c r="BO95" i="3" s="1"/>
  <c r="BO103" i="3" s="1"/>
  <c r="I162" i="4" l="1"/>
  <c r="I163" i="4" s="1"/>
  <c r="I156" i="4"/>
  <c r="G150" i="4"/>
  <c r="F239" i="4"/>
  <c r="H196" i="4"/>
  <c r="H122" i="4"/>
  <c r="H204" i="4"/>
  <c r="F247" i="4"/>
  <c r="G204" i="4"/>
  <c r="F369" i="4"/>
  <c r="G326" i="4"/>
  <c r="H326" i="4"/>
  <c r="E198" i="4"/>
  <c r="G155" i="4"/>
  <c r="H155" i="4"/>
  <c r="E165" i="4"/>
  <c r="H272" i="4"/>
  <c r="F315" i="4"/>
  <c r="F364" i="4"/>
  <c r="F250" i="4"/>
  <c r="H207" i="4"/>
  <c r="H269" i="4"/>
  <c r="F312" i="4"/>
  <c r="E373" i="4"/>
  <c r="H205" i="4"/>
  <c r="F248" i="4"/>
  <c r="G248" i="4" s="1"/>
  <c r="F203" i="4"/>
  <c r="H160" i="4"/>
  <c r="E320" i="4"/>
  <c r="G277" i="4"/>
  <c r="F165" i="4"/>
  <c r="H318" i="4"/>
  <c r="F361" i="4"/>
  <c r="G361" i="4" s="1"/>
  <c r="H399" i="4"/>
  <c r="F442" i="4"/>
  <c r="G399" i="4"/>
  <c r="H159" i="4"/>
  <c r="F202" i="4"/>
  <c r="I270" i="4"/>
  <c r="I276" i="4"/>
  <c r="I277" i="4" s="1"/>
  <c r="E231" i="4"/>
  <c r="G188" i="4"/>
  <c r="G316" i="4"/>
  <c r="E359" i="4"/>
  <c r="H316" i="4"/>
  <c r="G159" i="4"/>
  <c r="E202" i="4"/>
  <c r="E242" i="4"/>
  <c r="G199" i="4"/>
  <c r="H201" i="4"/>
  <c r="F244" i="4"/>
  <c r="G201" i="4"/>
  <c r="F243" i="4"/>
  <c r="H185" i="4"/>
  <c r="F228" i="4"/>
  <c r="F193" i="4"/>
  <c r="H193" i="4" s="1"/>
  <c r="G239" i="4"/>
  <c r="E282" i="4"/>
  <c r="F233" i="4"/>
  <c r="H190" i="4"/>
  <c r="E333" i="4"/>
  <c r="G122" i="4"/>
  <c r="E203" i="4"/>
  <c r="G160" i="4"/>
  <c r="G192" i="4"/>
  <c r="E235" i="4"/>
  <c r="H192" i="4"/>
  <c r="E315" i="4"/>
  <c r="G272" i="4"/>
  <c r="E228" i="4"/>
  <c r="G185" i="4"/>
  <c r="H150" i="4"/>
  <c r="E233" i="4"/>
  <c r="G190" i="4"/>
  <c r="E311" i="4"/>
  <c r="G268" i="4"/>
  <c r="F311" i="4"/>
  <c r="H268" i="4"/>
  <c r="G207" i="4"/>
  <c r="E250" i="4"/>
  <c r="G206" i="4"/>
  <c r="E249" i="4"/>
  <c r="H206" i="4"/>
  <c r="E193" i="4"/>
  <c r="G181" i="4"/>
  <c r="H181" i="4"/>
  <c r="E224" i="4"/>
  <c r="G205" i="4"/>
  <c r="E528" i="4"/>
  <c r="F488" i="4"/>
  <c r="E404" i="4"/>
  <c r="F170" i="4"/>
  <c r="H199" i="4"/>
  <c r="F242" i="4"/>
  <c r="F353" i="4"/>
  <c r="F320" i="4"/>
  <c r="H277" i="4"/>
  <c r="E312" i="4"/>
  <c r="G269" i="4"/>
  <c r="E200" i="4"/>
  <c r="H200" i="4" s="1"/>
  <c r="G157" i="4"/>
  <c r="F231" i="4"/>
  <c r="H188" i="4"/>
  <c r="F284" i="4"/>
  <c r="E291" i="4"/>
  <c r="G318" i="4"/>
  <c r="E170" i="4"/>
  <c r="F464" i="4"/>
  <c r="BR97" i="3"/>
  <c r="BR103" i="3"/>
  <c r="BR105" i="3" s="1"/>
  <c r="BF97" i="3"/>
  <c r="BF103" i="3"/>
  <c r="BF105" i="3" s="1"/>
  <c r="AH39" i="3"/>
  <c r="AH33" i="3"/>
  <c r="BR31" i="3"/>
  <c r="BR25" i="3"/>
  <c r="V33" i="3"/>
  <c r="V39" i="3"/>
  <c r="BH49" i="3"/>
  <c r="BH55" i="3"/>
  <c r="AE121" i="3"/>
  <c r="AQ113" i="3"/>
  <c r="AQ121" i="3" s="1"/>
  <c r="BF33" i="3"/>
  <c r="BF39" i="3"/>
  <c r="X47" i="3"/>
  <c r="X41" i="3"/>
  <c r="AJ41" i="3"/>
  <c r="AJ47" i="3"/>
  <c r="L55" i="3"/>
  <c r="L49" i="3"/>
  <c r="AT33" i="3"/>
  <c r="AT39" i="3"/>
  <c r="AV47" i="3"/>
  <c r="AV41" i="3"/>
  <c r="BR50" i="3"/>
  <c r="BF50" i="3"/>
  <c r="J41" i="3"/>
  <c r="J47" i="3"/>
  <c r="BT57" i="3"/>
  <c r="BT63" i="3"/>
  <c r="J58" i="3"/>
  <c r="F282" i="4" l="1"/>
  <c r="H239" i="4"/>
  <c r="G170" i="4"/>
  <c r="G165" i="4"/>
  <c r="G228" i="4"/>
  <c r="E271" i="4"/>
  <c r="H242" i="4"/>
  <c r="F285" i="4"/>
  <c r="E376" i="4"/>
  <c r="G198" i="4"/>
  <c r="E241" i="4"/>
  <c r="E256" i="4" s="1"/>
  <c r="H198" i="4"/>
  <c r="E208" i="4"/>
  <c r="E245" i="4"/>
  <c r="G202" i="4"/>
  <c r="H243" i="4"/>
  <c r="F286" i="4"/>
  <c r="G312" i="4"/>
  <c r="E355" i="4"/>
  <c r="H248" i="4"/>
  <c r="F291" i="4"/>
  <c r="H250" i="4"/>
  <c r="F293" i="4"/>
  <c r="G200" i="4"/>
  <c r="E243" i="4"/>
  <c r="H203" i="4"/>
  <c r="F246" i="4"/>
  <c r="G315" i="4"/>
  <c r="E358" i="4"/>
  <c r="F354" i="4"/>
  <c r="H311" i="4"/>
  <c r="E213" i="4"/>
  <c r="G359" i="4"/>
  <c r="E402" i="4"/>
  <c r="H359" i="4"/>
  <c r="G311" i="4"/>
  <c r="E354" i="4"/>
  <c r="F327" i="4"/>
  <c r="F531" i="4"/>
  <c r="F574" i="4"/>
  <c r="G249" i="4"/>
  <c r="E292" i="4"/>
  <c r="H249" i="4"/>
  <c r="E278" i="4"/>
  <c r="G235" i="4"/>
  <c r="H235" i="4"/>
  <c r="F404" i="4"/>
  <c r="G404" i="4" s="1"/>
  <c r="H361" i="4"/>
  <c r="F412" i="4"/>
  <c r="G369" i="4"/>
  <c r="H369" i="4"/>
  <c r="G233" i="4"/>
  <c r="E276" i="4"/>
  <c r="E416" i="4"/>
  <c r="F407" i="4"/>
  <c r="G224" i="4"/>
  <c r="E267" i="4"/>
  <c r="E236" i="4"/>
  <c r="H224" i="4"/>
  <c r="G320" i="4"/>
  <c r="E363" i="4"/>
  <c r="H170" i="4"/>
  <c r="H312" i="4"/>
  <c r="F355" i="4"/>
  <c r="G282" i="4"/>
  <c r="E325" i="4"/>
  <c r="F396" i="4"/>
  <c r="G231" i="4"/>
  <c r="E274" i="4"/>
  <c r="H165" i="4"/>
  <c r="H247" i="4"/>
  <c r="F290" i="4"/>
  <c r="G247" i="4"/>
  <c r="F245" i="4"/>
  <c r="H202" i="4"/>
  <c r="G193" i="4"/>
  <c r="H442" i="4"/>
  <c r="F485" i="4"/>
  <c r="G442" i="4"/>
  <c r="E447" i="4"/>
  <c r="F507" i="4"/>
  <c r="F274" i="4"/>
  <c r="H231" i="4"/>
  <c r="G250" i="4"/>
  <c r="E293" i="4"/>
  <c r="G242" i="4"/>
  <c r="E285" i="4"/>
  <c r="H315" i="4"/>
  <c r="F358" i="4"/>
  <c r="F271" i="4"/>
  <c r="H228" i="4"/>
  <c r="F236" i="4"/>
  <c r="H236" i="4" s="1"/>
  <c r="E334" i="4"/>
  <c r="H233" i="4"/>
  <c r="F276" i="4"/>
  <c r="H244" i="4"/>
  <c r="F287" i="4"/>
  <c r="G244" i="4"/>
  <c r="H320" i="4"/>
  <c r="F363" i="4"/>
  <c r="F208" i="4"/>
  <c r="H208" i="4" s="1"/>
  <c r="G203" i="4"/>
  <c r="E246" i="4"/>
  <c r="F213" i="4"/>
  <c r="H213" i="4" s="1"/>
  <c r="H282" i="4"/>
  <c r="BH57" i="3"/>
  <c r="BH63" i="3"/>
  <c r="V47" i="3"/>
  <c r="V41" i="3"/>
  <c r="AV55" i="3"/>
  <c r="AV49" i="3"/>
  <c r="J49" i="3"/>
  <c r="J55" i="3"/>
  <c r="AJ55" i="3"/>
  <c r="AJ49" i="3"/>
  <c r="X55" i="3"/>
  <c r="X49" i="3"/>
  <c r="BR58" i="3"/>
  <c r="BF58" i="3"/>
  <c r="BT71" i="3"/>
  <c r="BT65" i="3"/>
  <c r="L57" i="3"/>
  <c r="L63" i="3"/>
  <c r="BF47" i="3"/>
  <c r="BF49" i="3" s="1"/>
  <c r="BF41" i="3"/>
  <c r="BR39" i="3"/>
  <c r="BR33" i="3"/>
  <c r="J66" i="3"/>
  <c r="AT47" i="3"/>
  <c r="AT41" i="3"/>
  <c r="AH47" i="3"/>
  <c r="AH41" i="3"/>
  <c r="F325" i="4" l="1"/>
  <c r="F368" i="4" s="1"/>
  <c r="I282" i="4"/>
  <c r="I284" i="4" s="1"/>
  <c r="H245" i="4"/>
  <c r="F288" i="4"/>
  <c r="F294" i="4" s="1"/>
  <c r="F314" i="4"/>
  <c r="H271" i="4"/>
  <c r="F279" i="4"/>
  <c r="E419" i="4"/>
  <c r="F251" i="4"/>
  <c r="F329" i="4"/>
  <c r="H291" i="4"/>
  <c r="F334" i="4"/>
  <c r="F401" i="4"/>
  <c r="H358" i="4"/>
  <c r="E401" i="4"/>
  <c r="G358" i="4"/>
  <c r="G325" i="4"/>
  <c r="E368" i="4"/>
  <c r="G354" i="4"/>
  <c r="E397" i="4"/>
  <c r="H285" i="4"/>
  <c r="F328" i="4"/>
  <c r="F319" i="4"/>
  <c r="H276" i="4"/>
  <c r="H355" i="4"/>
  <c r="F398" i="4"/>
  <c r="G278" i="4"/>
  <c r="E321" i="4"/>
  <c r="H278" i="4"/>
  <c r="G243" i="4"/>
  <c r="E286" i="4"/>
  <c r="F317" i="4"/>
  <c r="H274" i="4"/>
  <c r="H412" i="4"/>
  <c r="F455" i="4"/>
  <c r="G412" i="4"/>
  <c r="H287" i="4"/>
  <c r="F330" i="4"/>
  <c r="G287" i="4"/>
  <c r="E279" i="4"/>
  <c r="G267" i="4"/>
  <c r="E310" i="4"/>
  <c r="H267" i="4"/>
  <c r="E289" i="4"/>
  <c r="G246" i="4"/>
  <c r="F528" i="4"/>
  <c r="H485" i="4"/>
  <c r="G485" i="4"/>
  <c r="F571" i="4"/>
  <c r="G245" i="4"/>
  <c r="E288" i="4"/>
  <c r="G271" i="4"/>
  <c r="E314" i="4"/>
  <c r="G236" i="4"/>
  <c r="F370" i="4"/>
  <c r="H368" i="4"/>
  <c r="F411" i="4"/>
  <c r="G334" i="4"/>
  <c r="E377" i="4"/>
  <c r="G274" i="4"/>
  <c r="E317" i="4"/>
  <c r="E319" i="4"/>
  <c r="G276" i="4"/>
  <c r="E335" i="4"/>
  <c r="G292" i="4"/>
  <c r="H292" i="4"/>
  <c r="E445" i="4"/>
  <c r="G402" i="4"/>
  <c r="H402" i="4"/>
  <c r="G208" i="4"/>
  <c r="F439" i="4"/>
  <c r="I396" i="4"/>
  <c r="I398" i="4" s="1"/>
  <c r="G355" i="4"/>
  <c r="E398" i="4"/>
  <c r="I407" i="4"/>
  <c r="F450" i="4"/>
  <c r="H325" i="4"/>
  <c r="E328" i="4"/>
  <c r="G285" i="4"/>
  <c r="G291" i="4"/>
  <c r="G293" i="4"/>
  <c r="E336" i="4"/>
  <c r="E406" i="4"/>
  <c r="G363" i="4"/>
  <c r="H293" i="4"/>
  <c r="I293" i="4"/>
  <c r="F336" i="4"/>
  <c r="F333" i="4"/>
  <c r="H290" i="4"/>
  <c r="G290" i="4"/>
  <c r="H354" i="4"/>
  <c r="F397" i="4"/>
  <c r="F550" i="4"/>
  <c r="F593" i="4"/>
  <c r="H404" i="4"/>
  <c r="F447" i="4"/>
  <c r="E490" i="4"/>
  <c r="E576" i="4"/>
  <c r="H246" i="4"/>
  <c r="F289" i="4"/>
  <c r="F299" i="4" s="1"/>
  <c r="E459" i="4"/>
  <c r="H363" i="4"/>
  <c r="F406" i="4"/>
  <c r="F256" i="4"/>
  <c r="H256" i="4" s="1"/>
  <c r="G213" i="4"/>
  <c r="G241" i="4"/>
  <c r="E284" i="4"/>
  <c r="E251" i="4"/>
  <c r="H241" i="4"/>
  <c r="L71" i="3"/>
  <c r="L65" i="3"/>
  <c r="AT55" i="3"/>
  <c r="AT49" i="3"/>
  <c r="BT79" i="3"/>
  <c r="BT73" i="3"/>
  <c r="J63" i="3"/>
  <c r="J57" i="3"/>
  <c r="BF66" i="3"/>
  <c r="BR66" i="3"/>
  <c r="AV57" i="3"/>
  <c r="AV63" i="3"/>
  <c r="J74" i="3"/>
  <c r="X57" i="3"/>
  <c r="X63" i="3"/>
  <c r="V55" i="3"/>
  <c r="V49" i="3"/>
  <c r="BR47" i="3"/>
  <c r="BR49" i="3" s="1"/>
  <c r="BR41" i="3"/>
  <c r="BH71" i="3"/>
  <c r="BH65" i="3"/>
  <c r="AH55" i="3"/>
  <c r="AH49" i="3"/>
  <c r="AJ57" i="3"/>
  <c r="AJ63" i="3"/>
  <c r="G279" i="4" l="1"/>
  <c r="G251" i="4"/>
  <c r="G256" i="4"/>
  <c r="I285" i="4"/>
  <c r="I291" i="4"/>
  <c r="I292" i="4" s="1"/>
  <c r="E444" i="4"/>
  <c r="G401" i="4"/>
  <c r="G328" i="4"/>
  <c r="E371" i="4"/>
  <c r="G310" i="4"/>
  <c r="E353" i="4"/>
  <c r="E322" i="4"/>
  <c r="G322" i="4" s="1"/>
  <c r="H310" i="4"/>
  <c r="E462" i="4"/>
  <c r="F493" i="4"/>
  <c r="H279" i="4"/>
  <c r="E329" i="4"/>
  <c r="G286" i="4"/>
  <c r="H328" i="4"/>
  <c r="F371" i="4"/>
  <c r="F444" i="4"/>
  <c r="H401" i="4"/>
  <c r="E360" i="4"/>
  <c r="G317" i="4"/>
  <c r="E502" i="4"/>
  <c r="E331" i="4"/>
  <c r="G288" i="4"/>
  <c r="G397" i="4"/>
  <c r="E440" i="4"/>
  <c r="H314" i="4"/>
  <c r="F357" i="4"/>
  <c r="F322" i="4"/>
  <c r="F490" i="4"/>
  <c r="H447" i="4"/>
  <c r="H319" i="4"/>
  <c r="F362" i="4"/>
  <c r="H397" i="4"/>
  <c r="F440" i="4"/>
  <c r="G284" i="4"/>
  <c r="E327" i="4"/>
  <c r="E342" i="4" s="1"/>
  <c r="H284" i="4"/>
  <c r="E294" i="4"/>
  <c r="G294" i="4" s="1"/>
  <c r="F454" i="4"/>
  <c r="H411" i="4"/>
  <c r="I411" i="4"/>
  <c r="I413" i="4" s="1"/>
  <c r="H330" i="4"/>
  <c r="F373" i="4"/>
  <c r="G330" i="4"/>
  <c r="H334" i="4"/>
  <c r="F377" i="4"/>
  <c r="G289" i="4"/>
  <c r="E332" i="4"/>
  <c r="F379" i="4"/>
  <c r="H336" i="4"/>
  <c r="F360" i="4"/>
  <c r="H317" i="4"/>
  <c r="E364" i="4"/>
  <c r="G321" i="4"/>
  <c r="H321" i="4"/>
  <c r="F331" i="4"/>
  <c r="H288" i="4"/>
  <c r="E299" i="4"/>
  <c r="G299" i="4" s="1"/>
  <c r="G406" i="4"/>
  <c r="E449" i="4"/>
  <c r="G336" i="4"/>
  <c r="E379" i="4"/>
  <c r="I405" i="4"/>
  <c r="I406" i="4" s="1"/>
  <c r="I399" i="4"/>
  <c r="H528" i="4"/>
  <c r="G528" i="4"/>
  <c r="G368" i="4"/>
  <c r="E411" i="4"/>
  <c r="H286" i="4"/>
  <c r="H406" i="4"/>
  <c r="F449" i="4"/>
  <c r="G314" i="4"/>
  <c r="E357" i="4"/>
  <c r="H571" i="4"/>
  <c r="G571" i="4"/>
  <c r="E441" i="4"/>
  <c r="G398" i="4"/>
  <c r="E533" i="4"/>
  <c r="G490" i="4"/>
  <c r="G335" i="4"/>
  <c r="E378" i="4"/>
  <c r="H335" i="4"/>
  <c r="F372" i="4"/>
  <c r="F413" i="4"/>
  <c r="G319" i="4"/>
  <c r="E362" i="4"/>
  <c r="E420" i="4"/>
  <c r="G377" i="4"/>
  <c r="E488" i="4"/>
  <c r="G445" i="4"/>
  <c r="H445" i="4"/>
  <c r="H289" i="4"/>
  <c r="F332" i="4"/>
  <c r="G447" i="4"/>
  <c r="H333" i="4"/>
  <c r="F376" i="4"/>
  <c r="G333" i="4"/>
  <c r="F482" i="4"/>
  <c r="F568" i="4"/>
  <c r="G455" i="4"/>
  <c r="H455" i="4"/>
  <c r="F498" i="4"/>
  <c r="F441" i="4"/>
  <c r="H398" i="4"/>
  <c r="H251" i="4"/>
  <c r="V63" i="3"/>
  <c r="V57" i="3"/>
  <c r="X71" i="3"/>
  <c r="X65" i="3"/>
  <c r="J71" i="3"/>
  <c r="J65" i="3"/>
  <c r="AJ71" i="3"/>
  <c r="AJ65" i="3"/>
  <c r="BF74" i="3"/>
  <c r="BR74" i="3"/>
  <c r="BT81" i="3"/>
  <c r="BT87" i="3"/>
  <c r="J82" i="3"/>
  <c r="AH57" i="3"/>
  <c r="AH63" i="3"/>
  <c r="AV65" i="3"/>
  <c r="AV71" i="3"/>
  <c r="AT63" i="3"/>
  <c r="AT57" i="3"/>
  <c r="BH79" i="3"/>
  <c r="BH73" i="3"/>
  <c r="L73" i="3"/>
  <c r="L79" i="3"/>
  <c r="G357" i="4" l="1"/>
  <c r="E400" i="4"/>
  <c r="F487" i="4"/>
  <c r="H444" i="4"/>
  <c r="F573" i="4"/>
  <c r="H449" i="4"/>
  <c r="F492" i="4"/>
  <c r="F578" i="4"/>
  <c r="G342" i="4"/>
  <c r="F541" i="4"/>
  <c r="H498" i="4"/>
  <c r="G498" i="4"/>
  <c r="F584" i="4"/>
  <c r="G353" i="4"/>
  <c r="E396" i="4"/>
  <c r="E365" i="4"/>
  <c r="H353" i="4"/>
  <c r="G379" i="4"/>
  <c r="E422" i="4"/>
  <c r="H379" i="4"/>
  <c r="F422" i="4"/>
  <c r="F375" i="4"/>
  <c r="H332" i="4"/>
  <c r="F533" i="4"/>
  <c r="H533" i="4" s="1"/>
  <c r="H490" i="4"/>
  <c r="F576" i="4"/>
  <c r="E545" i="4"/>
  <c r="E588" i="4"/>
  <c r="E372" i="4"/>
  <c r="G329" i="4"/>
  <c r="G378" i="4"/>
  <c r="E421" i="4"/>
  <c r="H378" i="4"/>
  <c r="I420" i="4"/>
  <c r="I421" i="4" s="1"/>
  <c r="I414" i="4"/>
  <c r="G331" i="4"/>
  <c r="E374" i="4"/>
  <c r="F342" i="4"/>
  <c r="H342" i="4" s="1"/>
  <c r="E414" i="4"/>
  <c r="G371" i="4"/>
  <c r="H362" i="4"/>
  <c r="F405" i="4"/>
  <c r="G411" i="4"/>
  <c r="E454" i="4"/>
  <c r="H322" i="4"/>
  <c r="G360" i="4"/>
  <c r="E403" i="4"/>
  <c r="H294" i="4"/>
  <c r="E505" i="4"/>
  <c r="E591" i="4" s="1"/>
  <c r="F497" i="4"/>
  <c r="E375" i="4"/>
  <c r="G332" i="4"/>
  <c r="F456" i="4"/>
  <c r="I568" i="4"/>
  <c r="I570" i="4" s="1"/>
  <c r="F415" i="4"/>
  <c r="G441" i="4"/>
  <c r="E484" i="4"/>
  <c r="E570" i="4"/>
  <c r="E370" i="4"/>
  <c r="G327" i="4"/>
  <c r="H327" i="4"/>
  <c r="E337" i="4"/>
  <c r="H357" i="4"/>
  <c r="F400" i="4"/>
  <c r="F365" i="4"/>
  <c r="H365" i="4" s="1"/>
  <c r="H440" i="4"/>
  <c r="F483" i="4"/>
  <c r="H371" i="4"/>
  <c r="F414" i="4"/>
  <c r="H441" i="4"/>
  <c r="F484" i="4"/>
  <c r="F570" i="4" s="1"/>
  <c r="H570" i="4" s="1"/>
  <c r="H377" i="4"/>
  <c r="F420" i="4"/>
  <c r="G420" i="4" s="1"/>
  <c r="H331" i="4"/>
  <c r="F374" i="4"/>
  <c r="F380" i="4" s="1"/>
  <c r="F525" i="4"/>
  <c r="G488" i="4"/>
  <c r="E531" i="4"/>
  <c r="H488" i="4"/>
  <c r="E574" i="4"/>
  <c r="H329" i="4"/>
  <c r="H299" i="4"/>
  <c r="F536" i="4"/>
  <c r="F579" i="4"/>
  <c r="E487" i="4"/>
  <c r="G444" i="4"/>
  <c r="E483" i="4"/>
  <c r="E569" i="4" s="1"/>
  <c r="G569" i="4" s="1"/>
  <c r="G440" i="4"/>
  <c r="E463" i="4"/>
  <c r="H360" i="4"/>
  <c r="F403" i="4"/>
  <c r="F419" i="4"/>
  <c r="H376" i="4"/>
  <c r="G376" i="4"/>
  <c r="G362" i="4"/>
  <c r="E405" i="4"/>
  <c r="G449" i="4"/>
  <c r="E492" i="4"/>
  <c r="F337" i="4"/>
  <c r="H337" i="4" s="1"/>
  <c r="G364" i="4"/>
  <c r="E407" i="4"/>
  <c r="H364" i="4"/>
  <c r="F416" i="4"/>
  <c r="H373" i="4"/>
  <c r="G373" i="4"/>
  <c r="F569" i="4"/>
  <c r="BT95" i="3"/>
  <c r="BT89" i="3"/>
  <c r="BH87" i="3"/>
  <c r="BH81" i="3"/>
  <c r="AT71" i="3"/>
  <c r="AT65" i="3"/>
  <c r="AV79" i="3"/>
  <c r="AV73" i="3"/>
  <c r="AJ79" i="3"/>
  <c r="AJ73" i="3"/>
  <c r="AH71" i="3"/>
  <c r="AH65" i="3"/>
  <c r="J79" i="3"/>
  <c r="J73" i="3"/>
  <c r="X79" i="3"/>
  <c r="X73" i="3"/>
  <c r="L87" i="3"/>
  <c r="L81" i="3"/>
  <c r="J90" i="3"/>
  <c r="BR82" i="3"/>
  <c r="BF82" i="3"/>
  <c r="V71" i="3"/>
  <c r="V65" i="3"/>
  <c r="G533" i="4" l="1"/>
  <c r="F446" i="4"/>
  <c r="H403" i="4"/>
  <c r="I571" i="4"/>
  <c r="I577" i="4"/>
  <c r="I578" i="4" s="1"/>
  <c r="H492" i="4"/>
  <c r="F535" i="4"/>
  <c r="E417" i="4"/>
  <c r="G374" i="4"/>
  <c r="H576" i="4"/>
  <c r="G576" i="4"/>
  <c r="G365" i="4"/>
  <c r="H400" i="4"/>
  <c r="F443" i="4"/>
  <c r="F408" i="4"/>
  <c r="G372" i="4"/>
  <c r="E415" i="4"/>
  <c r="H569" i="4"/>
  <c r="G531" i="4"/>
  <c r="H531" i="4"/>
  <c r="G403" i="4"/>
  <c r="E446" i="4"/>
  <c r="E526" i="4"/>
  <c r="G483" i="4"/>
  <c r="H414" i="4"/>
  <c r="F457" i="4"/>
  <c r="G370" i="4"/>
  <c r="E413" i="4"/>
  <c r="E380" i="4"/>
  <c r="G380" i="4" s="1"/>
  <c r="H370" i="4"/>
  <c r="F499" i="4"/>
  <c r="F585" i="4"/>
  <c r="G396" i="4"/>
  <c r="E439" i="4"/>
  <c r="E408" i="4"/>
  <c r="H396" i="4"/>
  <c r="G574" i="4"/>
  <c r="H574" i="4"/>
  <c r="E465" i="4"/>
  <c r="G422" i="4"/>
  <c r="G405" i="4"/>
  <c r="E448" i="4"/>
  <c r="E530" i="4"/>
  <c r="G487" i="4"/>
  <c r="E573" i="4"/>
  <c r="G573" i="4" s="1"/>
  <c r="F530" i="4"/>
  <c r="H530" i="4" s="1"/>
  <c r="H487" i="4"/>
  <c r="G337" i="4"/>
  <c r="H484" i="4"/>
  <c r="F527" i="4"/>
  <c r="F526" i="4"/>
  <c r="H483" i="4"/>
  <c r="G484" i="4"/>
  <c r="E527" i="4"/>
  <c r="G527" i="4" s="1"/>
  <c r="E418" i="4"/>
  <c r="G375" i="4"/>
  <c r="E497" i="4"/>
  <c r="H497" i="4" s="1"/>
  <c r="G454" i="4"/>
  <c r="E385" i="4"/>
  <c r="E443" i="4"/>
  <c r="G400" i="4"/>
  <c r="E506" i="4"/>
  <c r="H584" i="4"/>
  <c r="G584" i="4"/>
  <c r="H541" i="4"/>
  <c r="G541" i="4"/>
  <c r="E535" i="4"/>
  <c r="G492" i="4"/>
  <c r="E578" i="4"/>
  <c r="G578" i="4" s="1"/>
  <c r="G570" i="4"/>
  <c r="I579" i="4"/>
  <c r="G407" i="4"/>
  <c r="E450" i="4"/>
  <c r="H407" i="4"/>
  <c r="F462" i="4"/>
  <c r="H419" i="4"/>
  <c r="G419" i="4"/>
  <c r="F417" i="4"/>
  <c r="F423" i="4" s="1"/>
  <c r="H374" i="4"/>
  <c r="F458" i="4"/>
  <c r="H415" i="4"/>
  <c r="H454" i="4"/>
  <c r="E464" i="4"/>
  <c r="G421" i="4"/>
  <c r="H421" i="4"/>
  <c r="F418" i="4"/>
  <c r="H375" i="4"/>
  <c r="E548" i="4"/>
  <c r="H420" i="4"/>
  <c r="F463" i="4"/>
  <c r="G414" i="4"/>
  <c r="E457" i="4"/>
  <c r="H416" i="4"/>
  <c r="F459" i="4"/>
  <c r="G416" i="4"/>
  <c r="F385" i="4"/>
  <c r="H385" i="4" s="1"/>
  <c r="H372" i="4"/>
  <c r="F540" i="4"/>
  <c r="F583" i="4"/>
  <c r="F448" i="4"/>
  <c r="H405" i="4"/>
  <c r="H422" i="4"/>
  <c r="I422" i="4"/>
  <c r="F465" i="4"/>
  <c r="J106" i="3"/>
  <c r="BT97" i="3"/>
  <c r="BT103" i="3"/>
  <c r="BT105" i="3" s="1"/>
  <c r="AH79" i="3"/>
  <c r="AH73" i="3"/>
  <c r="BR90" i="3"/>
  <c r="BF90" i="3"/>
  <c r="AJ81" i="3"/>
  <c r="AJ87" i="3"/>
  <c r="L95" i="3"/>
  <c r="L103" i="3" s="1"/>
  <c r="L105" i="3" s="1"/>
  <c r="L89" i="3"/>
  <c r="AV87" i="3"/>
  <c r="AV81" i="3"/>
  <c r="X87" i="3"/>
  <c r="X81" i="3"/>
  <c r="AT79" i="3"/>
  <c r="AT73" i="3"/>
  <c r="BH95" i="3"/>
  <c r="BH89" i="3"/>
  <c r="J98" i="3"/>
  <c r="J114" i="3"/>
  <c r="V79" i="3"/>
  <c r="V73" i="3"/>
  <c r="J81" i="3"/>
  <c r="J87" i="3"/>
  <c r="BA7" i="17" l="1"/>
  <c r="BA7" i="18"/>
  <c r="BA7" i="19"/>
  <c r="BA7" i="15"/>
  <c r="BA7" i="16"/>
  <c r="BA7" i="13"/>
  <c r="BA7" i="14"/>
  <c r="BA7" i="7"/>
  <c r="BA7" i="12"/>
  <c r="BB7" i="10"/>
  <c r="BA7" i="11"/>
  <c r="BA7" i="9"/>
  <c r="H535" i="4"/>
  <c r="H526" i="4"/>
  <c r="F428" i="4"/>
  <c r="H380" i="4"/>
  <c r="G408" i="4"/>
  <c r="E460" i="4"/>
  <c r="G417" i="4"/>
  <c r="G530" i="4"/>
  <c r="H408" i="4"/>
  <c r="E456" i="4"/>
  <c r="G413" i="4"/>
  <c r="H413" i="4"/>
  <c r="E423" i="4"/>
  <c r="G423" i="4" s="1"/>
  <c r="E428" i="4"/>
  <c r="G428" i="4" s="1"/>
  <c r="H443" i="4"/>
  <c r="F486" i="4"/>
  <c r="F451" i="4"/>
  <c r="H578" i="4"/>
  <c r="G450" i="4"/>
  <c r="E493" i="4"/>
  <c r="H450" i="4"/>
  <c r="E579" i="4"/>
  <c r="H463" i="4"/>
  <c r="F506" i="4"/>
  <c r="G506" i="4" s="1"/>
  <c r="F592" i="4"/>
  <c r="E482" i="4"/>
  <c r="G439" i="4"/>
  <c r="E451" i="4"/>
  <c r="G451" i="4" s="1"/>
  <c r="H439" i="4"/>
  <c r="F542" i="4"/>
  <c r="G526" i="4"/>
  <c r="F500" i="4"/>
  <c r="H457" i="4"/>
  <c r="E491" i="4"/>
  <c r="G448" i="4"/>
  <c r="H418" i="4"/>
  <c r="F461" i="4"/>
  <c r="G385" i="4"/>
  <c r="G446" i="4"/>
  <c r="E489" i="4"/>
  <c r="E575" i="4"/>
  <c r="H573" i="4"/>
  <c r="F501" i="4"/>
  <c r="F460" i="4"/>
  <c r="F471" i="4" s="1"/>
  <c r="H417" i="4"/>
  <c r="H459" i="4"/>
  <c r="F502" i="4"/>
  <c r="G459" i="4"/>
  <c r="H462" i="4"/>
  <c r="F505" i="4"/>
  <c r="F591" i="4"/>
  <c r="G462" i="4"/>
  <c r="E508" i="4"/>
  <c r="G465" i="4"/>
  <c r="G415" i="4"/>
  <c r="E458" i="4"/>
  <c r="H458" i="4" s="1"/>
  <c r="E549" i="4"/>
  <c r="E592" i="4"/>
  <c r="H465" i="4"/>
  <c r="F508" i="4"/>
  <c r="G463" i="4"/>
  <c r="G443" i="4"/>
  <c r="E486" i="4"/>
  <c r="H527" i="4"/>
  <c r="H446" i="4"/>
  <c r="F489" i="4"/>
  <c r="G418" i="4"/>
  <c r="E461" i="4"/>
  <c r="G535" i="4"/>
  <c r="H448" i="4"/>
  <c r="F491" i="4"/>
  <c r="I583" i="4"/>
  <c r="I585" i="4" s="1"/>
  <c r="E500" i="4"/>
  <c r="G457" i="4"/>
  <c r="G464" i="4"/>
  <c r="E507" i="4"/>
  <c r="H464" i="4"/>
  <c r="E593" i="4"/>
  <c r="G497" i="4"/>
  <c r="E540" i="4"/>
  <c r="H540" i="4" s="1"/>
  <c r="E583" i="4"/>
  <c r="BH97" i="3"/>
  <c r="BH103" i="3"/>
  <c r="BH105" i="3" s="1"/>
  <c r="BR106" i="3"/>
  <c r="BF106" i="3"/>
  <c r="X95" i="3"/>
  <c r="X89" i="3"/>
  <c r="V81" i="3"/>
  <c r="V87" i="3"/>
  <c r="AV95" i="3"/>
  <c r="AV89" i="3"/>
  <c r="BR114" i="3"/>
  <c r="BJ7" i="5" s="1"/>
  <c r="BF114" i="3"/>
  <c r="L97" i="3"/>
  <c r="L111" i="3"/>
  <c r="BR98" i="3"/>
  <c r="BF98" i="3"/>
  <c r="AJ95" i="3"/>
  <c r="AJ89" i="3"/>
  <c r="J95" i="3"/>
  <c r="J103" i="3" s="1"/>
  <c r="J105" i="3" s="1"/>
  <c r="J89" i="3"/>
  <c r="AT81" i="3"/>
  <c r="AT87" i="3"/>
  <c r="AH81" i="3"/>
  <c r="AH87" i="3"/>
  <c r="H592" i="4" l="1"/>
  <c r="F551" i="4"/>
  <c r="H508" i="4"/>
  <c r="F594" i="4"/>
  <c r="I592" i="4"/>
  <c r="I593" i="4" s="1"/>
  <c r="I586" i="4"/>
  <c r="G579" i="4"/>
  <c r="H579" i="4"/>
  <c r="E499" i="4"/>
  <c r="E585" i="4" s="1"/>
  <c r="G456" i="4"/>
  <c r="E466" i="4"/>
  <c r="H456" i="4"/>
  <c r="F544" i="4"/>
  <c r="F587" i="4"/>
  <c r="E550" i="4"/>
  <c r="G507" i="4"/>
  <c r="H507" i="4"/>
  <c r="E551" i="4"/>
  <c r="G551" i="4" s="1"/>
  <c r="G508" i="4"/>
  <c r="E534" i="4"/>
  <c r="G491" i="4"/>
  <c r="E577" i="4"/>
  <c r="G593" i="4"/>
  <c r="H593" i="4"/>
  <c r="H502" i="4"/>
  <c r="F545" i="4"/>
  <c r="G502" i="4"/>
  <c r="F588" i="4"/>
  <c r="H591" i="4"/>
  <c r="G591" i="4"/>
  <c r="H471" i="4"/>
  <c r="H428" i="4"/>
  <c r="H423" i="4"/>
  <c r="H505" i="4"/>
  <c r="F548" i="4"/>
  <c r="G505" i="4"/>
  <c r="G489" i="4"/>
  <c r="E532" i="4"/>
  <c r="G458" i="4"/>
  <c r="E501" i="4"/>
  <c r="E587" i="4"/>
  <c r="G587" i="4" s="1"/>
  <c r="H451" i="4"/>
  <c r="H506" i="4"/>
  <c r="F549" i="4"/>
  <c r="H549" i="4" s="1"/>
  <c r="H491" i="4"/>
  <c r="F534" i="4"/>
  <c r="F577" i="4"/>
  <c r="G592" i="4"/>
  <c r="G493" i="4"/>
  <c r="E536" i="4"/>
  <c r="H493" i="4"/>
  <c r="G486" i="4"/>
  <c r="E529" i="4"/>
  <c r="G529" i="4" s="1"/>
  <c r="E572" i="4"/>
  <c r="E594" i="4"/>
  <c r="G594" i="4" s="1"/>
  <c r="F504" i="4"/>
  <c r="H461" i="4"/>
  <c r="E525" i="4"/>
  <c r="E568" i="4" s="1"/>
  <c r="G482" i="4"/>
  <c r="E494" i="4"/>
  <c r="H482" i="4"/>
  <c r="H486" i="4"/>
  <c r="F529" i="4"/>
  <c r="F494" i="4"/>
  <c r="H494" i="4" s="1"/>
  <c r="F572" i="4"/>
  <c r="G460" i="4"/>
  <c r="E503" i="4"/>
  <c r="E589" i="4"/>
  <c r="G540" i="4"/>
  <c r="F543" i="4"/>
  <c r="H543" i="4" s="1"/>
  <c r="H500" i="4"/>
  <c r="F586" i="4"/>
  <c r="E504" i="4"/>
  <c r="G461" i="4"/>
  <c r="F532" i="4"/>
  <c r="H489" i="4"/>
  <c r="F575" i="4"/>
  <c r="H575" i="4" s="1"/>
  <c r="G500" i="4"/>
  <c r="E543" i="4"/>
  <c r="E586" i="4"/>
  <c r="G583" i="4"/>
  <c r="H583" i="4"/>
  <c r="H460" i="4"/>
  <c r="F503" i="4"/>
  <c r="F466" i="4"/>
  <c r="E471" i="4"/>
  <c r="G471" i="4" s="1"/>
  <c r="AJ97" i="3"/>
  <c r="AJ103" i="3"/>
  <c r="AJ105" i="3" s="1"/>
  <c r="X97" i="3"/>
  <c r="X103" i="3"/>
  <c r="X105" i="3" s="1"/>
  <c r="AV97" i="3"/>
  <c r="AV103" i="3"/>
  <c r="AV105" i="3" s="1"/>
  <c r="L113" i="3"/>
  <c r="X111" i="3"/>
  <c r="AH95" i="3"/>
  <c r="AH89" i="3"/>
  <c r="AT95" i="3"/>
  <c r="AT89" i="3"/>
  <c r="J97" i="3"/>
  <c r="J111" i="3"/>
  <c r="V95" i="3"/>
  <c r="V89" i="3"/>
  <c r="G577" i="4" l="1"/>
  <c r="G534" i="4"/>
  <c r="G572" i="4"/>
  <c r="H466" i="4"/>
  <c r="G532" i="4"/>
  <c r="G499" i="4"/>
  <c r="E542" i="4"/>
  <c r="H499" i="4"/>
  <c r="E509" i="4"/>
  <c r="G509" i="4" s="1"/>
  <c r="H544" i="4"/>
  <c r="H586" i="4"/>
  <c r="G568" i="4"/>
  <c r="E580" i="4"/>
  <c r="H568" i="4"/>
  <c r="H529" i="4"/>
  <c r="F537" i="4"/>
  <c r="E544" i="4"/>
  <c r="G544" i="4" s="1"/>
  <c r="G501" i="4"/>
  <c r="F546" i="4"/>
  <c r="H503" i="4"/>
  <c r="F589" i="4"/>
  <c r="H589" i="4" s="1"/>
  <c r="G586" i="4"/>
  <c r="G543" i="4"/>
  <c r="G589" i="4"/>
  <c r="E514" i="4"/>
  <c r="G549" i="4"/>
  <c r="H545" i="4"/>
  <c r="G545" i="4"/>
  <c r="G550" i="4"/>
  <c r="H550" i="4"/>
  <c r="G504" i="4"/>
  <c r="E547" i="4"/>
  <c r="G536" i="4"/>
  <c r="H536" i="4"/>
  <c r="E546" i="4"/>
  <c r="G546" i="4" s="1"/>
  <c r="G503" i="4"/>
  <c r="G525" i="4"/>
  <c r="E537" i="4"/>
  <c r="H525" i="4"/>
  <c r="G575" i="4"/>
  <c r="I594" i="4"/>
  <c r="H594" i="4"/>
  <c r="G466" i="4"/>
  <c r="G494" i="4"/>
  <c r="E590" i="4"/>
  <c r="H577" i="4"/>
  <c r="H587" i="4"/>
  <c r="F514" i="4"/>
  <c r="H514" i="4" s="1"/>
  <c r="F509" i="4"/>
  <c r="G585" i="4"/>
  <c r="H585" i="4"/>
  <c r="H588" i="4"/>
  <c r="G588" i="4"/>
  <c r="H532" i="4"/>
  <c r="H572" i="4"/>
  <c r="F580" i="4"/>
  <c r="H504" i="4"/>
  <c r="F547" i="4"/>
  <c r="H547" i="4" s="1"/>
  <c r="F590" i="4"/>
  <c r="H534" i="4"/>
  <c r="H548" i="4"/>
  <c r="G548" i="4"/>
  <c r="H501" i="4"/>
  <c r="H551" i="4"/>
  <c r="AH97" i="3"/>
  <c r="AH103" i="3"/>
  <c r="AH105" i="3" s="1"/>
  <c r="AT97" i="3"/>
  <c r="AT103" i="3"/>
  <c r="AT105" i="3" s="1"/>
  <c r="V97" i="3"/>
  <c r="V103" i="3"/>
  <c r="V105" i="3" s="1"/>
  <c r="J113" i="3"/>
  <c r="V111" i="3"/>
  <c r="X113" i="3"/>
  <c r="AJ111" i="3"/>
  <c r="F600" i="4" l="1"/>
  <c r="G590" i="4"/>
  <c r="F557" i="4"/>
  <c r="G537" i="4"/>
  <c r="G580" i="4"/>
  <c r="E600" i="4"/>
  <c r="G600" i="4" s="1"/>
  <c r="F552" i="4"/>
  <c r="H580" i="4"/>
  <c r="G608" i="4"/>
  <c r="G547" i="4"/>
  <c r="F595" i="4"/>
  <c r="H600" i="4"/>
  <c r="G542" i="4"/>
  <c r="H542" i="4"/>
  <c r="E552" i="4"/>
  <c r="H509" i="4"/>
  <c r="H537" i="4"/>
  <c r="H546" i="4"/>
  <c r="H590" i="4"/>
  <c r="E557" i="4"/>
  <c r="G557" i="4" s="1"/>
  <c r="G514" i="4"/>
  <c r="E595" i="4"/>
  <c r="AV111" i="3"/>
  <c r="AV113" i="3" s="1"/>
  <c r="AJ113" i="3"/>
  <c r="V113" i="3"/>
  <c r="AH111" i="3"/>
  <c r="G552" i="4" l="1"/>
  <c r="F609" i="4"/>
  <c r="G595" i="4"/>
  <c r="G613" i="4"/>
  <c r="H595" i="4"/>
  <c r="H552" i="4"/>
  <c r="H557" i="4"/>
  <c r="AH113" i="3"/>
  <c r="AT111" i="3"/>
  <c r="F614" i="4" l="1"/>
  <c r="BF111" i="3"/>
  <c r="AT113" i="3"/>
  <c r="BF113" i="3" l="1"/>
  <c r="BR111" i="3"/>
  <c r="BR113" i="3" s="1"/>
  <c r="Q263" i="1" l="1"/>
  <c r="Q262" i="1"/>
  <c r="Q261" i="1"/>
  <c r="Q260" i="1"/>
  <c r="Q259" i="1"/>
  <c r="Q258" i="1"/>
  <c r="Q257" i="1"/>
  <c r="Q254" i="1"/>
  <c r="Q253" i="1"/>
  <c r="Q252" i="1"/>
  <c r="Q251" i="1"/>
  <c r="Q250" i="1"/>
  <c r="Q249" i="1"/>
  <c r="Q248" i="1"/>
  <c r="Q245" i="1"/>
  <c r="Q244" i="1"/>
  <c r="Q243" i="1"/>
  <c r="Q242" i="1"/>
  <c r="Q241" i="1"/>
  <c r="Q240" i="1"/>
  <c r="Q239" i="1"/>
  <c r="Q236" i="1"/>
  <c r="Q235" i="1"/>
  <c r="Q234" i="1"/>
  <c r="Q233" i="1"/>
  <c r="Q232" i="1"/>
  <c r="Q231" i="1"/>
  <c r="Q230" i="1"/>
  <c r="Q227" i="1"/>
  <c r="Q226" i="1"/>
  <c r="Q225" i="1"/>
  <c r="Q224" i="1"/>
  <c r="Q223" i="1"/>
  <c r="Q222" i="1"/>
  <c r="Q221" i="1"/>
  <c r="Q218" i="1"/>
  <c r="Q217" i="1"/>
  <c r="Q216" i="1"/>
  <c r="Q215" i="1"/>
  <c r="Q214" i="1"/>
  <c r="Q213" i="1"/>
  <c r="Q212" i="1"/>
  <c r="Q209" i="1"/>
  <c r="Q208" i="1"/>
  <c r="Q207" i="1"/>
  <c r="Q206" i="1"/>
  <c r="Q205" i="1"/>
  <c r="Q204" i="1"/>
  <c r="Q203" i="1"/>
  <c r="Q199" i="1"/>
  <c r="Q198" i="1"/>
  <c r="Q197" i="1"/>
  <c r="Q196" i="1"/>
  <c r="Q195" i="1"/>
  <c r="Q194" i="1"/>
  <c r="Q193" i="1"/>
  <c r="Q190" i="1"/>
  <c r="Q189" i="1"/>
  <c r="Q188" i="1"/>
  <c r="Q187" i="1"/>
  <c r="Q186" i="1"/>
  <c r="Q185" i="1"/>
  <c r="Q184" i="1"/>
  <c r="Q181" i="1"/>
  <c r="Q180" i="1"/>
  <c r="Q179" i="1"/>
  <c r="Q178" i="1"/>
  <c r="Q177" i="1"/>
  <c r="Q176" i="1"/>
  <c r="Q175" i="1"/>
  <c r="Q172" i="1"/>
  <c r="Q171" i="1"/>
  <c r="Q170" i="1"/>
  <c r="Q169" i="1"/>
  <c r="Q168" i="1"/>
  <c r="Q167" i="1"/>
  <c r="Q166" i="1"/>
  <c r="Q163" i="1"/>
  <c r="Q162" i="1"/>
  <c r="Q161" i="1"/>
  <c r="Q160" i="1"/>
  <c r="Q159" i="1"/>
  <c r="Q158" i="1"/>
  <c r="Q157" i="1"/>
  <c r="Q154" i="1"/>
  <c r="Q153" i="1"/>
  <c r="Q152" i="1"/>
  <c r="Q151" i="1"/>
  <c r="Q150" i="1"/>
  <c r="Q149" i="1"/>
  <c r="Q148" i="1"/>
  <c r="Q145" i="1"/>
  <c r="Q144" i="1"/>
  <c r="Q143" i="1"/>
  <c r="Q142" i="1"/>
  <c r="Q141" i="1"/>
  <c r="Q140" i="1"/>
  <c r="Q139" i="1"/>
  <c r="Q135" i="1"/>
  <c r="Q134" i="1"/>
  <c r="Q133" i="1"/>
  <c r="Q132" i="1"/>
  <c r="Q131" i="1"/>
  <c r="Q130" i="1"/>
  <c r="Q129" i="1"/>
  <c r="Q126" i="1"/>
  <c r="Q125" i="1"/>
  <c r="Q124" i="1"/>
  <c r="Q123" i="1"/>
  <c r="Q122" i="1"/>
  <c r="Q121" i="1"/>
  <c r="Q120" i="1"/>
  <c r="Q117" i="1"/>
  <c r="Q116" i="1"/>
  <c r="Q115" i="1"/>
  <c r="Q114" i="1"/>
  <c r="Q113" i="1"/>
  <c r="Q112" i="1"/>
  <c r="Q111" i="1"/>
  <c r="Q108" i="1"/>
  <c r="Q107" i="1"/>
  <c r="Q106" i="1"/>
  <c r="Q105" i="1"/>
  <c r="Q104" i="1"/>
  <c r="Q103" i="1"/>
  <c r="Q102" i="1"/>
  <c r="Q99" i="1"/>
  <c r="Q98" i="1"/>
  <c r="Q97" i="1"/>
  <c r="Q96" i="1"/>
  <c r="Q95" i="1"/>
  <c r="Q94" i="1"/>
  <c r="Q93" i="1"/>
  <c r="Q90" i="1"/>
  <c r="Q89" i="1"/>
  <c r="Q88" i="1"/>
  <c r="Q87" i="1"/>
  <c r="Q86" i="1"/>
  <c r="Q85" i="1"/>
  <c r="Q84" i="1"/>
  <c r="Q81" i="1"/>
  <c r="Q80" i="1"/>
  <c r="Q79" i="1"/>
  <c r="Q78" i="1"/>
  <c r="Q77" i="1"/>
  <c r="Q76" i="1"/>
  <c r="Q75" i="1"/>
  <c r="Q71" i="1"/>
  <c r="Q70" i="1"/>
  <c r="Q69" i="1"/>
  <c r="Q68" i="1"/>
  <c r="Q67" i="1"/>
  <c r="Q66" i="1"/>
  <c r="Q65" i="1"/>
  <c r="Q62" i="1"/>
  <c r="Q61" i="1"/>
  <c r="Q60" i="1"/>
  <c r="Q59" i="1"/>
  <c r="Q58" i="1"/>
  <c r="Q57" i="1"/>
  <c r="Q56" i="1"/>
  <c r="Q53" i="1"/>
  <c r="Q52" i="1"/>
  <c r="Q51" i="1"/>
  <c r="Q50" i="1"/>
  <c r="Q49" i="1"/>
  <c r="Q48" i="1"/>
  <c r="Q47" i="1"/>
  <c r="Q44" i="1"/>
  <c r="Q43" i="1"/>
  <c r="Q42" i="1"/>
  <c r="Q41" i="1"/>
  <c r="Q40" i="1"/>
  <c r="Q39" i="1"/>
  <c r="Q38" i="1"/>
  <c r="Q35" i="1"/>
  <c r="Q34" i="1"/>
  <c r="Q33" i="1"/>
  <c r="Q32" i="1"/>
  <c r="Q31" i="1"/>
  <c r="Q30" i="1"/>
  <c r="Q29" i="1"/>
  <c r="Q26" i="1"/>
  <c r="Q25" i="1"/>
  <c r="Q24" i="1"/>
  <c r="Q23" i="1"/>
  <c r="Q22" i="1"/>
  <c r="Q21" i="1"/>
  <c r="Q20" i="1"/>
  <c r="Q13" i="1"/>
  <c r="Q14" i="1"/>
  <c r="Q15" i="1"/>
  <c r="Q16" i="1"/>
  <c r="Q17" i="1"/>
  <c r="Q12" i="1"/>
  <c r="Q11" i="1"/>
  <c r="E12" i="2"/>
  <c r="F12" i="2"/>
  <c r="G12" i="2"/>
  <c r="H12" i="2"/>
  <c r="I12" i="2"/>
  <c r="J12" i="2"/>
  <c r="K12" i="2"/>
  <c r="L12" i="2"/>
  <c r="M12" i="2"/>
  <c r="N12" i="2"/>
  <c r="O12" i="2"/>
  <c r="P12" i="2"/>
  <c r="E13" i="2"/>
  <c r="F13" i="2"/>
  <c r="G13" i="2"/>
  <c r="H13" i="2"/>
  <c r="I13" i="2"/>
  <c r="J13" i="2"/>
  <c r="K13" i="2"/>
  <c r="L13" i="2"/>
  <c r="M13" i="2"/>
  <c r="N13" i="2"/>
  <c r="O13" i="2"/>
  <c r="P13" i="2"/>
  <c r="E14" i="2"/>
  <c r="F14" i="2"/>
  <c r="G14" i="2"/>
  <c r="H14" i="2"/>
  <c r="I14" i="2"/>
  <c r="J14" i="2"/>
  <c r="K14" i="2"/>
  <c r="L14" i="2"/>
  <c r="M14" i="2"/>
  <c r="N14" i="2"/>
  <c r="O14" i="2"/>
  <c r="P14" i="2"/>
  <c r="E15" i="2"/>
  <c r="F15" i="2"/>
  <c r="G15" i="2"/>
  <c r="H15" i="2"/>
  <c r="I15" i="2"/>
  <c r="J15" i="2"/>
  <c r="K15" i="2"/>
  <c r="L15" i="2"/>
  <c r="M15" i="2"/>
  <c r="N15" i="2"/>
  <c r="O15" i="2"/>
  <c r="P15" i="2"/>
  <c r="E16" i="2"/>
  <c r="F16" i="2"/>
  <c r="G16" i="2"/>
  <c r="H16" i="2"/>
  <c r="I16" i="2"/>
  <c r="J16" i="2"/>
  <c r="K16" i="2"/>
  <c r="L16" i="2"/>
  <c r="M16" i="2"/>
  <c r="N16" i="2"/>
  <c r="O16" i="2"/>
  <c r="P16" i="2"/>
  <c r="E17" i="2"/>
  <c r="F17" i="2"/>
  <c r="G17" i="2"/>
  <c r="H17" i="2"/>
  <c r="I17" i="2"/>
  <c r="J17" i="2"/>
  <c r="K17" i="2"/>
  <c r="L17" i="2"/>
  <c r="M17" i="2"/>
  <c r="N17" i="2"/>
  <c r="O17" i="2"/>
  <c r="P17" i="2"/>
  <c r="D12" i="2"/>
  <c r="D13" i="2"/>
  <c r="D14" i="2"/>
  <c r="D15" i="2"/>
  <c r="D16" i="2"/>
  <c r="D17" i="2"/>
  <c r="D11" i="2"/>
  <c r="E11" i="2"/>
  <c r="F11" i="2"/>
  <c r="G11" i="2"/>
  <c r="H11" i="2"/>
  <c r="J11" i="2"/>
  <c r="K11" i="2"/>
  <c r="L11" i="2"/>
  <c r="M11" i="2"/>
  <c r="N11" i="2"/>
  <c r="O11" i="2"/>
  <c r="P11" i="2"/>
  <c r="C13" i="2"/>
  <c r="C14" i="2"/>
  <c r="C15" i="2"/>
  <c r="C16" i="2"/>
  <c r="C17" i="2"/>
  <c r="C18" i="2"/>
  <c r="C12" i="2"/>
  <c r="C11" i="2"/>
  <c r="Q9" i="2"/>
  <c r="P8" i="2"/>
  <c r="O8" i="2"/>
  <c r="N8" i="2"/>
  <c r="M8" i="2"/>
  <c r="L8" i="2"/>
  <c r="K8" i="2"/>
  <c r="J8" i="2"/>
  <c r="I8" i="2"/>
  <c r="H8" i="2"/>
  <c r="G8" i="2"/>
  <c r="F8" i="2"/>
  <c r="E8" i="2"/>
  <c r="D7" i="2"/>
  <c r="E7" i="2" s="1"/>
  <c r="F7" i="2" s="1"/>
  <c r="P6" i="2"/>
  <c r="O6" i="2"/>
  <c r="N6" i="2"/>
  <c r="M6" i="2"/>
  <c r="L6" i="2"/>
  <c r="K6" i="2"/>
  <c r="J6" i="2"/>
  <c r="I6" i="2"/>
  <c r="H6" i="2"/>
  <c r="G6" i="2"/>
  <c r="F6" i="2"/>
  <c r="E6" i="2"/>
  <c r="D6" i="2"/>
  <c r="P5" i="2"/>
  <c r="O5" i="2"/>
  <c r="N5" i="2"/>
  <c r="M5" i="2"/>
  <c r="L5" i="2"/>
  <c r="K5" i="2"/>
  <c r="J5" i="2"/>
  <c r="I5" i="2"/>
  <c r="H5" i="2"/>
  <c r="G5" i="2"/>
  <c r="F5" i="2"/>
  <c r="E5" i="2"/>
  <c r="D5" i="2"/>
  <c r="G9" i="2"/>
  <c r="F9" i="2"/>
  <c r="P9" i="2"/>
  <c r="O9" i="2"/>
  <c r="N9" i="2"/>
  <c r="M9" i="2"/>
  <c r="L9" i="2"/>
  <c r="K9" i="2"/>
  <c r="J9" i="2"/>
  <c r="I9" i="2"/>
  <c r="H9" i="2"/>
  <c r="E9" i="2"/>
  <c r="D9" i="2"/>
  <c r="C128" i="1"/>
  <c r="C192" i="1" s="1"/>
  <c r="C256" i="1" s="1"/>
  <c r="C119" i="1"/>
  <c r="C183" i="1" s="1"/>
  <c r="C247" i="1" s="1"/>
  <c r="C110" i="1"/>
  <c r="C174" i="1" s="1"/>
  <c r="C101" i="1"/>
  <c r="C165" i="1" s="1"/>
  <c r="C229" i="1" s="1"/>
  <c r="C92" i="1"/>
  <c r="C156" i="1" s="1"/>
  <c r="C220" i="1" s="1"/>
  <c r="C83" i="1"/>
  <c r="C147" i="1" s="1"/>
  <c r="C211" i="1" s="1"/>
  <c r="C74" i="1"/>
  <c r="C138" i="1" s="1"/>
  <c r="C202" i="1" s="1"/>
  <c r="E7" i="1"/>
  <c r="F7" i="1" s="1"/>
  <c r="G7" i="1" s="1"/>
  <c r="E8" i="1"/>
  <c r="P264" i="1"/>
  <c r="O264" i="1"/>
  <c r="N264" i="1"/>
  <c r="M264" i="1"/>
  <c r="L264" i="1"/>
  <c r="K264" i="1"/>
  <c r="J264" i="1"/>
  <c r="I264" i="1"/>
  <c r="H264" i="1"/>
  <c r="G264" i="1"/>
  <c r="F264" i="1"/>
  <c r="E264" i="1"/>
  <c r="D264" i="1"/>
  <c r="P255" i="1"/>
  <c r="O255" i="1"/>
  <c r="N255" i="1"/>
  <c r="M255" i="1"/>
  <c r="L255" i="1"/>
  <c r="K255" i="1"/>
  <c r="J255" i="1"/>
  <c r="I255" i="1"/>
  <c r="H255" i="1"/>
  <c r="G255" i="1"/>
  <c r="F255" i="1"/>
  <c r="E255" i="1"/>
  <c r="D255" i="1"/>
  <c r="P246" i="1"/>
  <c r="O246" i="1"/>
  <c r="N246" i="1"/>
  <c r="M246" i="1"/>
  <c r="L246" i="1"/>
  <c r="K246" i="1"/>
  <c r="J246" i="1"/>
  <c r="I246" i="1"/>
  <c r="H246" i="1"/>
  <c r="G246" i="1"/>
  <c r="F246" i="1"/>
  <c r="E246" i="1"/>
  <c r="D246" i="1"/>
  <c r="C238" i="1"/>
  <c r="P237" i="1"/>
  <c r="O237" i="1"/>
  <c r="N237" i="1"/>
  <c r="M237" i="1"/>
  <c r="L237" i="1"/>
  <c r="K237" i="1"/>
  <c r="J237" i="1"/>
  <c r="H237" i="1"/>
  <c r="G237" i="1"/>
  <c r="F237" i="1"/>
  <c r="E237" i="1"/>
  <c r="D237" i="1"/>
  <c r="P228" i="1"/>
  <c r="O228" i="1"/>
  <c r="N228" i="1"/>
  <c r="M228" i="1"/>
  <c r="L228" i="1"/>
  <c r="K228" i="1"/>
  <c r="J228" i="1"/>
  <c r="I228" i="1"/>
  <c r="H228" i="1"/>
  <c r="G228" i="1"/>
  <c r="F228" i="1"/>
  <c r="E228" i="1"/>
  <c r="D228" i="1"/>
  <c r="P219" i="1"/>
  <c r="O219" i="1"/>
  <c r="N219" i="1"/>
  <c r="M219" i="1"/>
  <c r="L219" i="1"/>
  <c r="K219" i="1"/>
  <c r="J219" i="1"/>
  <c r="I219" i="1"/>
  <c r="H219" i="1"/>
  <c r="G219" i="1"/>
  <c r="F219" i="1"/>
  <c r="E219" i="1"/>
  <c r="D219" i="1"/>
  <c r="P210" i="1"/>
  <c r="O210" i="1"/>
  <c r="N210" i="1"/>
  <c r="M210" i="1"/>
  <c r="L210" i="1"/>
  <c r="K210" i="1"/>
  <c r="J210" i="1"/>
  <c r="I210" i="1"/>
  <c r="H210" i="1"/>
  <c r="G210" i="1"/>
  <c r="F210" i="1"/>
  <c r="E210" i="1"/>
  <c r="D210" i="1"/>
  <c r="P200" i="1"/>
  <c r="O200" i="1"/>
  <c r="N200" i="1"/>
  <c r="M200" i="1"/>
  <c r="L200" i="1"/>
  <c r="K200" i="1"/>
  <c r="J200" i="1"/>
  <c r="I200" i="1"/>
  <c r="H200" i="1"/>
  <c r="G200" i="1"/>
  <c r="F200" i="1"/>
  <c r="E200" i="1"/>
  <c r="D200" i="1"/>
  <c r="P191" i="1"/>
  <c r="O191" i="1"/>
  <c r="N191" i="1"/>
  <c r="M191" i="1"/>
  <c r="L191" i="1"/>
  <c r="K191" i="1"/>
  <c r="J191" i="1"/>
  <c r="I191" i="1"/>
  <c r="H191" i="1"/>
  <c r="G191" i="1"/>
  <c r="F191" i="1"/>
  <c r="E191" i="1"/>
  <c r="D191" i="1"/>
  <c r="P182" i="1"/>
  <c r="O182" i="1"/>
  <c r="N182" i="1"/>
  <c r="M182" i="1"/>
  <c r="L182" i="1"/>
  <c r="K182" i="1"/>
  <c r="J182" i="1"/>
  <c r="I182" i="1"/>
  <c r="H182" i="1"/>
  <c r="G182" i="1"/>
  <c r="F182" i="1"/>
  <c r="E182" i="1"/>
  <c r="D182" i="1"/>
  <c r="P173" i="1"/>
  <c r="O173" i="1"/>
  <c r="N173" i="1"/>
  <c r="M173" i="1"/>
  <c r="L173" i="1"/>
  <c r="K173" i="1"/>
  <c r="J173" i="1"/>
  <c r="I173" i="1"/>
  <c r="H173" i="1"/>
  <c r="G173" i="1"/>
  <c r="F173" i="1"/>
  <c r="E173" i="1"/>
  <c r="D173" i="1"/>
  <c r="P164" i="1"/>
  <c r="O164" i="1"/>
  <c r="N164" i="1"/>
  <c r="M164" i="1"/>
  <c r="L164" i="1"/>
  <c r="K164" i="1"/>
  <c r="J164" i="1"/>
  <c r="I164" i="1"/>
  <c r="H164" i="1"/>
  <c r="G164" i="1"/>
  <c r="F164" i="1"/>
  <c r="E164" i="1"/>
  <c r="D164" i="1"/>
  <c r="P155" i="1"/>
  <c r="O155" i="1"/>
  <c r="N155" i="1"/>
  <c r="M155" i="1"/>
  <c r="L155" i="1"/>
  <c r="K155" i="1"/>
  <c r="J155" i="1"/>
  <c r="I155" i="1"/>
  <c r="H155" i="1"/>
  <c r="G155" i="1"/>
  <c r="F155" i="1"/>
  <c r="E155" i="1"/>
  <c r="D155" i="1"/>
  <c r="P146" i="1"/>
  <c r="O146" i="1"/>
  <c r="N146" i="1"/>
  <c r="M146" i="1"/>
  <c r="L146" i="1"/>
  <c r="K146" i="1"/>
  <c r="J146" i="1"/>
  <c r="I146" i="1"/>
  <c r="H146" i="1"/>
  <c r="G146" i="1"/>
  <c r="F146" i="1"/>
  <c r="E146" i="1"/>
  <c r="D146" i="1"/>
  <c r="P136" i="1"/>
  <c r="O136" i="1"/>
  <c r="N136" i="1"/>
  <c r="M136" i="1"/>
  <c r="L136" i="1"/>
  <c r="K136" i="1"/>
  <c r="J136" i="1"/>
  <c r="I136" i="1"/>
  <c r="H136" i="1"/>
  <c r="G136" i="1"/>
  <c r="F136" i="1"/>
  <c r="E136" i="1"/>
  <c r="D136" i="1"/>
  <c r="P127" i="1"/>
  <c r="O127" i="1"/>
  <c r="N127" i="1"/>
  <c r="M127" i="1"/>
  <c r="L127" i="1"/>
  <c r="K127" i="1"/>
  <c r="J127" i="1"/>
  <c r="I127" i="1"/>
  <c r="H127" i="1"/>
  <c r="G127" i="1"/>
  <c r="F127" i="1"/>
  <c r="E127" i="1"/>
  <c r="D127" i="1"/>
  <c r="P118" i="1"/>
  <c r="O118" i="1"/>
  <c r="N118" i="1"/>
  <c r="M118" i="1"/>
  <c r="L118" i="1"/>
  <c r="K118" i="1"/>
  <c r="J118" i="1"/>
  <c r="I118" i="1"/>
  <c r="H118" i="1"/>
  <c r="G118" i="1"/>
  <c r="F118" i="1"/>
  <c r="E118" i="1"/>
  <c r="D118" i="1"/>
  <c r="P109" i="1"/>
  <c r="O109" i="1"/>
  <c r="N109" i="1"/>
  <c r="M109" i="1"/>
  <c r="L109" i="1"/>
  <c r="K109" i="1"/>
  <c r="J109" i="1"/>
  <c r="I109" i="1"/>
  <c r="H109" i="1"/>
  <c r="G109" i="1"/>
  <c r="F109" i="1"/>
  <c r="E109" i="1"/>
  <c r="D109" i="1"/>
  <c r="P100" i="1"/>
  <c r="O100" i="1"/>
  <c r="N100" i="1"/>
  <c r="M100" i="1"/>
  <c r="L100" i="1"/>
  <c r="K100" i="1"/>
  <c r="J100" i="1"/>
  <c r="I100" i="1"/>
  <c r="H100" i="1"/>
  <c r="G100" i="1"/>
  <c r="F100" i="1"/>
  <c r="E100" i="1"/>
  <c r="D100" i="1"/>
  <c r="P91" i="1"/>
  <c r="O91" i="1"/>
  <c r="N91" i="1"/>
  <c r="M91" i="1"/>
  <c r="L91" i="1"/>
  <c r="K91" i="1"/>
  <c r="J91" i="1"/>
  <c r="I91" i="1"/>
  <c r="H91" i="1"/>
  <c r="G91" i="1"/>
  <c r="F91" i="1"/>
  <c r="E91" i="1"/>
  <c r="D91" i="1"/>
  <c r="P82" i="1"/>
  <c r="O82" i="1"/>
  <c r="N82" i="1"/>
  <c r="M82" i="1"/>
  <c r="L82" i="1"/>
  <c r="K82" i="1"/>
  <c r="J82" i="1"/>
  <c r="I82" i="1"/>
  <c r="H82" i="1"/>
  <c r="G82" i="1"/>
  <c r="F82" i="1"/>
  <c r="E82" i="1"/>
  <c r="D82" i="1"/>
  <c r="P72" i="1"/>
  <c r="O72" i="1"/>
  <c r="N72" i="1"/>
  <c r="M72" i="1"/>
  <c r="L72" i="1"/>
  <c r="K72" i="1"/>
  <c r="J72" i="1"/>
  <c r="I72" i="1"/>
  <c r="H72" i="1"/>
  <c r="G72" i="1"/>
  <c r="F72" i="1"/>
  <c r="E72" i="1"/>
  <c r="D72" i="1"/>
  <c r="P63" i="1"/>
  <c r="O63" i="1"/>
  <c r="N63" i="1"/>
  <c r="M63" i="1"/>
  <c r="L63" i="1"/>
  <c r="K63" i="1"/>
  <c r="J63" i="1"/>
  <c r="I63" i="1"/>
  <c r="H63" i="1"/>
  <c r="G63" i="1"/>
  <c r="F63" i="1"/>
  <c r="E63" i="1"/>
  <c r="D63" i="1"/>
  <c r="P54" i="1"/>
  <c r="O54" i="1"/>
  <c r="N54" i="1"/>
  <c r="M54" i="1"/>
  <c r="L54" i="1"/>
  <c r="K54" i="1"/>
  <c r="J54" i="1"/>
  <c r="I54" i="1"/>
  <c r="H54" i="1"/>
  <c r="G54" i="1"/>
  <c r="F54" i="1"/>
  <c r="E54" i="1"/>
  <c r="D54" i="1"/>
  <c r="P45" i="1"/>
  <c r="O45" i="1"/>
  <c r="N45" i="1"/>
  <c r="M45" i="1"/>
  <c r="L45" i="1"/>
  <c r="K45" i="1"/>
  <c r="J45" i="1"/>
  <c r="I45" i="1"/>
  <c r="H45" i="1"/>
  <c r="G45" i="1"/>
  <c r="F45" i="1"/>
  <c r="E45" i="1"/>
  <c r="D45" i="1"/>
  <c r="P36" i="1"/>
  <c r="O36" i="1"/>
  <c r="N36" i="1"/>
  <c r="M36" i="1"/>
  <c r="L36" i="1"/>
  <c r="K36" i="1"/>
  <c r="J36" i="1"/>
  <c r="I36" i="1"/>
  <c r="H36" i="1"/>
  <c r="G36" i="1"/>
  <c r="F36" i="1"/>
  <c r="E36" i="1"/>
  <c r="D36" i="1"/>
  <c r="C36" i="1"/>
  <c r="C45" i="1" s="1"/>
  <c r="C54" i="1" s="1"/>
  <c r="C63" i="1" s="1"/>
  <c r="C72" i="1" s="1"/>
  <c r="C82" i="1" s="1"/>
  <c r="P27" i="1"/>
  <c r="O27" i="1"/>
  <c r="N27" i="1"/>
  <c r="M27" i="1"/>
  <c r="L27" i="1"/>
  <c r="K27" i="1"/>
  <c r="J27" i="1"/>
  <c r="I27" i="1"/>
  <c r="H27" i="1"/>
  <c r="G27" i="1"/>
  <c r="F27" i="1"/>
  <c r="E27" i="1"/>
  <c r="D27" i="1"/>
  <c r="C27" i="1"/>
  <c r="C26" i="1"/>
  <c r="C35" i="1" s="1"/>
  <c r="C44" i="1" s="1"/>
  <c r="C53" i="1" s="1"/>
  <c r="C62" i="1" s="1"/>
  <c r="C71" i="1" s="1"/>
  <c r="C81" i="1" s="1"/>
  <c r="C90" i="1" s="1"/>
  <c r="C99" i="1" s="1"/>
  <c r="C108" i="1" s="1"/>
  <c r="C117" i="1" s="1"/>
  <c r="C126" i="1" s="1"/>
  <c r="C135" i="1" s="1"/>
  <c r="C145" i="1" s="1"/>
  <c r="C154" i="1" s="1"/>
  <c r="C163" i="1" s="1"/>
  <c r="C172" i="1" s="1"/>
  <c r="C181" i="1" s="1"/>
  <c r="C190" i="1" s="1"/>
  <c r="C199" i="1" s="1"/>
  <c r="C209" i="1" s="1"/>
  <c r="C218" i="1" s="1"/>
  <c r="C227" i="1" s="1"/>
  <c r="C236" i="1" s="1"/>
  <c r="C245" i="1" s="1"/>
  <c r="C254" i="1" s="1"/>
  <c r="C263" i="1" s="1"/>
  <c r="C25" i="1"/>
  <c r="C34" i="1" s="1"/>
  <c r="C43" i="1" s="1"/>
  <c r="C52" i="1" s="1"/>
  <c r="C61" i="1" s="1"/>
  <c r="C70" i="1" s="1"/>
  <c r="C80" i="1" s="1"/>
  <c r="C89" i="1" s="1"/>
  <c r="C98" i="1" s="1"/>
  <c r="C107" i="1" s="1"/>
  <c r="C116" i="1" s="1"/>
  <c r="C125" i="1" s="1"/>
  <c r="C134" i="1" s="1"/>
  <c r="C144" i="1" s="1"/>
  <c r="C153" i="1" s="1"/>
  <c r="C162" i="1" s="1"/>
  <c r="C171" i="1" s="1"/>
  <c r="C180" i="1" s="1"/>
  <c r="C189" i="1" s="1"/>
  <c r="C198" i="1" s="1"/>
  <c r="C208" i="1" s="1"/>
  <c r="C217" i="1" s="1"/>
  <c r="C226" i="1" s="1"/>
  <c r="C235" i="1" s="1"/>
  <c r="C24" i="1"/>
  <c r="C33" i="1" s="1"/>
  <c r="C42" i="1" s="1"/>
  <c r="C51" i="1" s="1"/>
  <c r="C60" i="1" s="1"/>
  <c r="C69" i="1" s="1"/>
  <c r="C79" i="1" s="1"/>
  <c r="C88" i="1" s="1"/>
  <c r="C97" i="1" s="1"/>
  <c r="C106" i="1" s="1"/>
  <c r="C115" i="1" s="1"/>
  <c r="C124" i="1" s="1"/>
  <c r="C133" i="1" s="1"/>
  <c r="C143" i="1" s="1"/>
  <c r="C152" i="1" s="1"/>
  <c r="C161" i="1" s="1"/>
  <c r="C170" i="1" s="1"/>
  <c r="C179" i="1" s="1"/>
  <c r="C188" i="1" s="1"/>
  <c r="C197" i="1" s="1"/>
  <c r="C207" i="1" s="1"/>
  <c r="C216" i="1" s="1"/>
  <c r="C225" i="1" s="1"/>
  <c r="C234" i="1" s="1"/>
  <c r="C243" i="1" s="1"/>
  <c r="C252" i="1" s="1"/>
  <c r="C261" i="1" s="1"/>
  <c r="C23" i="1"/>
  <c r="C32" i="1" s="1"/>
  <c r="C41" i="1" s="1"/>
  <c r="C50" i="1" s="1"/>
  <c r="C59" i="1" s="1"/>
  <c r="C68" i="1" s="1"/>
  <c r="C78" i="1" s="1"/>
  <c r="C87" i="1" s="1"/>
  <c r="C96" i="1" s="1"/>
  <c r="C105" i="1" s="1"/>
  <c r="C114" i="1" s="1"/>
  <c r="C123" i="1" s="1"/>
  <c r="C132" i="1" s="1"/>
  <c r="C142" i="1" s="1"/>
  <c r="C151" i="1" s="1"/>
  <c r="C160" i="1" s="1"/>
  <c r="C169" i="1" s="1"/>
  <c r="C178" i="1" s="1"/>
  <c r="C187" i="1" s="1"/>
  <c r="C196" i="1" s="1"/>
  <c r="C206" i="1" s="1"/>
  <c r="C215" i="1" s="1"/>
  <c r="C224" i="1" s="1"/>
  <c r="C233" i="1" s="1"/>
  <c r="C242" i="1" s="1"/>
  <c r="C251" i="1" s="1"/>
  <c r="C260" i="1" s="1"/>
  <c r="C22" i="1"/>
  <c r="C31" i="1" s="1"/>
  <c r="C40" i="1" s="1"/>
  <c r="C49" i="1" s="1"/>
  <c r="C58" i="1" s="1"/>
  <c r="C67" i="1" s="1"/>
  <c r="C77" i="1" s="1"/>
  <c r="C86" i="1" s="1"/>
  <c r="C95" i="1" s="1"/>
  <c r="C104" i="1" s="1"/>
  <c r="C113" i="1" s="1"/>
  <c r="C21" i="1"/>
  <c r="C30" i="1" s="1"/>
  <c r="C39" i="1" s="1"/>
  <c r="C48" i="1" s="1"/>
  <c r="C57" i="1" s="1"/>
  <c r="C66" i="1" s="1"/>
  <c r="C76" i="1" s="1"/>
  <c r="C85" i="1" s="1"/>
  <c r="C94" i="1" s="1"/>
  <c r="C103" i="1" s="1"/>
  <c r="C112" i="1" s="1"/>
  <c r="C121" i="1" s="1"/>
  <c r="C130" i="1" s="1"/>
  <c r="C140" i="1" s="1"/>
  <c r="C149" i="1" s="1"/>
  <c r="C158" i="1" s="1"/>
  <c r="C167" i="1" s="1"/>
  <c r="C176" i="1" s="1"/>
  <c r="C185" i="1" s="1"/>
  <c r="C194" i="1" s="1"/>
  <c r="C204" i="1" s="1"/>
  <c r="C213" i="1" s="1"/>
  <c r="C222" i="1" s="1"/>
  <c r="C231" i="1" s="1"/>
  <c r="C240" i="1" s="1"/>
  <c r="C249" i="1" s="1"/>
  <c r="C258" i="1" s="1"/>
  <c r="C20" i="1"/>
  <c r="C29" i="1" s="1"/>
  <c r="C38" i="1" s="1"/>
  <c r="C47" i="1" s="1"/>
  <c r="C56" i="1" s="1"/>
  <c r="C65" i="1" s="1"/>
  <c r="C75" i="1" s="1"/>
  <c r="C84" i="1" s="1"/>
  <c r="C93" i="1" s="1"/>
  <c r="C102" i="1" s="1"/>
  <c r="C111" i="1" s="1"/>
  <c r="C120" i="1" s="1"/>
  <c r="C129" i="1" s="1"/>
  <c r="C139" i="1" s="1"/>
  <c r="C148" i="1" s="1"/>
  <c r="C157" i="1" s="1"/>
  <c r="C166" i="1" s="1"/>
  <c r="C175" i="1" s="1"/>
  <c r="C184" i="1" s="1"/>
  <c r="C193" i="1" s="1"/>
  <c r="C203" i="1" s="1"/>
  <c r="C212" i="1" s="1"/>
  <c r="C221" i="1" s="1"/>
  <c r="C230" i="1" s="1"/>
  <c r="C239" i="1" s="1"/>
  <c r="C248" i="1" s="1"/>
  <c r="C257" i="1" s="1"/>
  <c r="P18" i="1"/>
  <c r="O18" i="1"/>
  <c r="N18" i="1"/>
  <c r="M18" i="1"/>
  <c r="L18" i="1"/>
  <c r="K18" i="1"/>
  <c r="J18" i="1"/>
  <c r="I18" i="1"/>
  <c r="H18" i="1"/>
  <c r="G18" i="1"/>
  <c r="F18" i="1"/>
  <c r="E18" i="1"/>
  <c r="D18" i="1"/>
  <c r="E8" i="19" l="1"/>
  <c r="E8" i="18"/>
  <c r="E8" i="17"/>
  <c r="E8" i="15"/>
  <c r="H8" i="19"/>
  <c r="H8" i="18"/>
  <c r="H8" i="17"/>
  <c r="H8" i="15"/>
  <c r="AO9" i="19"/>
  <c r="AO9" i="18"/>
  <c r="AO9" i="17"/>
  <c r="AO9" i="15"/>
  <c r="K8" i="18"/>
  <c r="K8" i="19"/>
  <c r="K8" i="17"/>
  <c r="K8" i="15"/>
  <c r="Z8" i="19"/>
  <c r="Z8" i="18"/>
  <c r="Z8" i="17"/>
  <c r="Z8" i="15"/>
  <c r="K9" i="19"/>
  <c r="K9" i="18"/>
  <c r="K9" i="17"/>
  <c r="K9" i="15"/>
  <c r="AI9" i="19"/>
  <c r="AI9" i="18"/>
  <c r="AI9" i="17"/>
  <c r="AI9" i="15"/>
  <c r="AC8" i="19"/>
  <c r="AC8" i="18"/>
  <c r="AC8" i="17"/>
  <c r="AC8" i="15"/>
  <c r="AI8" i="18"/>
  <c r="AI8" i="19"/>
  <c r="AI8" i="17"/>
  <c r="AI8" i="15"/>
  <c r="W9" i="19"/>
  <c r="W9" i="18"/>
  <c r="W9" i="17"/>
  <c r="W9" i="15"/>
  <c r="Q8" i="19"/>
  <c r="Q8" i="18"/>
  <c r="Q8" i="17"/>
  <c r="Q8" i="15"/>
  <c r="AO8" i="19"/>
  <c r="AO8" i="18"/>
  <c r="AO8" i="17"/>
  <c r="AO8" i="15"/>
  <c r="Z9" i="18"/>
  <c r="Z9" i="19"/>
  <c r="Z9" i="17"/>
  <c r="Z9" i="15"/>
  <c r="N9" i="18"/>
  <c r="N9" i="19"/>
  <c r="N9" i="17"/>
  <c r="N9" i="15"/>
  <c r="T9" i="18"/>
  <c r="T9" i="19"/>
  <c r="T9" i="17"/>
  <c r="T9" i="15"/>
  <c r="AL8" i="19"/>
  <c r="AL8" i="18"/>
  <c r="AL8" i="17"/>
  <c r="AL8" i="15"/>
  <c r="T8" i="18"/>
  <c r="T8" i="19"/>
  <c r="T8" i="17"/>
  <c r="T8" i="15"/>
  <c r="E9" i="19"/>
  <c r="E9" i="18"/>
  <c r="E9" i="17"/>
  <c r="E9" i="15"/>
  <c r="AC9" i="19"/>
  <c r="AC9" i="18"/>
  <c r="AC9" i="17"/>
  <c r="AC9" i="15"/>
  <c r="AL9" i="19"/>
  <c r="AL9" i="18"/>
  <c r="AL9" i="17"/>
  <c r="AL9" i="15"/>
  <c r="AF8" i="18"/>
  <c r="AF8" i="19"/>
  <c r="AF8" i="17"/>
  <c r="AF8" i="15"/>
  <c r="Q9" i="19"/>
  <c r="Q9" i="18"/>
  <c r="Q9" i="17"/>
  <c r="Q9" i="15"/>
  <c r="N8" i="19"/>
  <c r="N8" i="18"/>
  <c r="N8" i="17"/>
  <c r="N8" i="15"/>
  <c r="W8" i="19"/>
  <c r="W8" i="18"/>
  <c r="W8" i="17"/>
  <c r="W8" i="15"/>
  <c r="H9" i="19"/>
  <c r="H9" i="18"/>
  <c r="H9" i="17"/>
  <c r="H9" i="15"/>
  <c r="AF9" i="19"/>
  <c r="AF9" i="18"/>
  <c r="AF9" i="17"/>
  <c r="AF9" i="15"/>
  <c r="Q246" i="1"/>
  <c r="Q146" i="1"/>
  <c r="Q219" i="1"/>
  <c r="Q155" i="1"/>
  <c r="Q127" i="1"/>
  <c r="Q100" i="1"/>
  <c r="Q72" i="1"/>
  <c r="Q54" i="1"/>
  <c r="Q255" i="1"/>
  <c r="Q237" i="1"/>
  <c r="Q228" i="1"/>
  <c r="Q210" i="1"/>
  <c r="Q200" i="1"/>
  <c r="Q191" i="1"/>
  <c r="Q182" i="1"/>
  <c r="Q173" i="1"/>
  <c r="Q164" i="1"/>
  <c r="Q136" i="1"/>
  <c r="Q118" i="1"/>
  <c r="Q109" i="1"/>
  <c r="Q91" i="1"/>
  <c r="Q82" i="1"/>
  <c r="Q63" i="1"/>
  <c r="Q45" i="1"/>
  <c r="Q36" i="1"/>
  <c r="Q27" i="1"/>
  <c r="Q18" i="1"/>
  <c r="Q264" i="1"/>
  <c r="E18" i="2"/>
  <c r="F18" i="2"/>
  <c r="G18" i="2"/>
  <c r="H18" i="2"/>
  <c r="Q13" i="2"/>
  <c r="M18" i="2"/>
  <c r="J18" i="2"/>
  <c r="Q16" i="2"/>
  <c r="D18" i="2"/>
  <c r="I18" i="2"/>
  <c r="Q12" i="2"/>
  <c r="P18" i="2"/>
  <c r="Q17" i="2"/>
  <c r="O18" i="2"/>
  <c r="Q14" i="2"/>
  <c r="L18" i="2"/>
  <c r="K18" i="2"/>
  <c r="N18" i="2"/>
  <c r="Q15" i="2"/>
  <c r="Q11" i="2"/>
  <c r="G7" i="2"/>
  <c r="Q8" i="2"/>
  <c r="H7" i="1"/>
  <c r="C122" i="1"/>
  <c r="C131" i="1" s="1"/>
  <c r="C244" i="1"/>
  <c r="C253" i="1" s="1"/>
  <c r="C262" i="1" s="1"/>
  <c r="D267" i="1"/>
  <c r="D19" i="2" s="1"/>
  <c r="D21" i="2" s="1"/>
  <c r="K267" i="1"/>
  <c r="K19" i="2" s="1"/>
  <c r="J267" i="1"/>
  <c r="I267" i="1"/>
  <c r="M267" i="1"/>
  <c r="F267" i="1"/>
  <c r="F270" i="1" s="1"/>
  <c r="N267" i="1"/>
  <c r="N19" i="2" s="1"/>
  <c r="P267" i="1"/>
  <c r="P19" i="2" s="1"/>
  <c r="G267" i="1"/>
  <c r="G19" i="2" s="1"/>
  <c r="L267" i="1"/>
  <c r="L19" i="2" s="1"/>
  <c r="E267" i="1"/>
  <c r="E19" i="2" s="1"/>
  <c r="O267" i="1"/>
  <c r="O19" i="2" s="1"/>
  <c r="H267" i="1"/>
  <c r="H19" i="2" s="1"/>
  <c r="F8" i="1"/>
  <c r="G8" i="1" s="1"/>
  <c r="H8" i="1" s="1"/>
  <c r="I8" i="1" s="1"/>
  <c r="J8" i="1" s="1"/>
  <c r="K8" i="1" s="1"/>
  <c r="L8" i="1" s="1"/>
  <c r="M8" i="1" s="1"/>
  <c r="N8" i="1" s="1"/>
  <c r="O8" i="1" s="1"/>
  <c r="P8" i="1" s="1"/>
  <c r="C100" i="1"/>
  <c r="C109" i="1" s="1"/>
  <c r="C118" i="1" s="1"/>
  <c r="C127" i="1" s="1"/>
  <c r="C136" i="1" s="1"/>
  <c r="C146" i="1" s="1"/>
  <c r="C91" i="1"/>
  <c r="Q18" i="2" l="1"/>
  <c r="G106" i="3"/>
  <c r="M557" i="4"/>
  <c r="G98" i="3"/>
  <c r="M514" i="4"/>
  <c r="M471" i="4"/>
  <c r="G90" i="3"/>
  <c r="G74" i="3"/>
  <c r="M385" i="4"/>
  <c r="G66" i="3"/>
  <c r="M342" i="4"/>
  <c r="M213" i="4"/>
  <c r="G42" i="3"/>
  <c r="G34" i="3"/>
  <c r="M170" i="4"/>
  <c r="E23" i="2"/>
  <c r="M84" i="4"/>
  <c r="G18" i="3"/>
  <c r="D23" i="2"/>
  <c r="G10" i="3"/>
  <c r="M41" i="4"/>
  <c r="E268" i="1"/>
  <c r="Q8" i="1"/>
  <c r="E21" i="2"/>
  <c r="G21" i="2"/>
  <c r="J268" i="1"/>
  <c r="J19" i="2"/>
  <c r="I268" i="1"/>
  <c r="I19" i="2"/>
  <c r="H271" i="1"/>
  <c r="E270" i="1"/>
  <c r="E271" i="1"/>
  <c r="F268" i="1"/>
  <c r="F19" i="2"/>
  <c r="G271" i="1"/>
  <c r="G270" i="1"/>
  <c r="M268" i="1"/>
  <c r="M19" i="2"/>
  <c r="F271" i="1"/>
  <c r="G23" i="2"/>
  <c r="H7" i="2"/>
  <c r="D271" i="1"/>
  <c r="D270" i="1"/>
  <c r="I7" i="1"/>
  <c r="I271" i="1" s="1"/>
  <c r="H270" i="1"/>
  <c r="C141" i="1"/>
  <c r="C150" i="1" s="1"/>
  <c r="C159" i="1" s="1"/>
  <c r="C168" i="1" s="1"/>
  <c r="C177" i="1" s="1"/>
  <c r="C186" i="1" s="1"/>
  <c r="C195" i="1" s="1"/>
  <c r="C205" i="1" s="1"/>
  <c r="C214" i="1" s="1"/>
  <c r="C223" i="1" s="1"/>
  <c r="C232" i="1" s="1"/>
  <c r="C241" i="1" s="1"/>
  <c r="C250" i="1" s="1"/>
  <c r="C259" i="1" s="1"/>
  <c r="H268" i="1"/>
  <c r="O268" i="1"/>
  <c r="L268" i="1"/>
  <c r="P268" i="1"/>
  <c r="N268" i="1"/>
  <c r="G268" i="1"/>
  <c r="K268" i="1"/>
  <c r="Q267" i="1"/>
  <c r="D268" i="1"/>
  <c r="C164" i="1"/>
  <c r="C155" i="1"/>
  <c r="BO106" i="3" l="1"/>
  <c r="S106" i="3"/>
  <c r="BC106" i="3"/>
  <c r="BO98" i="3"/>
  <c r="S98" i="3"/>
  <c r="BC98" i="3"/>
  <c r="BO90" i="3"/>
  <c r="S90" i="3"/>
  <c r="BC90" i="3"/>
  <c r="G82" i="3"/>
  <c r="M428" i="4"/>
  <c r="BO74" i="3"/>
  <c r="S74" i="3"/>
  <c r="BC74" i="3"/>
  <c r="BC66" i="3"/>
  <c r="BO66" i="3"/>
  <c r="S66" i="3"/>
  <c r="M299" i="4"/>
  <c r="G58" i="3"/>
  <c r="M256" i="4"/>
  <c r="G50" i="3"/>
  <c r="S42" i="3"/>
  <c r="BC42" i="3"/>
  <c r="S34" i="3"/>
  <c r="BC34" i="3"/>
  <c r="M127" i="4"/>
  <c r="G26" i="3"/>
  <c r="BC18" i="3"/>
  <c r="S18" i="3"/>
  <c r="S10" i="3"/>
  <c r="BC10" i="3"/>
  <c r="Q19" i="2"/>
  <c r="M10" i="2" s="1"/>
  <c r="Q268" i="1"/>
  <c r="F23" i="2"/>
  <c r="F21" i="2"/>
  <c r="I7" i="2"/>
  <c r="H23" i="2"/>
  <c r="H21" i="2"/>
  <c r="S260" i="1"/>
  <c r="S244" i="1"/>
  <c r="S230" i="1"/>
  <c r="S214" i="1"/>
  <c r="S197" i="1"/>
  <c r="S181" i="1"/>
  <c r="S167" i="1"/>
  <c r="S151" i="1"/>
  <c r="S134" i="1"/>
  <c r="S120" i="1"/>
  <c r="S104" i="1"/>
  <c r="S88" i="1"/>
  <c r="S71" i="1"/>
  <c r="S57" i="1"/>
  <c r="S41" i="1"/>
  <c r="S25" i="1"/>
  <c r="S11" i="1"/>
  <c r="S68" i="1"/>
  <c r="S259" i="1"/>
  <c r="S243" i="1"/>
  <c r="S227" i="1"/>
  <c r="S213" i="1"/>
  <c r="S196" i="1"/>
  <c r="S180" i="1"/>
  <c r="S166" i="1"/>
  <c r="S150" i="1"/>
  <c r="S133" i="1"/>
  <c r="S117" i="1"/>
  <c r="S103" i="1"/>
  <c r="S87" i="1"/>
  <c r="S70" i="1"/>
  <c r="S56" i="1"/>
  <c r="S40" i="1"/>
  <c r="S24" i="1"/>
  <c r="S258" i="1"/>
  <c r="S242" i="1"/>
  <c r="S226" i="1"/>
  <c r="S212" i="1"/>
  <c r="S195" i="1"/>
  <c r="S179" i="1"/>
  <c r="S163" i="1"/>
  <c r="S149" i="1"/>
  <c r="S132" i="1"/>
  <c r="S116" i="1"/>
  <c r="S102" i="1"/>
  <c r="S86" i="1"/>
  <c r="S69" i="1"/>
  <c r="S53" i="1"/>
  <c r="S39" i="1"/>
  <c r="S23" i="1"/>
  <c r="S85" i="1"/>
  <c r="S257" i="1"/>
  <c r="S241" i="1"/>
  <c r="S225" i="1"/>
  <c r="S209" i="1"/>
  <c r="S194" i="1"/>
  <c r="S178" i="1"/>
  <c r="S162" i="1"/>
  <c r="S148" i="1"/>
  <c r="S131" i="1"/>
  <c r="S115" i="1"/>
  <c r="S99" i="1"/>
  <c r="S52" i="1"/>
  <c r="S38" i="1"/>
  <c r="S22" i="1"/>
  <c r="S254" i="1"/>
  <c r="S240" i="1"/>
  <c r="S224" i="1"/>
  <c r="S208" i="1"/>
  <c r="S193" i="1"/>
  <c r="S177" i="1"/>
  <c r="S161" i="1"/>
  <c r="S145" i="1"/>
  <c r="S130" i="1"/>
  <c r="S114" i="1"/>
  <c r="S98" i="1"/>
  <c r="S84" i="1"/>
  <c r="S67" i="1"/>
  <c r="S51" i="1"/>
  <c r="S35" i="1"/>
  <c r="S21" i="1"/>
  <c r="S253" i="1"/>
  <c r="S239" i="1"/>
  <c r="S223" i="1"/>
  <c r="S207" i="1"/>
  <c r="S190" i="1"/>
  <c r="S176" i="1"/>
  <c r="S160" i="1"/>
  <c r="S144" i="1"/>
  <c r="S129" i="1"/>
  <c r="S113" i="1"/>
  <c r="S97" i="1"/>
  <c r="S81" i="1"/>
  <c r="S66" i="1"/>
  <c r="S50" i="1"/>
  <c r="S34" i="1"/>
  <c r="S20" i="1"/>
  <c r="S252" i="1"/>
  <c r="S236" i="1"/>
  <c r="S222" i="1"/>
  <c r="S206" i="1"/>
  <c r="S189" i="1"/>
  <c r="S175" i="1"/>
  <c r="S159" i="1"/>
  <c r="S143" i="1"/>
  <c r="S126" i="1"/>
  <c r="S112" i="1"/>
  <c r="S96" i="1"/>
  <c r="S80" i="1"/>
  <c r="S65" i="1"/>
  <c r="S49" i="1"/>
  <c r="S33" i="1"/>
  <c r="S12" i="1"/>
  <c r="S251" i="1"/>
  <c r="S235" i="1"/>
  <c r="S221" i="1"/>
  <c r="S205" i="1"/>
  <c r="S188" i="1"/>
  <c r="S172" i="1"/>
  <c r="S158" i="1"/>
  <c r="S142" i="1"/>
  <c r="S125" i="1"/>
  <c r="S111" i="1"/>
  <c r="S95" i="1"/>
  <c r="S79" i="1"/>
  <c r="S62" i="1"/>
  <c r="S48" i="1"/>
  <c r="S32" i="1"/>
  <c r="S13" i="1"/>
  <c r="S250" i="1"/>
  <c r="S234" i="1"/>
  <c r="S218" i="1"/>
  <c r="S204" i="1"/>
  <c r="S187" i="1"/>
  <c r="S171" i="1"/>
  <c r="S157" i="1"/>
  <c r="S141" i="1"/>
  <c r="S124" i="1"/>
  <c r="S108" i="1"/>
  <c r="S94" i="1"/>
  <c r="S78" i="1"/>
  <c r="S61" i="1"/>
  <c r="S47" i="1"/>
  <c r="S31" i="1"/>
  <c r="S14" i="1"/>
  <c r="S263" i="1"/>
  <c r="S249" i="1"/>
  <c r="S233" i="1"/>
  <c r="S217" i="1"/>
  <c r="S203" i="1"/>
  <c r="S186" i="1"/>
  <c r="S170" i="1"/>
  <c r="S154" i="1"/>
  <c r="S140" i="1"/>
  <c r="S123" i="1"/>
  <c r="S107" i="1"/>
  <c r="S93" i="1"/>
  <c r="S77" i="1"/>
  <c r="S60" i="1"/>
  <c r="S44" i="1"/>
  <c r="S30" i="1"/>
  <c r="S15" i="1"/>
  <c r="S262" i="1"/>
  <c r="S248" i="1"/>
  <c r="S232" i="1"/>
  <c r="S216" i="1"/>
  <c r="S199" i="1"/>
  <c r="S185" i="1"/>
  <c r="S169" i="1"/>
  <c r="S153" i="1"/>
  <c r="S139" i="1"/>
  <c r="S122" i="1"/>
  <c r="S106" i="1"/>
  <c r="S90" i="1"/>
  <c r="S76" i="1"/>
  <c r="S59" i="1"/>
  <c r="S43" i="1"/>
  <c r="S29" i="1"/>
  <c r="S16" i="1"/>
  <c r="S261" i="1"/>
  <c r="S245" i="1"/>
  <c r="S231" i="1"/>
  <c r="S215" i="1"/>
  <c r="S198" i="1"/>
  <c r="S184" i="1"/>
  <c r="S168" i="1"/>
  <c r="S152" i="1"/>
  <c r="S135" i="1"/>
  <c r="S121" i="1"/>
  <c r="S105" i="1"/>
  <c r="S89" i="1"/>
  <c r="S75" i="1"/>
  <c r="S58" i="1"/>
  <c r="S42" i="1"/>
  <c r="S26" i="1"/>
  <c r="S17" i="1"/>
  <c r="J7" i="1"/>
  <c r="J271" i="1" s="1"/>
  <c r="I270" i="1"/>
  <c r="C173" i="1"/>
  <c r="C191" i="1" s="1"/>
  <c r="G114" i="3" l="1"/>
  <c r="AX7" i="14" s="1"/>
  <c r="AE106" i="3"/>
  <c r="Q106" i="3"/>
  <c r="Q98" i="3"/>
  <c r="AE98" i="3"/>
  <c r="Q90" i="3"/>
  <c r="AE90" i="3"/>
  <c r="BC82" i="3"/>
  <c r="BO82" i="3"/>
  <c r="S82" i="3"/>
  <c r="AE74" i="3"/>
  <c r="Q74" i="3"/>
  <c r="Q66" i="3"/>
  <c r="AE66" i="3"/>
  <c r="S58" i="3"/>
  <c r="BO58" i="3"/>
  <c r="BC58" i="3"/>
  <c r="BC50" i="3"/>
  <c r="S50" i="3"/>
  <c r="AE42" i="3"/>
  <c r="Q42" i="3"/>
  <c r="BO42" i="3"/>
  <c r="L10" i="2"/>
  <c r="AE34" i="3"/>
  <c r="Q34" i="3"/>
  <c r="BO34" i="3"/>
  <c r="P10" i="2"/>
  <c r="BC26" i="3"/>
  <c r="S26" i="3"/>
  <c r="J10" i="2"/>
  <c r="D10" i="2"/>
  <c r="AE18" i="3"/>
  <c r="BO18" i="3"/>
  <c r="Q18" i="3"/>
  <c r="H11" i="17" s="1"/>
  <c r="G10" i="2"/>
  <c r="K10" i="2"/>
  <c r="F10" i="2"/>
  <c r="E10" i="2"/>
  <c r="N10" i="2"/>
  <c r="O10" i="2"/>
  <c r="BG7" i="5"/>
  <c r="M600" i="4"/>
  <c r="G122" i="3"/>
  <c r="BC122" i="3" s="1"/>
  <c r="I10" i="2"/>
  <c r="H10" i="2"/>
  <c r="BO10" i="3"/>
  <c r="Q10" i="3"/>
  <c r="AE10" i="3"/>
  <c r="T36" i="1"/>
  <c r="T200" i="1"/>
  <c r="T228" i="1"/>
  <c r="J7" i="2"/>
  <c r="I23" i="2"/>
  <c r="I21" i="2"/>
  <c r="T155" i="1"/>
  <c r="T127" i="1"/>
  <c r="T255" i="1"/>
  <c r="T182" i="1"/>
  <c r="T210" i="1"/>
  <c r="T91" i="1"/>
  <c r="S265" i="1"/>
  <c r="T18" i="1"/>
  <c r="T63" i="1"/>
  <c r="T164" i="1"/>
  <c r="T264" i="1"/>
  <c r="T27" i="1"/>
  <c r="T237" i="1"/>
  <c r="T100" i="1"/>
  <c r="T219" i="1"/>
  <c r="T109" i="1"/>
  <c r="T136" i="1"/>
  <c r="T45" i="1"/>
  <c r="T82" i="1"/>
  <c r="T173" i="1"/>
  <c r="T191" i="1"/>
  <c r="T146" i="1"/>
  <c r="T118" i="1"/>
  <c r="T72" i="1"/>
  <c r="T54" i="1"/>
  <c r="T246" i="1"/>
  <c r="K7" i="1"/>
  <c r="K271" i="1" s="1"/>
  <c r="J270" i="1"/>
  <c r="C182" i="1"/>
  <c r="C200" i="1" s="1"/>
  <c r="C210" i="1" s="1"/>
  <c r="S114" i="3" l="1"/>
  <c r="S122" i="3" s="1"/>
  <c r="BO122" i="3" s="1"/>
  <c r="AX7" i="16"/>
  <c r="AX7" i="7"/>
  <c r="AX7" i="15"/>
  <c r="BC7" i="15" s="1"/>
  <c r="AX7" i="17"/>
  <c r="AX7" i="18"/>
  <c r="AX7" i="19"/>
  <c r="AY7" i="10"/>
  <c r="AX7" i="9"/>
  <c r="AX7" i="11"/>
  <c r="BC7" i="11" s="1"/>
  <c r="AX7" i="12"/>
  <c r="BC7" i="12" s="1"/>
  <c r="BC114" i="3"/>
  <c r="AX7" i="13"/>
  <c r="AO11" i="17"/>
  <c r="AO11" i="5"/>
  <c r="AQ106" i="3"/>
  <c r="AO106" i="3" s="1"/>
  <c r="AC106" i="3"/>
  <c r="AQ98" i="3"/>
  <c r="AO98" i="3" s="1"/>
  <c r="AC98" i="3"/>
  <c r="AL11" i="17"/>
  <c r="AL11" i="5"/>
  <c r="AC90" i="3"/>
  <c r="AQ90" i="3"/>
  <c r="AO90" i="3" s="1"/>
  <c r="AI11" i="17"/>
  <c r="AI11" i="5"/>
  <c r="AE82" i="3"/>
  <c r="Q82" i="3"/>
  <c r="AC11" i="17"/>
  <c r="AC11" i="5"/>
  <c r="AC74" i="3"/>
  <c r="AQ74" i="3"/>
  <c r="AO74" i="3" s="1"/>
  <c r="AQ66" i="3"/>
  <c r="AO66" i="3" s="1"/>
  <c r="AC66" i="3"/>
  <c r="Z11" i="17"/>
  <c r="Z11" i="5"/>
  <c r="AE58" i="3"/>
  <c r="Q58" i="3"/>
  <c r="BO50" i="3"/>
  <c r="Q50" i="3"/>
  <c r="AE50" i="3"/>
  <c r="Q11" i="17"/>
  <c r="Q11" i="5"/>
  <c r="AQ42" i="3"/>
  <c r="AO42" i="3" s="1"/>
  <c r="AC42" i="3"/>
  <c r="N11" i="17"/>
  <c r="N11" i="5"/>
  <c r="AC34" i="3"/>
  <c r="AQ34" i="3"/>
  <c r="AO34" i="3" s="1"/>
  <c r="Q26" i="3"/>
  <c r="BO26" i="3"/>
  <c r="AE26" i="3"/>
  <c r="H11" i="5"/>
  <c r="AC18" i="3"/>
  <c r="H12" i="17" s="1"/>
  <c r="AQ18" i="3"/>
  <c r="AO18" i="3" s="1"/>
  <c r="H13" i="17" s="1"/>
  <c r="Q10" i="2"/>
  <c r="E11" i="5"/>
  <c r="E11" i="17" s="1"/>
  <c r="E19" i="17" s="1"/>
  <c r="AC10" i="3"/>
  <c r="AQ10" i="3"/>
  <c r="E618" i="4"/>
  <c r="E608" i="4"/>
  <c r="D608" i="4" s="1"/>
  <c r="E613" i="4"/>
  <c r="D613" i="4" s="1"/>
  <c r="K7" i="2"/>
  <c r="J23" i="2"/>
  <c r="J21" i="2"/>
  <c r="T265" i="1"/>
  <c r="L7" i="1"/>
  <c r="L271" i="1" s="1"/>
  <c r="K270" i="1"/>
  <c r="C219" i="1"/>
  <c r="C228" i="1"/>
  <c r="C237" i="1" s="1"/>
  <c r="C246" i="1" s="1"/>
  <c r="C255" i="1" s="1"/>
  <c r="C264" i="1" s="1"/>
  <c r="H14" i="17" l="1"/>
  <c r="E98" i="3"/>
  <c r="L98" i="3" s="1"/>
  <c r="E90" i="3"/>
  <c r="L90" i="3" s="1"/>
  <c r="E66" i="3"/>
  <c r="L66" i="3" s="1"/>
  <c r="BO114" i="3"/>
  <c r="E106" i="3"/>
  <c r="L106" i="3" s="1"/>
  <c r="AE114" i="3"/>
  <c r="AE122" i="3" s="1"/>
  <c r="E42" i="3"/>
  <c r="L42" i="3" s="1"/>
  <c r="D618" i="4"/>
  <c r="G618" i="4" s="1"/>
  <c r="F619" i="4" s="1"/>
  <c r="AO13" i="17"/>
  <c r="AO13" i="5"/>
  <c r="AO12" i="17"/>
  <c r="AO14" i="17" s="1"/>
  <c r="AO12" i="5"/>
  <c r="AO19" i="17"/>
  <c r="AP19" i="17" s="1"/>
  <c r="AL19" i="17"/>
  <c r="AM19" i="17" s="1"/>
  <c r="AL12" i="17"/>
  <c r="AL12" i="5"/>
  <c r="AL13" i="17"/>
  <c r="AL13" i="5"/>
  <c r="AI19" i="17"/>
  <c r="AJ19" i="17" s="1"/>
  <c r="AI13" i="17"/>
  <c r="AI13" i="5"/>
  <c r="AI12" i="17"/>
  <c r="AI20" i="17" s="1"/>
  <c r="AI12" i="5"/>
  <c r="AF11" i="17"/>
  <c r="AF11" i="5"/>
  <c r="AC82" i="3"/>
  <c r="AQ82" i="3"/>
  <c r="AO82" i="3" s="1"/>
  <c r="AC12" i="17"/>
  <c r="AC20" i="17" s="1"/>
  <c r="AC12" i="5"/>
  <c r="E74" i="3"/>
  <c r="AC13" i="17"/>
  <c r="AC13" i="5"/>
  <c r="AC19" i="17"/>
  <c r="AD19" i="17" s="1"/>
  <c r="Z19" i="17"/>
  <c r="AA19" i="17" s="1"/>
  <c r="Z12" i="17"/>
  <c r="Z18" i="17" s="1"/>
  <c r="Z12" i="5"/>
  <c r="Z13" i="5"/>
  <c r="Z13" i="17"/>
  <c r="W11" i="17"/>
  <c r="W11" i="5"/>
  <c r="AQ58" i="3"/>
  <c r="AO58" i="3" s="1"/>
  <c r="AC58" i="3"/>
  <c r="T11" i="17"/>
  <c r="T11" i="5"/>
  <c r="AQ50" i="3"/>
  <c r="AO50" i="3" s="1"/>
  <c r="AC50" i="3"/>
  <c r="Q114" i="3"/>
  <c r="AR11" i="5" s="1"/>
  <c r="J8" i="21" s="1"/>
  <c r="Q13" i="5"/>
  <c r="Q13" i="17"/>
  <c r="Q12" i="17"/>
  <c r="Q18" i="17" s="1"/>
  <c r="Q12" i="5"/>
  <c r="Q19" i="17"/>
  <c r="R19" i="17" s="1"/>
  <c r="N12" i="17"/>
  <c r="N18" i="17" s="1"/>
  <c r="N12" i="5"/>
  <c r="E34" i="3"/>
  <c r="N13" i="5"/>
  <c r="N13" i="17"/>
  <c r="N19" i="17"/>
  <c r="O19" i="17" s="1"/>
  <c r="AC26" i="3"/>
  <c r="AQ26" i="3"/>
  <c r="AO26" i="3" s="1"/>
  <c r="K11" i="17"/>
  <c r="K11" i="5"/>
  <c r="H18" i="17"/>
  <c r="H12" i="5"/>
  <c r="E18" i="3"/>
  <c r="H13" i="5"/>
  <c r="H19" i="17"/>
  <c r="I19" i="17" s="1"/>
  <c r="F19" i="17"/>
  <c r="AO10" i="3"/>
  <c r="E12" i="5"/>
  <c r="E12" i="17" s="1"/>
  <c r="E18" i="17" s="1"/>
  <c r="L7" i="2"/>
  <c r="K21" i="2"/>
  <c r="K23" i="2"/>
  <c r="M7" i="1"/>
  <c r="M271" i="1" s="1"/>
  <c r="L270" i="1"/>
  <c r="AL14" i="17" l="1"/>
  <c r="AI14" i="17"/>
  <c r="AC14" i="17"/>
  <c r="Z14" i="17"/>
  <c r="Q14" i="17"/>
  <c r="N14" i="17"/>
  <c r="N16" i="17" s="1"/>
  <c r="N16" i="5" s="1"/>
  <c r="E20" i="17"/>
  <c r="AO14" i="5"/>
  <c r="AP13" i="18" s="1"/>
  <c r="AO16" i="17"/>
  <c r="AO16" i="5" s="1"/>
  <c r="AD20" i="17"/>
  <c r="AA18" i="17"/>
  <c r="R18" i="17"/>
  <c r="Q14" i="5"/>
  <c r="R6" i="17"/>
  <c r="N14" i="5"/>
  <c r="O18" i="17"/>
  <c r="E26" i="3"/>
  <c r="L26" i="3" s="1"/>
  <c r="I18" i="17"/>
  <c r="F20" i="17"/>
  <c r="AO18" i="17"/>
  <c r="AP18" i="17" s="1"/>
  <c r="AM6" i="17"/>
  <c r="AC18" i="17"/>
  <c r="AD18" i="17" s="1"/>
  <c r="AD6" i="17"/>
  <c r="E50" i="3"/>
  <c r="AQ114" i="3"/>
  <c r="AQ122" i="3" s="1"/>
  <c r="AO20" i="17"/>
  <c r="AP20" i="17" s="1"/>
  <c r="AP12" i="17"/>
  <c r="AP12" i="5"/>
  <c r="AP28" i="19"/>
  <c r="AP18" i="12"/>
  <c r="AP20" i="7"/>
  <c r="AP16" i="14"/>
  <c r="AP29" i="19"/>
  <c r="AP44" i="18"/>
  <c r="AP22" i="13"/>
  <c r="AP6" i="5"/>
  <c r="AP30" i="18"/>
  <c r="AP55" i="18"/>
  <c r="AL20" i="17"/>
  <c r="AM20" i="17" s="1"/>
  <c r="AL18" i="17"/>
  <c r="AM18" i="17" s="1"/>
  <c r="AL14" i="5"/>
  <c r="AI18" i="17"/>
  <c r="AJ18" i="17" s="1"/>
  <c r="AJ20" i="17"/>
  <c r="AF13" i="5"/>
  <c r="AF13" i="17"/>
  <c r="AF12" i="17"/>
  <c r="AF20" i="17" s="1"/>
  <c r="AF12" i="5"/>
  <c r="E82" i="3"/>
  <c r="AF19" i="17"/>
  <c r="AG19" i="17" s="1"/>
  <c r="L74" i="3"/>
  <c r="Z20" i="17"/>
  <c r="AA20" i="17" s="1"/>
  <c r="Z14" i="5"/>
  <c r="W13" i="17"/>
  <c r="W13" i="5"/>
  <c r="W12" i="17"/>
  <c r="W18" i="17" s="1"/>
  <c r="W12" i="5"/>
  <c r="E58" i="3"/>
  <c r="X114" i="3"/>
  <c r="Q122" i="3"/>
  <c r="V122" i="3" s="1"/>
  <c r="W19" i="17"/>
  <c r="X19" i="17" s="1"/>
  <c r="T13" i="5"/>
  <c r="T13" i="17"/>
  <c r="T12" i="17"/>
  <c r="T18" i="17" s="1"/>
  <c r="T12" i="5"/>
  <c r="AC114" i="3"/>
  <c r="AR12" i="5" s="1"/>
  <c r="J9" i="21" s="1"/>
  <c r="T19" i="17"/>
  <c r="U19" i="17" s="1"/>
  <c r="Q20" i="17"/>
  <c r="R20" i="17" s="1"/>
  <c r="L34" i="3"/>
  <c r="N20" i="17"/>
  <c r="O20" i="17" s="1"/>
  <c r="K19" i="17"/>
  <c r="L19" i="17" s="1"/>
  <c r="AR11" i="17"/>
  <c r="AR19" i="17" s="1"/>
  <c r="AS19" i="17" s="1"/>
  <c r="K13" i="5"/>
  <c r="K13" i="17"/>
  <c r="K12" i="17"/>
  <c r="K12" i="5"/>
  <c r="L18" i="3"/>
  <c r="H14" i="5"/>
  <c r="H20" i="17"/>
  <c r="I20" i="17" s="1"/>
  <c r="E10" i="3"/>
  <c r="F18" i="17"/>
  <c r="E13" i="5"/>
  <c r="E13" i="17" s="1"/>
  <c r="E14" i="17" s="1"/>
  <c r="AO114" i="3"/>
  <c r="M7" i="2"/>
  <c r="L23" i="2"/>
  <c r="L21" i="2"/>
  <c r="N7" i="1"/>
  <c r="N271" i="1" s="1"/>
  <c r="M270" i="1"/>
  <c r="AP13" i="5" l="1"/>
  <c r="AP29" i="10"/>
  <c r="AP20" i="19"/>
  <c r="AP23" i="13"/>
  <c r="AP15" i="15"/>
  <c r="AP14" i="11"/>
  <c r="AP18" i="15"/>
  <c r="AP19" i="16"/>
  <c r="AP38" i="18"/>
  <c r="AP54" i="18"/>
  <c r="AP50" i="18"/>
  <c r="AP22" i="14"/>
  <c r="AP22" i="16"/>
  <c r="AP21" i="11"/>
  <c r="AP32" i="19"/>
  <c r="AP19" i="14"/>
  <c r="AP15" i="16"/>
  <c r="AP23" i="14"/>
  <c r="AP60" i="18"/>
  <c r="K14" i="17"/>
  <c r="AP21" i="12"/>
  <c r="AP18" i="9"/>
  <c r="AP14" i="13"/>
  <c r="AP26" i="14"/>
  <c r="AP22" i="7"/>
  <c r="AP25" i="14"/>
  <c r="AP14" i="10"/>
  <c r="AP13" i="19"/>
  <c r="AP14" i="18"/>
  <c r="AP13" i="11"/>
  <c r="AP13" i="9"/>
  <c r="AP14" i="15"/>
  <c r="AP21" i="7"/>
  <c r="AP22" i="15"/>
  <c r="AP56" i="18"/>
  <c r="AP43" i="18"/>
  <c r="AP17" i="10"/>
  <c r="AP16" i="11"/>
  <c r="AP20" i="12"/>
  <c r="AP16" i="9"/>
  <c r="AP34" i="19"/>
  <c r="AP35" i="19"/>
  <c r="AP19" i="11"/>
  <c r="AP12" i="18"/>
  <c r="AP25" i="10"/>
  <c r="AP13" i="7"/>
  <c r="AP19" i="7"/>
  <c r="AP20" i="14"/>
  <c r="AP19" i="12"/>
  <c r="AP25" i="13"/>
  <c r="AP17" i="9"/>
  <c r="AP15" i="11"/>
  <c r="AP18" i="10"/>
  <c r="AP28" i="14"/>
  <c r="AP21" i="13"/>
  <c r="AP24" i="13"/>
  <c r="AP13" i="14"/>
  <c r="AP32" i="18"/>
  <c r="AP61" i="18"/>
  <c r="AP28" i="10"/>
  <c r="AP31" i="10"/>
  <c r="AP14" i="7"/>
  <c r="AP20" i="10"/>
  <c r="AP15" i="10"/>
  <c r="AP15" i="14"/>
  <c r="AP13" i="12"/>
  <c r="AP21" i="10"/>
  <c r="AP27" i="10"/>
  <c r="AP15" i="9"/>
  <c r="AP20" i="15"/>
  <c r="AP16" i="15"/>
  <c r="AP13" i="13"/>
  <c r="AP16" i="10"/>
  <c r="AP23" i="10"/>
  <c r="AP14" i="12"/>
  <c r="AP48" i="18"/>
  <c r="AP17" i="16"/>
  <c r="AP62" i="18"/>
  <c r="AP16" i="16"/>
  <c r="AP24" i="14"/>
  <c r="AP17" i="11"/>
  <c r="AP18" i="11"/>
  <c r="AP17" i="13"/>
  <c r="AP26" i="10"/>
  <c r="AP16" i="19"/>
  <c r="AP17" i="19"/>
  <c r="AP18" i="19"/>
  <c r="AP37" i="18"/>
  <c r="AP27" i="13"/>
  <c r="AP14" i="16"/>
  <c r="AP17" i="14"/>
  <c r="AP22" i="11"/>
  <c r="AP16" i="12"/>
  <c r="AP17" i="7"/>
  <c r="AP21" i="9"/>
  <c r="AP20" i="9"/>
  <c r="AP13" i="15"/>
  <c r="AP19" i="10"/>
  <c r="AP24" i="10"/>
  <c r="AP30" i="19"/>
  <c r="AP20" i="16"/>
  <c r="AP16" i="13"/>
  <c r="AP24" i="9"/>
  <c r="AP21" i="16"/>
  <c r="AP22" i="9"/>
  <c r="AP32" i="10"/>
  <c r="AP31" i="18"/>
  <c r="AP26" i="13"/>
  <c r="AP15" i="13"/>
  <c r="AP49" i="18"/>
  <c r="AP22" i="10"/>
  <c r="AP18" i="7"/>
  <c r="AP17" i="15"/>
  <c r="AP30" i="10"/>
  <c r="AP21" i="19"/>
  <c r="AP14" i="14"/>
  <c r="AP15" i="7"/>
  <c r="AP42" i="18"/>
  <c r="AP15" i="12"/>
  <c r="AP21" i="15"/>
  <c r="AP18" i="16"/>
  <c r="AP21" i="14"/>
  <c r="AP36" i="18"/>
  <c r="AP19" i="15"/>
  <c r="AP16" i="7"/>
  <c r="AP38" i="5"/>
  <c r="AP18" i="13"/>
  <c r="AL29" i="14"/>
  <c r="AL31" i="14" s="1"/>
  <c r="AM29" i="5"/>
  <c r="AM31" i="5"/>
  <c r="AL13" i="10"/>
  <c r="AL34" i="10" s="1"/>
  <c r="AL33" i="19"/>
  <c r="AL20" i="13"/>
  <c r="AL29" i="13" s="1"/>
  <c r="AL18" i="18"/>
  <c r="AL14" i="9"/>
  <c r="AL26" i="9" s="1"/>
  <c r="AL24" i="18"/>
  <c r="AM14" i="17"/>
  <c r="AF14" i="17"/>
  <c r="Z29" i="14"/>
  <c r="Z31" i="14" s="1"/>
  <c r="AA31" i="5"/>
  <c r="Z20" i="13"/>
  <c r="Z29" i="13" s="1"/>
  <c r="Z24" i="18"/>
  <c r="Z18" i="18"/>
  <c r="Z33" i="19"/>
  <c r="Z13" i="10"/>
  <c r="Z34" i="10" s="1"/>
  <c r="AA29" i="5"/>
  <c r="Z14" i="9"/>
  <c r="Z26" i="9" s="1"/>
  <c r="AA14" i="17"/>
  <c r="W14" i="17"/>
  <c r="W16" i="17" s="1"/>
  <c r="W16" i="5" s="1"/>
  <c r="T14" i="17"/>
  <c r="R29" i="5"/>
  <c r="Q20" i="13"/>
  <c r="Q29" i="13" s="1"/>
  <c r="Q24" i="18"/>
  <c r="R31" i="5"/>
  <c r="Q33" i="19"/>
  <c r="Q18" i="18"/>
  <c r="Q14" i="9"/>
  <c r="Q26" i="9" s="1"/>
  <c r="Q29" i="14"/>
  <c r="Q31" i="14" s="1"/>
  <c r="Q13" i="10"/>
  <c r="Q34" i="10" s="1"/>
  <c r="R14" i="17"/>
  <c r="N24" i="18"/>
  <c r="N20" i="13"/>
  <c r="N29" i="13" s="1"/>
  <c r="N33" i="19"/>
  <c r="O33" i="19" s="1"/>
  <c r="N14" i="9"/>
  <c r="N26" i="9" s="1"/>
  <c r="N29" i="14"/>
  <c r="N31" i="14" s="1"/>
  <c r="N18" i="18"/>
  <c r="O29" i="5"/>
  <c r="O31" i="5"/>
  <c r="N13" i="10"/>
  <c r="N34" i="10" s="1"/>
  <c r="O14" i="17"/>
  <c r="AP11" i="5"/>
  <c r="AO24" i="18"/>
  <c r="AO14" i="9"/>
  <c r="AO33" i="19"/>
  <c r="AP33" i="19" s="1"/>
  <c r="AO18" i="18"/>
  <c r="AP29" i="5"/>
  <c r="AP31" i="5"/>
  <c r="AO13" i="10"/>
  <c r="AO20" i="13"/>
  <c r="AO29" i="14"/>
  <c r="AP19" i="9"/>
  <c r="AP19" i="19"/>
  <c r="AP23" i="9"/>
  <c r="AP20" i="11"/>
  <c r="AP14" i="17"/>
  <c r="AP16" i="17" s="1"/>
  <c r="H29" i="14"/>
  <c r="H31" i="14" s="1"/>
  <c r="I31" i="5"/>
  <c r="H20" i="13"/>
  <c r="H29" i="13" s="1"/>
  <c r="H13" i="10"/>
  <c r="H34" i="10" s="1"/>
  <c r="H24" i="18"/>
  <c r="H33" i="19"/>
  <c r="H14" i="9"/>
  <c r="H26" i="9" s="1"/>
  <c r="I29" i="5"/>
  <c r="H18" i="18"/>
  <c r="I14" i="17"/>
  <c r="E16" i="17"/>
  <c r="E16" i="5" s="1"/>
  <c r="AP17" i="12"/>
  <c r="AP23" i="12" s="1"/>
  <c r="AP19" i="13"/>
  <c r="AP18" i="14"/>
  <c r="R13" i="5"/>
  <c r="R36" i="18"/>
  <c r="AP27" i="14"/>
  <c r="O15" i="9"/>
  <c r="O22" i="14"/>
  <c r="O14" i="11"/>
  <c r="O27" i="13"/>
  <c r="O24" i="13"/>
  <c r="O42" i="18"/>
  <c r="O20" i="15"/>
  <c r="O19" i="12"/>
  <c r="O21" i="7"/>
  <c r="O13" i="13"/>
  <c r="O17" i="19"/>
  <c r="O18" i="18"/>
  <c r="O17" i="14"/>
  <c r="O23" i="9"/>
  <c r="O22" i="13"/>
  <c r="O16" i="9"/>
  <c r="O38" i="5"/>
  <c r="O23" i="14"/>
  <c r="O26" i="14"/>
  <c r="O25" i="10"/>
  <c r="O30" i="18"/>
  <c r="O22" i="7"/>
  <c r="O19" i="19"/>
  <c r="O13" i="5"/>
  <c r="O43" i="18"/>
  <c r="O18" i="14"/>
  <c r="O16" i="15"/>
  <c r="O15" i="14"/>
  <c r="O15" i="7"/>
  <c r="O23" i="13"/>
  <c r="O36" i="18"/>
  <c r="O16" i="10"/>
  <c r="O29" i="10"/>
  <c r="O24" i="9"/>
  <c r="O16" i="7"/>
  <c r="O20" i="14"/>
  <c r="O15" i="15"/>
  <c r="O22" i="16"/>
  <c r="O28" i="10"/>
  <c r="O19" i="14"/>
  <c r="O32" i="19"/>
  <c r="O21" i="19"/>
  <c r="O17" i="15"/>
  <c r="O16" i="14"/>
  <c r="O20" i="12"/>
  <c r="O18" i="12"/>
  <c r="O13" i="15"/>
  <c r="O21" i="16"/>
  <c r="O6" i="5"/>
  <c r="O20" i="11"/>
  <c r="O17" i="13"/>
  <c r="O31" i="18"/>
  <c r="O15" i="13"/>
  <c r="O30" i="19"/>
  <c r="O60" i="18"/>
  <c r="O25" i="13"/>
  <c r="O26" i="13"/>
  <c r="O13" i="10"/>
  <c r="O17" i="10"/>
  <c r="O19" i="13"/>
  <c r="O14" i="14"/>
  <c r="O48" i="18"/>
  <c r="R17" i="13"/>
  <c r="R49" i="18"/>
  <c r="R20" i="12"/>
  <c r="R19" i="13"/>
  <c r="R20" i="15"/>
  <c r="R22" i="15"/>
  <c r="R22" i="13"/>
  <c r="R14" i="13"/>
  <c r="R15" i="13"/>
  <c r="R61" i="18"/>
  <c r="R20" i="7"/>
  <c r="R22" i="11"/>
  <c r="R37" i="18"/>
  <c r="R16" i="13"/>
  <c r="R14" i="14"/>
  <c r="R23" i="10"/>
  <c r="R21" i="9"/>
  <c r="R20" i="9"/>
  <c r="R18" i="11"/>
  <c r="R18" i="13"/>
  <c r="R14" i="15"/>
  <c r="O12" i="18"/>
  <c r="O17" i="16"/>
  <c r="O19" i="15"/>
  <c r="O37" i="18"/>
  <c r="O15" i="16"/>
  <c r="O19" i="11"/>
  <c r="O13" i="12"/>
  <c r="O28" i="19"/>
  <c r="O20" i="16"/>
  <c r="O21" i="14"/>
  <c r="O16" i="13"/>
  <c r="O18" i="13"/>
  <c r="O35" i="19"/>
  <c r="O15" i="11"/>
  <c r="O44" i="18"/>
  <c r="O22" i="11"/>
  <c r="O17" i="12"/>
  <c r="O38" i="18"/>
  <c r="O24" i="10"/>
  <c r="O20" i="19"/>
  <c r="Q16" i="17"/>
  <c r="Q16" i="5" s="1"/>
  <c r="R16" i="5" s="1"/>
  <c r="O16" i="12"/>
  <c r="O20" i="7"/>
  <c r="O13" i="7"/>
  <c r="O21" i="12"/>
  <c r="O12" i="5"/>
  <c r="O28" i="14"/>
  <c r="O14" i="13"/>
  <c r="O19" i="7"/>
  <c r="O14" i="16"/>
  <c r="O19" i="9"/>
  <c r="O32" i="18"/>
  <c r="O34" i="19"/>
  <c r="O17" i="11"/>
  <c r="O21" i="9"/>
  <c r="O55" i="18"/>
  <c r="O18" i="10"/>
  <c r="O26" i="10"/>
  <c r="O18" i="16"/>
  <c r="O15" i="10"/>
  <c r="O16" i="16"/>
  <c r="O27" i="10"/>
  <c r="O19" i="16"/>
  <c r="O14" i="7"/>
  <c r="O22" i="15"/>
  <c r="O25" i="14"/>
  <c r="O22" i="10"/>
  <c r="O14" i="10"/>
  <c r="O14" i="15"/>
  <c r="O21" i="15"/>
  <c r="O24" i="14"/>
  <c r="O11" i="5"/>
  <c r="O18" i="19"/>
  <c r="O14" i="12"/>
  <c r="O18" i="11"/>
  <c r="O14" i="18"/>
  <c r="O13" i="9"/>
  <c r="O49" i="18"/>
  <c r="O30" i="10"/>
  <c r="O17" i="9"/>
  <c r="O31" i="10"/>
  <c r="O18" i="9"/>
  <c r="O61" i="18"/>
  <c r="O20" i="9"/>
  <c r="O18" i="7"/>
  <c r="O18" i="15"/>
  <c r="O27" i="14"/>
  <c r="O17" i="7"/>
  <c r="O22" i="9"/>
  <c r="O24" i="18"/>
  <c r="O29" i="19"/>
  <c r="O13" i="14"/>
  <c r="O21" i="10"/>
  <c r="O13" i="18"/>
  <c r="O16" i="11"/>
  <c r="O16" i="19"/>
  <c r="O32" i="10"/>
  <c r="O21" i="13"/>
  <c r="O13" i="11"/>
  <c r="O15" i="12"/>
  <c r="O54" i="18"/>
  <c r="O21" i="11"/>
  <c r="O50" i="18"/>
  <c r="O23" i="10"/>
  <c r="O19" i="10"/>
  <c r="O62" i="18"/>
  <c r="O14" i="9"/>
  <c r="O56" i="18"/>
  <c r="O20" i="10"/>
  <c r="O13" i="19"/>
  <c r="AO22" i="17"/>
  <c r="AP22" i="17" s="1"/>
  <c r="AP6" i="17"/>
  <c r="AL16" i="17"/>
  <c r="AL16" i="5" s="1"/>
  <c r="AF18" i="17"/>
  <c r="AG18" i="17" s="1"/>
  <c r="AG20" i="17"/>
  <c r="AC16" i="17"/>
  <c r="AC16" i="5" s="1"/>
  <c r="X18" i="17"/>
  <c r="U18" i="17"/>
  <c r="T16" i="17"/>
  <c r="T16" i="5" s="1"/>
  <c r="L50" i="3"/>
  <c r="AR13" i="17"/>
  <c r="R6" i="5"/>
  <c r="R20" i="19"/>
  <c r="R17" i="14"/>
  <c r="R19" i="14"/>
  <c r="R54" i="18"/>
  <c r="R16" i="14"/>
  <c r="R26" i="13"/>
  <c r="R43" i="18"/>
  <c r="R21" i="7"/>
  <c r="R17" i="16"/>
  <c r="R32" i="10"/>
  <c r="R12" i="5"/>
  <c r="R14" i="16"/>
  <c r="R31" i="10"/>
  <c r="R24" i="9"/>
  <c r="R17" i="7"/>
  <c r="R13" i="13"/>
  <c r="Q22" i="17"/>
  <c r="R22" i="17" s="1"/>
  <c r="R30" i="19"/>
  <c r="R21" i="12"/>
  <c r="R18" i="9"/>
  <c r="R20" i="10"/>
  <c r="R13" i="14"/>
  <c r="R44" i="18"/>
  <c r="R22" i="7"/>
  <c r="R18" i="12"/>
  <c r="R60" i="18"/>
  <c r="R29" i="14"/>
  <c r="R18" i="15"/>
  <c r="R23" i="14"/>
  <c r="R21" i="14"/>
  <c r="R15" i="12"/>
  <c r="R31" i="18"/>
  <c r="R23" i="9"/>
  <c r="R38" i="5"/>
  <c r="R11" i="5"/>
  <c r="R30" i="10"/>
  <c r="R32" i="19"/>
  <c r="R32" i="18"/>
  <c r="R13" i="19"/>
  <c r="R42" i="18"/>
  <c r="R26" i="10"/>
  <c r="R15" i="15"/>
  <c r="R35" i="19"/>
  <c r="R27" i="13"/>
  <c r="R13" i="7"/>
  <c r="R30" i="18"/>
  <c r="R16" i="10"/>
  <c r="R16" i="7"/>
  <c r="R33" i="19"/>
  <c r="R14" i="18"/>
  <c r="R24" i="18"/>
  <c r="R13" i="15"/>
  <c r="R17" i="19"/>
  <c r="R24" i="10"/>
  <c r="R25" i="13"/>
  <c r="R22" i="14"/>
  <c r="R14" i="11"/>
  <c r="R18" i="14"/>
  <c r="R18" i="7"/>
  <c r="R38" i="18"/>
  <c r="R39" i="18" s="1"/>
  <c r="R20" i="11"/>
  <c r="R14" i="10"/>
  <c r="R27" i="10"/>
  <c r="R18" i="19"/>
  <c r="R18" i="16"/>
  <c r="R21" i="13"/>
  <c r="R22" i="10"/>
  <c r="R22" i="9"/>
  <c r="R21" i="15"/>
  <c r="R27" i="14"/>
  <c r="R14" i="7"/>
  <c r="R25" i="10"/>
  <c r="R56" i="18"/>
  <c r="R19" i="11"/>
  <c r="R15" i="16"/>
  <c r="R20" i="14"/>
  <c r="R17" i="11"/>
  <c r="R15" i="9"/>
  <c r="R18" i="10"/>
  <c r="R28" i="14"/>
  <c r="R26" i="14"/>
  <c r="R20" i="16"/>
  <c r="R17" i="15"/>
  <c r="R13" i="10"/>
  <c r="R21" i="19"/>
  <c r="R28" i="10"/>
  <c r="R19" i="12"/>
  <c r="R19" i="10"/>
  <c r="R16" i="16"/>
  <c r="R25" i="14"/>
  <c r="R17" i="9"/>
  <c r="R19" i="7"/>
  <c r="R62" i="18"/>
  <c r="R19" i="9"/>
  <c r="R21" i="10"/>
  <c r="R17" i="10"/>
  <c r="R19" i="16"/>
  <c r="R15" i="7"/>
  <c r="R19" i="15"/>
  <c r="R16" i="15"/>
  <c r="R29" i="10"/>
  <c r="R21" i="16"/>
  <c r="R16" i="9"/>
  <c r="R22" i="16"/>
  <c r="R20" i="13"/>
  <c r="R14" i="9"/>
  <c r="R24" i="14"/>
  <c r="R21" i="11"/>
  <c r="R50" i="18"/>
  <c r="R13" i="12"/>
  <c r="R28" i="19"/>
  <c r="R14" i="12"/>
  <c r="R48" i="18"/>
  <c r="R13" i="11"/>
  <c r="R55" i="18"/>
  <c r="R13" i="9"/>
  <c r="R16" i="19"/>
  <c r="R15" i="10"/>
  <c r="R15" i="14"/>
  <c r="R16" i="12"/>
  <c r="R18" i="18"/>
  <c r="R23" i="13"/>
  <c r="R34" i="19"/>
  <c r="R24" i="13"/>
  <c r="R12" i="18"/>
  <c r="R17" i="12"/>
  <c r="R29" i="19"/>
  <c r="R15" i="11"/>
  <c r="R19" i="19"/>
  <c r="R16" i="11"/>
  <c r="R13" i="18"/>
  <c r="N22" i="17"/>
  <c r="O22" i="17" s="1"/>
  <c r="O6" i="17"/>
  <c r="AC122" i="3"/>
  <c r="AH122" i="3" s="1"/>
  <c r="AJ114" i="3"/>
  <c r="E114" i="3"/>
  <c r="L114" i="3" s="1"/>
  <c r="AP14" i="5"/>
  <c r="AP63" i="18"/>
  <c r="AP15" i="18"/>
  <c r="I12" i="5"/>
  <c r="I13" i="5"/>
  <c r="L10" i="3"/>
  <c r="F6" i="17"/>
  <c r="AP51" i="18"/>
  <c r="AP57" i="18"/>
  <c r="AP45" i="18"/>
  <c r="AP16" i="5"/>
  <c r="AP24" i="11"/>
  <c r="AP33" i="18"/>
  <c r="AP39" i="18"/>
  <c r="AM35" i="19"/>
  <c r="AM28" i="19"/>
  <c r="AM38" i="18"/>
  <c r="AM44" i="18"/>
  <c r="AM22" i="16"/>
  <c r="AM21" i="15"/>
  <c r="AM17" i="14"/>
  <c r="AM19" i="13"/>
  <c r="AM20" i="13"/>
  <c r="AM15" i="11"/>
  <c r="AM17" i="9"/>
  <c r="AM16" i="10"/>
  <c r="AM23" i="10"/>
  <c r="AM21" i="7"/>
  <c r="AM17" i="12"/>
  <c r="AM23" i="9"/>
  <c r="AM34" i="19"/>
  <c r="AM60" i="18"/>
  <c r="AM20" i="19"/>
  <c r="AM19" i="16"/>
  <c r="AM17" i="15"/>
  <c r="AM28" i="14"/>
  <c r="AM16" i="13"/>
  <c r="AM18" i="13"/>
  <c r="AM14" i="11"/>
  <c r="AM31" i="10"/>
  <c r="AM22" i="9"/>
  <c r="AM22" i="10"/>
  <c r="AM14" i="7"/>
  <c r="AM20" i="9"/>
  <c r="AM48" i="18"/>
  <c r="AM36" i="18"/>
  <c r="AM31" i="18"/>
  <c r="AM14" i="18"/>
  <c r="AM18" i="16"/>
  <c r="AM16" i="15"/>
  <c r="AM16" i="14"/>
  <c r="AM27" i="13"/>
  <c r="AM15" i="12"/>
  <c r="AM13" i="11"/>
  <c r="AM19" i="10"/>
  <c r="AM27" i="10"/>
  <c r="AM16" i="9"/>
  <c r="AM13" i="7"/>
  <c r="AM21" i="11"/>
  <c r="AM33" i="19"/>
  <c r="AM12" i="18"/>
  <c r="AM13" i="18"/>
  <c r="AM16" i="16"/>
  <c r="AM13" i="15"/>
  <c r="AM27" i="14"/>
  <c r="AM15" i="13"/>
  <c r="AM14" i="12"/>
  <c r="AM18" i="11"/>
  <c r="AM13" i="9"/>
  <c r="AM15" i="10"/>
  <c r="AM21" i="10"/>
  <c r="AM15" i="7"/>
  <c r="AM24" i="18"/>
  <c r="AM54" i="18"/>
  <c r="AM55" i="18"/>
  <c r="AM17" i="16"/>
  <c r="AM15" i="15"/>
  <c r="AM15" i="14"/>
  <c r="AM26" i="13"/>
  <c r="AM13" i="12"/>
  <c r="AM17" i="11"/>
  <c r="AM30" i="10"/>
  <c r="AM26" i="10"/>
  <c r="AM15" i="9"/>
  <c r="AM14" i="14"/>
  <c r="AM32" i="19"/>
  <c r="AM16" i="19"/>
  <c r="AM13" i="19"/>
  <c r="AM14" i="16"/>
  <c r="AM22" i="15"/>
  <c r="AM26" i="14"/>
  <c r="AM14" i="13"/>
  <c r="AM21" i="12"/>
  <c r="AM22" i="11"/>
  <c r="AM18" i="10"/>
  <c r="AM14" i="10"/>
  <c r="AM20" i="7"/>
  <c r="AM25" i="13"/>
  <c r="AM17" i="7"/>
  <c r="AM30" i="18"/>
  <c r="AM62" i="18"/>
  <c r="AM19" i="19"/>
  <c r="AM21" i="14"/>
  <c r="AM24" i="9"/>
  <c r="AM30" i="19"/>
  <c r="AM18" i="19"/>
  <c r="AM49" i="18"/>
  <c r="AM21" i="16"/>
  <c r="AM24" i="14"/>
  <c r="AM25" i="14"/>
  <c r="AM13" i="13"/>
  <c r="AM20" i="12"/>
  <c r="AM19" i="11"/>
  <c r="AM21" i="9"/>
  <c r="AM25" i="10"/>
  <c r="AM19" i="7"/>
  <c r="AM16" i="7"/>
  <c r="AM42" i="18"/>
  <c r="AM56" i="18"/>
  <c r="AM21" i="19"/>
  <c r="AM20" i="15"/>
  <c r="AM20" i="14"/>
  <c r="AM13" i="14"/>
  <c r="AM24" i="13"/>
  <c r="AM19" i="12"/>
  <c r="AM20" i="11"/>
  <c r="AM29" i="10"/>
  <c r="AM13" i="10"/>
  <c r="AM22" i="7"/>
  <c r="AM6" i="5"/>
  <c r="AM18" i="9"/>
  <c r="AM38" i="5"/>
  <c r="AM17" i="19"/>
  <c r="AM43" i="18"/>
  <c r="AM61" i="18"/>
  <c r="AL22" i="17"/>
  <c r="AM22" i="17" s="1"/>
  <c r="AM19" i="15"/>
  <c r="AM19" i="14"/>
  <c r="AM23" i="14"/>
  <c r="AM23" i="13"/>
  <c r="AM18" i="12"/>
  <c r="AM32" i="10"/>
  <c r="AM17" i="10"/>
  <c r="AM19" i="9"/>
  <c r="AM18" i="7"/>
  <c r="AM29" i="19"/>
  <c r="AM32" i="18"/>
  <c r="AM37" i="18"/>
  <c r="AM20" i="16"/>
  <c r="AM14" i="15"/>
  <c r="AM18" i="14"/>
  <c r="AM22" i="14"/>
  <c r="AM22" i="13"/>
  <c r="AM16" i="12"/>
  <c r="AM20" i="10"/>
  <c r="AM24" i="10"/>
  <c r="AM18" i="18"/>
  <c r="AM50" i="18"/>
  <c r="AM15" i="16"/>
  <c r="AM18" i="15"/>
  <c r="AM29" i="14"/>
  <c r="AM17" i="13"/>
  <c r="AM21" i="13"/>
  <c r="AM16" i="11"/>
  <c r="AM14" i="9"/>
  <c r="AM28" i="10"/>
  <c r="AM11" i="5"/>
  <c r="AM13" i="5"/>
  <c r="AM12" i="5"/>
  <c r="AI16" i="17"/>
  <c r="AI16" i="5" s="1"/>
  <c r="AJ6" i="17"/>
  <c r="AF16" i="17"/>
  <c r="AF16" i="5" s="1"/>
  <c r="AG6" i="17"/>
  <c r="L82" i="3"/>
  <c r="AA32" i="19"/>
  <c r="AA19" i="19"/>
  <c r="AA56" i="18"/>
  <c r="AA15" i="15"/>
  <c r="AA28" i="14"/>
  <c r="AA22" i="14"/>
  <c r="AA24" i="13"/>
  <c r="AA17" i="12"/>
  <c r="AA21" i="11"/>
  <c r="AA23" i="9"/>
  <c r="AA18" i="9"/>
  <c r="AA17" i="7"/>
  <c r="AA19" i="11"/>
  <c r="AA21" i="12"/>
  <c r="AA38" i="5"/>
  <c r="AA12" i="18"/>
  <c r="AA17" i="19"/>
  <c r="Z22" i="17"/>
  <c r="AA22" i="17" s="1"/>
  <c r="AA16" i="15"/>
  <c r="AA16" i="14"/>
  <c r="AA19" i="14"/>
  <c r="AA20" i="13"/>
  <c r="AA18" i="12"/>
  <c r="AA28" i="10"/>
  <c r="AA24" i="10"/>
  <c r="AA17" i="9"/>
  <c r="AA15" i="7"/>
  <c r="AA19" i="13"/>
  <c r="AA22" i="7"/>
  <c r="AA23" i="14"/>
  <c r="AA48" i="18"/>
  <c r="AA30" i="19"/>
  <c r="AA21" i="19"/>
  <c r="AA31" i="18"/>
  <c r="AA16" i="16"/>
  <c r="AA14" i="15"/>
  <c r="AA27" i="14"/>
  <c r="AA18" i="14"/>
  <c r="AA23" i="13"/>
  <c r="AA20" i="12"/>
  <c r="AA16" i="10"/>
  <c r="AA22" i="9"/>
  <c r="AA31" i="10"/>
  <c r="AA13" i="7"/>
  <c r="AA15" i="10"/>
  <c r="AA32" i="10"/>
  <c r="AA20" i="10"/>
  <c r="AA24" i="18"/>
  <c r="AA29" i="19"/>
  <c r="AA13" i="19"/>
  <c r="AA13" i="15"/>
  <c r="AA15" i="14"/>
  <c r="AA17" i="13"/>
  <c r="AA18" i="13"/>
  <c r="AA20" i="11"/>
  <c r="AA14" i="9"/>
  <c r="AA21" i="9"/>
  <c r="AA19" i="10"/>
  <c r="AA21" i="7"/>
  <c r="AA23" i="10"/>
  <c r="AA17" i="14"/>
  <c r="AA54" i="18"/>
  <c r="AA61" i="18"/>
  <c r="AA15" i="16"/>
  <c r="AA22" i="15"/>
  <c r="AA21" i="14"/>
  <c r="AA16" i="13"/>
  <c r="AA22" i="13"/>
  <c r="AA14" i="11"/>
  <c r="AA27" i="10"/>
  <c r="AA15" i="9"/>
  <c r="AA30" i="10"/>
  <c r="AA16" i="7"/>
  <c r="AA18" i="10"/>
  <c r="AA25" i="10"/>
  <c r="AA6" i="5"/>
  <c r="AA42" i="18"/>
  <c r="AA30" i="18"/>
  <c r="AA14" i="16"/>
  <c r="AA17" i="15"/>
  <c r="AA26" i="14"/>
  <c r="AA27" i="13"/>
  <c r="AA35" i="19"/>
  <c r="AA28" i="19"/>
  <c r="AA32" i="18"/>
  <c r="AA55" i="18"/>
  <c r="AA20" i="16"/>
  <c r="AA20" i="15"/>
  <c r="AA14" i="14"/>
  <c r="AA15" i="13"/>
  <c r="AA15" i="12"/>
  <c r="AA18" i="11"/>
  <c r="AA13" i="9"/>
  <c r="AA22" i="10"/>
  <c r="AA16" i="9"/>
  <c r="AA14" i="7"/>
  <c r="AA19" i="9"/>
  <c r="AA13" i="11"/>
  <c r="AA18" i="18"/>
  <c r="AA43" i="18"/>
  <c r="AA44" i="18"/>
  <c r="AA19" i="16"/>
  <c r="AA19" i="15"/>
  <c r="AA25" i="14"/>
  <c r="AA26" i="13"/>
  <c r="AA14" i="12"/>
  <c r="AA17" i="11"/>
  <c r="AA26" i="10"/>
  <c r="AA20" i="9"/>
  <c r="AA29" i="10"/>
  <c r="AA17" i="10"/>
  <c r="AA20" i="7"/>
  <c r="AA13" i="13"/>
  <c r="AA34" i="19"/>
  <c r="AA50" i="18"/>
  <c r="AA14" i="18"/>
  <c r="AA38" i="18"/>
  <c r="AA22" i="16"/>
  <c r="AA21" i="15"/>
  <c r="AA13" i="14"/>
  <c r="AA14" i="13"/>
  <c r="AA16" i="12"/>
  <c r="AA16" i="11"/>
  <c r="AA14" i="10"/>
  <c r="AA21" i="10"/>
  <c r="AA19" i="7"/>
  <c r="AA18" i="7"/>
  <c r="AA33" i="19"/>
  <c r="AA37" i="18"/>
  <c r="AA49" i="18"/>
  <c r="AA62" i="18"/>
  <c r="AA17" i="16"/>
  <c r="AA18" i="15"/>
  <c r="AA24" i="14"/>
  <c r="AA21" i="13"/>
  <c r="AA13" i="12"/>
  <c r="AA22" i="11"/>
  <c r="AA24" i="9"/>
  <c r="AA19" i="12"/>
  <c r="AA60" i="18"/>
  <c r="AA18" i="19"/>
  <c r="AA20" i="19"/>
  <c r="AA21" i="16"/>
  <c r="AA29" i="14"/>
  <c r="AA20" i="14"/>
  <c r="AA25" i="13"/>
  <c r="AA15" i="11"/>
  <c r="AA36" i="18"/>
  <c r="AA16" i="19"/>
  <c r="AA13" i="18"/>
  <c r="AA18" i="16"/>
  <c r="AA13" i="10"/>
  <c r="AA11" i="5"/>
  <c r="Z16" i="17"/>
  <c r="Z16" i="5" s="1"/>
  <c r="AA6" i="17"/>
  <c r="AA12" i="5"/>
  <c r="AA13" i="5"/>
  <c r="L58" i="3"/>
  <c r="W20" i="17"/>
  <c r="X20" i="17" s="1"/>
  <c r="W14" i="5"/>
  <c r="T20" i="17"/>
  <c r="U20" i="17" s="1"/>
  <c r="T14" i="5"/>
  <c r="O16" i="5"/>
  <c r="K18" i="17"/>
  <c r="K20" i="17"/>
  <c r="L20" i="17" s="1"/>
  <c r="AR12" i="17"/>
  <c r="AR20" i="17" s="1"/>
  <c r="AS20" i="17" s="1"/>
  <c r="K14" i="5"/>
  <c r="I33" i="19"/>
  <c r="I38" i="5"/>
  <c r="I61" i="18"/>
  <c r="I15" i="16"/>
  <c r="I16" i="15"/>
  <c r="I21" i="13"/>
  <c r="I20" i="12"/>
  <c r="I18" i="11"/>
  <c r="I27" i="10"/>
  <c r="I16" i="9"/>
  <c r="I29" i="10"/>
  <c r="I21" i="7"/>
  <c r="I6" i="5"/>
  <c r="I35" i="19"/>
  <c r="I54" i="18"/>
  <c r="I44" i="18"/>
  <c r="I14" i="16"/>
  <c r="I14" i="15"/>
  <c r="I16" i="14"/>
  <c r="I27" i="13"/>
  <c r="I19" i="12"/>
  <c r="I14" i="11"/>
  <c r="I15" i="10"/>
  <c r="I15" i="9"/>
  <c r="I17" i="10"/>
  <c r="I18" i="7"/>
  <c r="I32" i="19"/>
  <c r="I30" i="18"/>
  <c r="I32" i="18"/>
  <c r="I13" i="19"/>
  <c r="I19" i="16"/>
  <c r="I13" i="15"/>
  <c r="I19" i="14"/>
  <c r="I20" i="13"/>
  <c r="I18" i="12"/>
  <c r="I22" i="11"/>
  <c r="I13" i="9"/>
  <c r="I22" i="10"/>
  <c r="I20" i="7"/>
  <c r="I30" i="19"/>
  <c r="I50" i="18"/>
  <c r="I17" i="16"/>
  <c r="I23" i="14"/>
  <c r="I15" i="14"/>
  <c r="I16" i="13"/>
  <c r="I17" i="12"/>
  <c r="I21" i="11"/>
  <c r="I26" i="10"/>
  <c r="I20" i="9"/>
  <c r="I19" i="7"/>
  <c r="I42" i="18"/>
  <c r="I17" i="19"/>
  <c r="I18" i="19"/>
  <c r="I38" i="18"/>
  <c r="I20" i="14"/>
  <c r="I26" i="14"/>
  <c r="I19" i="13"/>
  <c r="I15" i="12"/>
  <c r="I16" i="11"/>
  <c r="I14" i="10"/>
  <c r="I21" i="10"/>
  <c r="I16" i="7"/>
  <c r="I17" i="9"/>
  <c r="I29" i="19"/>
  <c r="I16" i="19"/>
  <c r="I31" i="18"/>
  <c r="I21" i="15"/>
  <c r="I18" i="14"/>
  <c r="I14" i="14"/>
  <c r="I15" i="13"/>
  <c r="I13" i="12"/>
  <c r="I13" i="11"/>
  <c r="I24" i="9"/>
  <c r="I18" i="18"/>
  <c r="I37" i="18"/>
  <c r="I56" i="18"/>
  <c r="I14" i="18"/>
  <c r="H22" i="17"/>
  <c r="I22" i="17" s="1"/>
  <c r="I15" i="15"/>
  <c r="I27" i="14"/>
  <c r="I28" i="14"/>
  <c r="I18" i="13"/>
  <c r="I16" i="12"/>
  <c r="I28" i="10"/>
  <c r="I19" i="9"/>
  <c r="I32" i="10"/>
  <c r="I17" i="7"/>
  <c r="I20" i="19"/>
  <c r="I22" i="16"/>
  <c r="I20" i="15"/>
  <c r="I13" i="14"/>
  <c r="I24" i="14"/>
  <c r="I25" i="13"/>
  <c r="I14" i="12"/>
  <c r="I16" i="10"/>
  <c r="I25" i="10"/>
  <c r="I20" i="10"/>
  <c r="I15" i="7"/>
  <c r="I30" i="10"/>
  <c r="I28" i="19"/>
  <c r="I55" i="18"/>
  <c r="I21" i="19"/>
  <c r="I18" i="16"/>
  <c r="I19" i="15"/>
  <c r="I22" i="14"/>
  <c r="I23" i="13"/>
  <c r="I14" i="13"/>
  <c r="I20" i="11"/>
  <c r="I14" i="9"/>
  <c r="I13" i="10"/>
  <c r="I31" i="10"/>
  <c r="I22" i="7"/>
  <c r="I13" i="7"/>
  <c r="I34" i="19"/>
  <c r="I60" i="18"/>
  <c r="I13" i="18"/>
  <c r="I21" i="16"/>
  <c r="I22" i="15"/>
  <c r="I17" i="14"/>
  <c r="I17" i="13"/>
  <c r="I13" i="13"/>
  <c r="I17" i="11"/>
  <c r="I23" i="9"/>
  <c r="I24" i="10"/>
  <c r="I19" i="10"/>
  <c r="I14" i="7"/>
  <c r="I48" i="18"/>
  <c r="I36" i="18"/>
  <c r="I49" i="18"/>
  <c r="I43" i="18"/>
  <c r="I20" i="16"/>
  <c r="I18" i="15"/>
  <c r="I25" i="14"/>
  <c r="I26" i="13"/>
  <c r="I24" i="13"/>
  <c r="I15" i="11"/>
  <c r="I22" i="9"/>
  <c r="I23" i="10"/>
  <c r="I24" i="18"/>
  <c r="I12" i="18"/>
  <c r="I62" i="18"/>
  <c r="I19" i="19"/>
  <c r="I16" i="16"/>
  <c r="I17" i="15"/>
  <c r="I21" i="14"/>
  <c r="I22" i="13"/>
  <c r="I21" i="12"/>
  <c r="I19" i="11"/>
  <c r="I18" i="9"/>
  <c r="I21" i="9"/>
  <c r="I18" i="10"/>
  <c r="I11" i="5"/>
  <c r="I16" i="17"/>
  <c r="H16" i="17"/>
  <c r="H16" i="5" s="1"/>
  <c r="I6" i="17"/>
  <c r="E14" i="5"/>
  <c r="AR13" i="5"/>
  <c r="J10" i="21" s="1"/>
  <c r="J11" i="21" s="1"/>
  <c r="AO122" i="3"/>
  <c r="AT122" i="3" s="1"/>
  <c r="AV114" i="3"/>
  <c r="N7" i="2"/>
  <c r="M21" i="2"/>
  <c r="M23" i="2"/>
  <c r="O7" i="1"/>
  <c r="N270" i="1"/>
  <c r="I29" i="14" l="1"/>
  <c r="O29" i="14"/>
  <c r="O20" i="13"/>
  <c r="AP24" i="15"/>
  <c r="AL26" i="18"/>
  <c r="AM26" i="18" s="1"/>
  <c r="AL15" i="19"/>
  <c r="AM15" i="19" s="1"/>
  <c r="AL25" i="18"/>
  <c r="AM25" i="18" s="1"/>
  <c r="AL27" i="18"/>
  <c r="AL27" i="5"/>
  <c r="AM27" i="5" s="1"/>
  <c r="AM6" i="9"/>
  <c r="AL14" i="19"/>
  <c r="AL20" i="18"/>
  <c r="AL19" i="18"/>
  <c r="AL66" i="18"/>
  <c r="AL32" i="5"/>
  <c r="AM32" i="5" s="1"/>
  <c r="AM6" i="13"/>
  <c r="AL28" i="5"/>
  <c r="AM28" i="5" s="1"/>
  <c r="AM6" i="10"/>
  <c r="AL33" i="5"/>
  <c r="AM33" i="5" s="1"/>
  <c r="AM6" i="14"/>
  <c r="Z27" i="5"/>
  <c r="AA27" i="5" s="1"/>
  <c r="AA6" i="9"/>
  <c r="Z28" i="5"/>
  <c r="AA28" i="5" s="1"/>
  <c r="AA6" i="10"/>
  <c r="Z14" i="19"/>
  <c r="Z20" i="18"/>
  <c r="Z19" i="18"/>
  <c r="Z66" i="18"/>
  <c r="Z21" i="18"/>
  <c r="Z26" i="18"/>
  <c r="AA26" i="18" s="1"/>
  <c r="Z15" i="19"/>
  <c r="AA15" i="19" s="1"/>
  <c r="Z25" i="18"/>
  <c r="AA25" i="18" s="1"/>
  <c r="AA27" i="18" s="1"/>
  <c r="Z32" i="5"/>
  <c r="AA32" i="5" s="1"/>
  <c r="AA6" i="13"/>
  <c r="Z33" i="5"/>
  <c r="AA33" i="5" s="1"/>
  <c r="AA6" i="14"/>
  <c r="X13" i="5"/>
  <c r="W20" i="13"/>
  <c r="W29" i="13" s="1"/>
  <c r="W18" i="18"/>
  <c r="X29" i="5"/>
  <c r="X31" i="5"/>
  <c r="W13" i="10"/>
  <c r="W34" i="10" s="1"/>
  <c r="W24" i="18"/>
  <c r="W33" i="19"/>
  <c r="W14" i="9"/>
  <c r="W26" i="9" s="1"/>
  <c r="W29" i="14"/>
  <c r="W31" i="14" s="1"/>
  <c r="X14" i="17"/>
  <c r="T13" i="10"/>
  <c r="T34" i="10" s="1"/>
  <c r="T33" i="19"/>
  <c r="T29" i="14"/>
  <c r="T31" i="14" s="1"/>
  <c r="T24" i="18"/>
  <c r="T18" i="18"/>
  <c r="T14" i="9"/>
  <c r="T26" i="9" s="1"/>
  <c r="U31" i="5"/>
  <c r="T20" i="13"/>
  <c r="T29" i="13" s="1"/>
  <c r="U29" i="5"/>
  <c r="U14" i="17"/>
  <c r="Q28" i="5"/>
  <c r="R28" i="5" s="1"/>
  <c r="R6" i="10"/>
  <c r="Q33" i="5"/>
  <c r="R33" i="5" s="1"/>
  <c r="R6" i="14"/>
  <c r="Q27" i="5"/>
  <c r="R27" i="5" s="1"/>
  <c r="R6" i="9"/>
  <c r="Q66" i="18"/>
  <c r="Q14" i="19"/>
  <c r="Q20" i="18"/>
  <c r="Q19" i="18"/>
  <c r="Q21" i="18"/>
  <c r="Q26" i="18"/>
  <c r="R26" i="18" s="1"/>
  <c r="Q15" i="19"/>
  <c r="R15" i="19" s="1"/>
  <c r="Q25" i="18"/>
  <c r="Q32" i="5"/>
  <c r="R32" i="5" s="1"/>
  <c r="R6" i="13"/>
  <c r="N28" i="5"/>
  <c r="O28" i="5" s="1"/>
  <c r="O6" i="10"/>
  <c r="N14" i="19"/>
  <c r="N20" i="18"/>
  <c r="N66" i="18"/>
  <c r="N19" i="18"/>
  <c r="N21" i="18"/>
  <c r="N33" i="5"/>
  <c r="O33" i="5" s="1"/>
  <c r="O6" i="14"/>
  <c r="N27" i="5"/>
  <c r="O27" i="5" s="1"/>
  <c r="O6" i="9"/>
  <c r="N32" i="5"/>
  <c r="O32" i="5" s="1"/>
  <c r="O6" i="13"/>
  <c r="N26" i="18"/>
  <c r="O26" i="18" s="1"/>
  <c r="N15" i="19"/>
  <c r="O15" i="19" s="1"/>
  <c r="N25" i="18"/>
  <c r="L13" i="5"/>
  <c r="K33" i="19"/>
  <c r="K14" i="9"/>
  <c r="K26" i="9" s="1"/>
  <c r="K13" i="10"/>
  <c r="K34" i="10" s="1"/>
  <c r="K20" i="13"/>
  <c r="K29" i="13" s="1"/>
  <c r="K29" i="14"/>
  <c r="K31" i="14" s="1"/>
  <c r="K18" i="18"/>
  <c r="L18" i="18" s="1"/>
  <c r="K24" i="18"/>
  <c r="L24" i="18" s="1"/>
  <c r="L29" i="5"/>
  <c r="L31" i="5"/>
  <c r="L14" i="17"/>
  <c r="AO31" i="14"/>
  <c r="AP29" i="14"/>
  <c r="AP31" i="14" s="1"/>
  <c r="AO29" i="13"/>
  <c r="AP20" i="13"/>
  <c r="AP29" i="13" s="1"/>
  <c r="AO34" i="10"/>
  <c r="AP13" i="10"/>
  <c r="AP34" i="10" s="1"/>
  <c r="AO66" i="18"/>
  <c r="AO19" i="18"/>
  <c r="AO21" i="18" s="1"/>
  <c r="AO14" i="19"/>
  <c r="AO20" i="18"/>
  <c r="AP18" i="18"/>
  <c r="AO26" i="9"/>
  <c r="AP14" i="9"/>
  <c r="AP26" i="9" s="1"/>
  <c r="AO15" i="19"/>
  <c r="AP15" i="19" s="1"/>
  <c r="AO26" i="18"/>
  <c r="AP26" i="18" s="1"/>
  <c r="AO25" i="18"/>
  <c r="AP24" i="18"/>
  <c r="H66" i="18"/>
  <c r="H20" i="18"/>
  <c r="H19" i="18"/>
  <c r="H21" i="18" s="1"/>
  <c r="H14" i="19"/>
  <c r="H27" i="5"/>
  <c r="I27" i="5" s="1"/>
  <c r="I6" i="9"/>
  <c r="H26" i="18"/>
  <c r="I26" i="18" s="1"/>
  <c r="H25" i="18"/>
  <c r="I25" i="18" s="1"/>
  <c r="H15" i="19"/>
  <c r="I15" i="19" s="1"/>
  <c r="H27" i="18"/>
  <c r="H28" i="5"/>
  <c r="I28" i="5" s="1"/>
  <c r="I6" i="10"/>
  <c r="H32" i="5"/>
  <c r="I32" i="5" s="1"/>
  <c r="I6" i="13"/>
  <c r="H33" i="5"/>
  <c r="I33" i="5" s="1"/>
  <c r="I6" i="14"/>
  <c r="E29" i="14"/>
  <c r="E24" i="18"/>
  <c r="E13" i="10"/>
  <c r="F29" i="5"/>
  <c r="E20" i="13"/>
  <c r="F13" i="9"/>
  <c r="E14" i="9"/>
  <c r="E18" i="18"/>
  <c r="E23" i="7"/>
  <c r="F31" i="5"/>
  <c r="E33" i="19"/>
  <c r="F33" i="19" s="1"/>
  <c r="F14" i="17"/>
  <c r="AM16" i="5"/>
  <c r="O16" i="17"/>
  <c r="O57" i="18"/>
  <c r="O15" i="18"/>
  <c r="O29" i="13"/>
  <c r="O45" i="18"/>
  <c r="O33" i="18"/>
  <c r="O24" i="11"/>
  <c r="O51" i="18"/>
  <c r="O31" i="14"/>
  <c r="O26" i="9"/>
  <c r="O24" i="15"/>
  <c r="O63" i="18"/>
  <c r="O23" i="12"/>
  <c r="O34" i="10"/>
  <c r="O14" i="5"/>
  <c r="O39" i="18"/>
  <c r="R33" i="18"/>
  <c r="X6" i="17"/>
  <c r="U6" i="17"/>
  <c r="R14" i="5"/>
  <c r="R45" i="18"/>
  <c r="R16" i="17"/>
  <c r="R63" i="18"/>
  <c r="R51" i="18"/>
  <c r="R57" i="18"/>
  <c r="R31" i="14"/>
  <c r="R29" i="13"/>
  <c r="R15" i="18"/>
  <c r="R24" i="15"/>
  <c r="R26" i="9"/>
  <c r="R34" i="10"/>
  <c r="R23" i="12"/>
  <c r="R24" i="11"/>
  <c r="I14" i="5"/>
  <c r="AM39" i="18"/>
  <c r="AM63" i="18"/>
  <c r="AM45" i="18"/>
  <c r="AM34" i="10"/>
  <c r="AM27" i="18"/>
  <c r="AA39" i="18"/>
  <c r="AA57" i="18"/>
  <c r="U13" i="5"/>
  <c r="I39" i="18"/>
  <c r="I57" i="18"/>
  <c r="AM51" i="18"/>
  <c r="AM57" i="18"/>
  <c r="AM24" i="15"/>
  <c r="AM24" i="11"/>
  <c r="AM14" i="5"/>
  <c r="AM31" i="14"/>
  <c r="AM16" i="17"/>
  <c r="AM29" i="13"/>
  <c r="AM23" i="12"/>
  <c r="AM33" i="18"/>
  <c r="AM15" i="18"/>
  <c r="AM26" i="9"/>
  <c r="AA26" i="9"/>
  <c r="AA23" i="12"/>
  <c r="AA29" i="13"/>
  <c r="AA24" i="15"/>
  <c r="AA51" i="18"/>
  <c r="AA16" i="5"/>
  <c r="AA16" i="17"/>
  <c r="AA14" i="5"/>
  <c r="AA31" i="14"/>
  <c r="AA24" i="11"/>
  <c r="AA15" i="18"/>
  <c r="AA34" i="10"/>
  <c r="AA45" i="18"/>
  <c r="AA63" i="18"/>
  <c r="AA33" i="18"/>
  <c r="X29" i="19"/>
  <c r="X17" i="19"/>
  <c r="X21" i="19"/>
  <c r="X14" i="15"/>
  <c r="X21" i="14"/>
  <c r="X15" i="14"/>
  <c r="X16" i="13"/>
  <c r="X20" i="12"/>
  <c r="X22" i="11"/>
  <c r="X20" i="10"/>
  <c r="X16" i="10"/>
  <c r="X15" i="7"/>
  <c r="X6" i="5"/>
  <c r="X25" i="10"/>
  <c r="X13" i="11"/>
  <c r="X35" i="19"/>
  <c r="X28" i="19"/>
  <c r="X32" i="18"/>
  <c r="W22" i="17"/>
  <c r="X22" i="17" s="1"/>
  <c r="X22" i="15"/>
  <c r="X26" i="14"/>
  <c r="X24" i="14"/>
  <c r="X21" i="13"/>
  <c r="X17" i="12"/>
  <c r="X24" i="10"/>
  <c r="X22" i="9"/>
  <c r="X18" i="9"/>
  <c r="X13" i="7"/>
  <c r="X20" i="16"/>
  <c r="X19" i="7"/>
  <c r="X60" i="18"/>
  <c r="X48" i="18"/>
  <c r="X43" i="18"/>
  <c r="X38" i="18"/>
  <c r="X15" i="16"/>
  <c r="X13" i="15"/>
  <c r="X20" i="14"/>
  <c r="X23" i="14"/>
  <c r="X15" i="13"/>
  <c r="X13" i="12"/>
  <c r="X31" i="10"/>
  <c r="X27" i="10"/>
  <c r="X15" i="12"/>
  <c r="X21" i="11"/>
  <c r="X36" i="18"/>
  <c r="X38" i="5"/>
  <c r="X37" i="18"/>
  <c r="X14" i="16"/>
  <c r="X15" i="15"/>
  <c r="X13" i="14"/>
  <c r="X20" i="13"/>
  <c r="X13" i="13"/>
  <c r="X18" i="11"/>
  <c r="X23" i="10"/>
  <c r="X19" i="10"/>
  <c r="X15" i="10"/>
  <c r="X18" i="7"/>
  <c r="X25" i="13"/>
  <c r="X23" i="9"/>
  <c r="X18" i="18"/>
  <c r="X24" i="18"/>
  <c r="X19" i="19"/>
  <c r="X13" i="18"/>
  <c r="X20" i="15"/>
  <c r="X19" i="14"/>
  <c r="X27" i="13"/>
  <c r="X26" i="13"/>
  <c r="X17" i="11"/>
  <c r="X13" i="9"/>
  <c r="X21" i="9"/>
  <c r="X26" i="10"/>
  <c r="X21" i="7"/>
  <c r="X14" i="7"/>
  <c r="X28" i="10"/>
  <c r="X34" i="19"/>
  <c r="X61" i="18"/>
  <c r="X22" i="16"/>
  <c r="X16" i="15"/>
  <c r="X18" i="14"/>
  <c r="X24" i="13"/>
  <c r="X23" i="13"/>
  <c r="X15" i="11"/>
  <c r="X22" i="10"/>
  <c r="X30" i="10"/>
  <c r="X14" i="10"/>
  <c r="X17" i="7"/>
  <c r="X19" i="15"/>
  <c r="X19" i="9"/>
  <c r="X33" i="19"/>
  <c r="X42" i="18"/>
  <c r="X50" i="18"/>
  <c r="X14" i="18"/>
  <c r="X21" i="16"/>
  <c r="X21" i="15"/>
  <c r="X25" i="14"/>
  <c r="X19" i="13"/>
  <c r="X18" i="12"/>
  <c r="X20" i="11"/>
  <c r="X24" i="9"/>
  <c r="X18" i="10"/>
  <c r="X16" i="9"/>
  <c r="X16" i="7"/>
  <c r="X16" i="11"/>
  <c r="X20" i="9"/>
  <c r="X22" i="7"/>
  <c r="X12" i="18"/>
  <c r="X13" i="19"/>
  <c r="X55" i="18"/>
  <c r="X31" i="18"/>
  <c r="X17" i="9"/>
  <c r="X32" i="19"/>
  <c r="X16" i="19"/>
  <c r="X44" i="18"/>
  <c r="X62" i="18"/>
  <c r="X16" i="16"/>
  <c r="X18" i="15"/>
  <c r="X17" i="14"/>
  <c r="X22" i="13"/>
  <c r="X16" i="12"/>
  <c r="X14" i="11"/>
  <c r="X15" i="9"/>
  <c r="X29" i="10"/>
  <c r="X13" i="10"/>
  <c r="X32" i="10"/>
  <c r="X54" i="18"/>
  <c r="X19" i="16"/>
  <c r="X17" i="15"/>
  <c r="X28" i="14"/>
  <c r="X18" i="13"/>
  <c r="X14" i="12"/>
  <c r="X19" i="11"/>
  <c r="X21" i="10"/>
  <c r="X17" i="10"/>
  <c r="X20" i="7"/>
  <c r="X19" i="12"/>
  <c r="X30" i="19"/>
  <c r="X18" i="19"/>
  <c r="X56" i="18"/>
  <c r="X18" i="16"/>
  <c r="X22" i="14"/>
  <c r="X14" i="14"/>
  <c r="X17" i="13"/>
  <c r="X21" i="12"/>
  <c r="X30" i="18"/>
  <c r="X20" i="19"/>
  <c r="X49" i="18"/>
  <c r="X17" i="16"/>
  <c r="X16" i="14"/>
  <c r="X27" i="14"/>
  <c r="X14" i="13"/>
  <c r="X11" i="5"/>
  <c r="X12" i="5"/>
  <c r="X16" i="5"/>
  <c r="U34" i="19"/>
  <c r="U61" i="18"/>
  <c r="U13" i="15"/>
  <c r="U24" i="14"/>
  <c r="U23" i="14"/>
  <c r="U18" i="13"/>
  <c r="U16" i="12"/>
  <c r="U17" i="11"/>
  <c r="U18" i="10"/>
  <c r="U25" i="10"/>
  <c r="U19" i="7"/>
  <c r="U16" i="7"/>
  <c r="U21" i="11"/>
  <c r="U22" i="9"/>
  <c r="U30" i="10"/>
  <c r="U29" i="19"/>
  <c r="U12" i="18"/>
  <c r="U37" i="18"/>
  <c r="T22" i="17"/>
  <c r="U22" i="17" s="1"/>
  <c r="U18" i="15"/>
  <c r="U19" i="14"/>
  <c r="U28" i="14"/>
  <c r="U26" i="13"/>
  <c r="U13" i="12"/>
  <c r="U32" i="10"/>
  <c r="U24" i="9"/>
  <c r="U18" i="7"/>
  <c r="U17" i="10"/>
  <c r="U23" i="10"/>
  <c r="U21" i="9"/>
  <c r="U13" i="7"/>
  <c r="U55" i="18"/>
  <c r="U48" i="18"/>
  <c r="U30" i="19"/>
  <c r="U17" i="19"/>
  <c r="U20" i="19"/>
  <c r="U14" i="16"/>
  <c r="U16" i="15"/>
  <c r="U26" i="14"/>
  <c r="U22" i="14"/>
  <c r="U17" i="13"/>
  <c r="U14" i="12"/>
  <c r="U20" i="10"/>
  <c r="U29" i="10"/>
  <c r="U19" i="9"/>
  <c r="U17" i="7"/>
  <c r="U24" i="10"/>
  <c r="U23" i="9"/>
  <c r="U21" i="12"/>
  <c r="U35" i="19"/>
  <c r="U28" i="19"/>
  <c r="U33" i="19"/>
  <c r="U21" i="19"/>
  <c r="U43" i="18"/>
  <c r="U22" i="16"/>
  <c r="U17" i="15"/>
  <c r="U14" i="14"/>
  <c r="U23" i="13"/>
  <c r="U27" i="13"/>
  <c r="U16" i="11"/>
  <c r="U14" i="9"/>
  <c r="U24" i="18"/>
  <c r="U54" i="18"/>
  <c r="U32" i="18"/>
  <c r="U20" i="16"/>
  <c r="U22" i="15"/>
  <c r="U29" i="14"/>
  <c r="U22" i="13"/>
  <c r="U25" i="13"/>
  <c r="U13" i="11"/>
  <c r="U13" i="9"/>
  <c r="U28" i="10"/>
  <c r="U18" i="9"/>
  <c r="U15" i="7"/>
  <c r="U21" i="15"/>
  <c r="U24" i="13"/>
  <c r="U16" i="10"/>
  <c r="U15" i="11"/>
  <c r="U19" i="19"/>
  <c r="U42" i="18"/>
  <c r="U32" i="19"/>
  <c r="U14" i="18"/>
  <c r="U19" i="16"/>
  <c r="U25" i="14"/>
  <c r="U15" i="13"/>
  <c r="U14" i="7"/>
  <c r="U16" i="14"/>
  <c r="U38" i="5"/>
  <c r="U30" i="18"/>
  <c r="U16" i="19"/>
  <c r="U20" i="15"/>
  <c r="U13" i="14"/>
  <c r="U21" i="13"/>
  <c r="U22" i="10"/>
  <c r="U15" i="14"/>
  <c r="U22" i="11"/>
  <c r="U18" i="18"/>
  <c r="U38" i="18"/>
  <c r="U13" i="19"/>
  <c r="U21" i="16"/>
  <c r="U15" i="15"/>
  <c r="U21" i="14"/>
  <c r="U16" i="13"/>
  <c r="U20" i="12"/>
  <c r="U20" i="11"/>
  <c r="U17" i="9"/>
  <c r="U27" i="10"/>
  <c r="U16" i="9"/>
  <c r="U15" i="12"/>
  <c r="U60" i="18"/>
  <c r="U31" i="18"/>
  <c r="U62" i="18"/>
  <c r="U18" i="19"/>
  <c r="U15" i="16"/>
  <c r="U14" i="15"/>
  <c r="U20" i="14"/>
  <c r="U14" i="13"/>
  <c r="U19" i="12"/>
  <c r="U14" i="11"/>
  <c r="U31" i="10"/>
  <c r="U15" i="10"/>
  <c r="U21" i="10"/>
  <c r="U20" i="7"/>
  <c r="U36" i="18"/>
  <c r="U13" i="18"/>
  <c r="U49" i="18"/>
  <c r="U56" i="18"/>
  <c r="U18" i="16"/>
  <c r="U19" i="15"/>
  <c r="U18" i="14"/>
  <c r="U13" i="13"/>
  <c r="U18" i="12"/>
  <c r="U19" i="11"/>
  <c r="U19" i="10"/>
  <c r="U26" i="10"/>
  <c r="U21" i="7"/>
  <c r="U17" i="12"/>
  <c r="U14" i="10"/>
  <c r="U16" i="16"/>
  <c r="U20" i="9"/>
  <c r="U50" i="18"/>
  <c r="U44" i="18"/>
  <c r="U17" i="16"/>
  <c r="U27" i="14"/>
  <c r="U17" i="14"/>
  <c r="U20" i="13"/>
  <c r="U18" i="11"/>
  <c r="U15" i="9"/>
  <c r="U22" i="7"/>
  <c r="U19" i="13"/>
  <c r="U6" i="5"/>
  <c r="U11" i="5"/>
  <c r="U12" i="5"/>
  <c r="U16" i="5"/>
  <c r="E122" i="3"/>
  <c r="J122" i="3" s="1"/>
  <c r="K16" i="17"/>
  <c r="L6" i="17"/>
  <c r="L60" i="18"/>
  <c r="L48" i="18"/>
  <c r="L44" i="18"/>
  <c r="L19" i="16"/>
  <c r="L15" i="15"/>
  <c r="L28" i="14"/>
  <c r="L16" i="13"/>
  <c r="L25" i="13"/>
  <c r="L21" i="11"/>
  <c r="L13" i="9"/>
  <c r="L29" i="10"/>
  <c r="L18" i="9"/>
  <c r="L17" i="7"/>
  <c r="L6" i="5"/>
  <c r="L14" i="12"/>
  <c r="L50" i="18"/>
  <c r="L61" i="18"/>
  <c r="L16" i="16"/>
  <c r="L14" i="15"/>
  <c r="L16" i="14"/>
  <c r="L27" i="13"/>
  <c r="L21" i="13"/>
  <c r="L19" i="11"/>
  <c r="L21" i="9"/>
  <c r="L17" i="10"/>
  <c r="L16" i="9"/>
  <c r="L16" i="7"/>
  <c r="L15" i="11"/>
  <c r="L36" i="18"/>
  <c r="L32" i="19"/>
  <c r="L37" i="18"/>
  <c r="L14" i="16"/>
  <c r="L19" i="15"/>
  <c r="L15" i="14"/>
  <c r="L13" i="13"/>
  <c r="L15" i="12"/>
  <c r="L18" i="11"/>
  <c r="L15" i="9"/>
  <c r="L17" i="9"/>
  <c r="L23" i="10"/>
  <c r="L21" i="7"/>
  <c r="L26" i="13"/>
  <c r="L19" i="7"/>
  <c r="L18" i="7"/>
  <c r="L12" i="18"/>
  <c r="L30" i="19"/>
  <c r="L20" i="19"/>
  <c r="L56" i="18"/>
  <c r="L21" i="16"/>
  <c r="L18" i="15"/>
  <c r="L26" i="14"/>
  <c r="L19" i="13"/>
  <c r="L19" i="12"/>
  <c r="L20" i="11"/>
  <c r="L31" i="10"/>
  <c r="L28" i="10"/>
  <c r="L22" i="10"/>
  <c r="L22" i="7"/>
  <c r="L13" i="14"/>
  <c r="L54" i="18"/>
  <c r="L18" i="19"/>
  <c r="L38" i="18"/>
  <c r="L20" i="16"/>
  <c r="L13" i="15"/>
  <c r="L14" i="14"/>
  <c r="L18" i="13"/>
  <c r="L21" i="12"/>
  <c r="L13" i="11"/>
  <c r="L19" i="10"/>
  <c r="L16" i="10"/>
  <c r="L21" i="10"/>
  <c r="L27" i="10"/>
  <c r="L35" i="19"/>
  <c r="L29" i="19"/>
  <c r="L55" i="18"/>
  <c r="L17" i="19"/>
  <c r="L18" i="16"/>
  <c r="L16" i="15"/>
  <c r="L25" i="14"/>
  <c r="L15" i="13"/>
  <c r="L16" i="12"/>
  <c r="L16" i="11"/>
  <c r="L22" i="9"/>
  <c r="L26" i="10"/>
  <c r="L20" i="7"/>
  <c r="L15" i="16"/>
  <c r="L30" i="18"/>
  <c r="L28" i="19"/>
  <c r="L14" i="18"/>
  <c r="L32" i="18"/>
  <c r="L18" i="14"/>
  <c r="L14" i="10"/>
  <c r="L42" i="18"/>
  <c r="L21" i="19"/>
  <c r="L13" i="18"/>
  <c r="L19" i="19"/>
  <c r="L17" i="16"/>
  <c r="L23" i="14"/>
  <c r="L20" i="14"/>
  <c r="L14" i="13"/>
  <c r="L20" i="12"/>
  <c r="L17" i="11"/>
  <c r="L30" i="10"/>
  <c r="L20" i="9"/>
  <c r="L13" i="7"/>
  <c r="L34" i="19"/>
  <c r="L43" i="18"/>
  <c r="L16" i="19"/>
  <c r="L49" i="18"/>
  <c r="L22" i="15"/>
  <c r="L29" i="14"/>
  <c r="L24" i="14"/>
  <c r="L17" i="13"/>
  <c r="L18" i="12"/>
  <c r="L14" i="11"/>
  <c r="L18" i="10"/>
  <c r="L19" i="9"/>
  <c r="L62" i="18"/>
  <c r="L13" i="19"/>
  <c r="K22" i="17"/>
  <c r="L22" i="17" s="1"/>
  <c r="L21" i="15"/>
  <c r="L17" i="14"/>
  <c r="L22" i="14"/>
  <c r="L23" i="13"/>
  <c r="L17" i="12"/>
  <c r="L32" i="10"/>
  <c r="L24" i="9"/>
  <c r="L25" i="10"/>
  <c r="L15" i="7"/>
  <c r="L14" i="7"/>
  <c r="L38" i="5"/>
  <c r="L20" i="15"/>
  <c r="L27" i="14"/>
  <c r="L19" i="14"/>
  <c r="L24" i="13"/>
  <c r="L13" i="12"/>
  <c r="L20" i="10"/>
  <c r="L23" i="9"/>
  <c r="L13" i="10"/>
  <c r="L33" i="19"/>
  <c r="L31" i="18"/>
  <c r="L22" i="16"/>
  <c r="L17" i="15"/>
  <c r="L21" i="14"/>
  <c r="L20" i="13"/>
  <c r="L22" i="13"/>
  <c r="L22" i="11"/>
  <c r="L14" i="9"/>
  <c r="L15" i="10"/>
  <c r="L24" i="10"/>
  <c r="L11" i="5"/>
  <c r="L12" i="5"/>
  <c r="L18" i="17"/>
  <c r="AR18" i="17"/>
  <c r="AS18" i="17" s="1"/>
  <c r="AR14" i="17"/>
  <c r="I27" i="18"/>
  <c r="I24" i="11"/>
  <c r="I23" i="12"/>
  <c r="I31" i="14"/>
  <c r="I33" i="18"/>
  <c r="I26" i="9"/>
  <c r="I29" i="13"/>
  <c r="I34" i="10"/>
  <c r="I63" i="18"/>
  <c r="I45" i="18"/>
  <c r="I16" i="5"/>
  <c r="I15" i="18"/>
  <c r="I51" i="18"/>
  <c r="I24" i="15"/>
  <c r="O271" i="1"/>
  <c r="P7" i="1"/>
  <c r="Q7" i="1" s="1"/>
  <c r="F38" i="5"/>
  <c r="F21" i="19"/>
  <c r="F13" i="19"/>
  <c r="F16" i="19"/>
  <c r="F18" i="19"/>
  <c r="F20" i="19"/>
  <c r="F17" i="19"/>
  <c r="F19" i="19"/>
  <c r="F16" i="5"/>
  <c r="F29" i="19"/>
  <c r="F56" i="18"/>
  <c r="F38" i="18"/>
  <c r="F18" i="18"/>
  <c r="F12" i="18"/>
  <c r="F24" i="18"/>
  <c r="F28" i="19"/>
  <c r="F60" i="18"/>
  <c r="F30" i="19"/>
  <c r="F54" i="18"/>
  <c r="F36" i="18"/>
  <c r="F43" i="18"/>
  <c r="F44" i="18"/>
  <c r="F35" i="19"/>
  <c r="F62" i="18"/>
  <c r="F50" i="18"/>
  <c r="F32" i="18"/>
  <c r="F13" i="18"/>
  <c r="F34" i="19"/>
  <c r="F32" i="19"/>
  <c r="F48" i="18"/>
  <c r="F30" i="18"/>
  <c r="F14" i="18"/>
  <c r="F61" i="18"/>
  <c r="F42" i="18"/>
  <c r="F37" i="18"/>
  <c r="F55" i="18"/>
  <c r="F31" i="18"/>
  <c r="F49" i="18"/>
  <c r="E22" i="17"/>
  <c r="F22" i="17" s="1"/>
  <c r="F14" i="16"/>
  <c r="F15" i="16"/>
  <c r="F16" i="16"/>
  <c r="F18" i="16"/>
  <c r="F17" i="16"/>
  <c r="F19" i="16"/>
  <c r="F20" i="16"/>
  <c r="F21" i="16"/>
  <c r="F22" i="16"/>
  <c r="F14" i="15"/>
  <c r="F15" i="15"/>
  <c r="F16" i="15"/>
  <c r="F17" i="15"/>
  <c r="F18" i="15"/>
  <c r="F13" i="15"/>
  <c r="F20" i="15"/>
  <c r="F19" i="15"/>
  <c r="F21" i="15"/>
  <c r="F22" i="15"/>
  <c r="F16" i="14"/>
  <c r="F28" i="14"/>
  <c r="F17" i="14"/>
  <c r="F29" i="14"/>
  <c r="F21" i="14"/>
  <c r="F18" i="14"/>
  <c r="F13" i="14"/>
  <c r="F27" i="14"/>
  <c r="F19" i="14"/>
  <c r="F26" i="14"/>
  <c r="F20" i="14"/>
  <c r="F22" i="14"/>
  <c r="F23" i="14"/>
  <c r="F25" i="14"/>
  <c r="F14" i="14"/>
  <c r="F24" i="14"/>
  <c r="F15" i="14"/>
  <c r="F15" i="13"/>
  <c r="F27" i="13"/>
  <c r="F26" i="13"/>
  <c r="F16" i="13"/>
  <c r="F13" i="13"/>
  <c r="F17" i="13"/>
  <c r="F25" i="13"/>
  <c r="F18" i="13"/>
  <c r="F23" i="13"/>
  <c r="F19" i="13"/>
  <c r="F20" i="13"/>
  <c r="F22" i="13"/>
  <c r="F21" i="13"/>
  <c r="F24" i="13"/>
  <c r="F14" i="13"/>
  <c r="F21" i="12"/>
  <c r="F14" i="12"/>
  <c r="F16" i="12"/>
  <c r="F13" i="12"/>
  <c r="F19" i="12"/>
  <c r="F20" i="12"/>
  <c r="F15" i="12"/>
  <c r="F17" i="12"/>
  <c r="F18" i="12"/>
  <c r="F19" i="11"/>
  <c r="F20" i="11"/>
  <c r="F21" i="11"/>
  <c r="F18" i="11"/>
  <c r="F22" i="11"/>
  <c r="F13" i="11"/>
  <c r="F17" i="11"/>
  <c r="F14" i="11"/>
  <c r="F16" i="11"/>
  <c r="F15" i="11"/>
  <c r="F17" i="10"/>
  <c r="F29" i="10"/>
  <c r="F18" i="10"/>
  <c r="F30" i="10"/>
  <c r="F19" i="10"/>
  <c r="F31" i="10"/>
  <c r="F20" i="10"/>
  <c r="F32" i="10"/>
  <c r="F21" i="10"/>
  <c r="F13" i="10"/>
  <c r="F22" i="10"/>
  <c r="F23" i="10"/>
  <c r="F27" i="10"/>
  <c r="F24" i="10"/>
  <c r="F25" i="10"/>
  <c r="F14" i="10"/>
  <c r="F26" i="10"/>
  <c r="F15" i="10"/>
  <c r="F16" i="10"/>
  <c r="F28" i="10"/>
  <c r="F13" i="5"/>
  <c r="F22" i="9"/>
  <c r="F16" i="9"/>
  <c r="F23" i="9"/>
  <c r="F24" i="9"/>
  <c r="F19" i="9"/>
  <c r="F20" i="9"/>
  <c r="F14" i="9"/>
  <c r="F15" i="9"/>
  <c r="F17" i="9"/>
  <c r="F18" i="9"/>
  <c r="F21" i="9"/>
  <c r="F20" i="7"/>
  <c r="F6" i="5"/>
  <c r="F21" i="7"/>
  <c r="F18" i="7"/>
  <c r="F22" i="7"/>
  <c r="F16" i="7"/>
  <c r="F23" i="7"/>
  <c r="F15" i="7"/>
  <c r="F17" i="7"/>
  <c r="F13" i="7"/>
  <c r="F14" i="7"/>
  <c r="F19" i="7"/>
  <c r="F11" i="5"/>
  <c r="F12" i="5"/>
  <c r="O7" i="2"/>
  <c r="N21" i="2"/>
  <c r="N23" i="2"/>
  <c r="O270" i="1"/>
  <c r="AL21" i="18" l="1"/>
  <c r="X29" i="14"/>
  <c r="U13" i="10"/>
  <c r="AM66" i="18"/>
  <c r="AL67" i="18"/>
  <c r="AM19" i="18"/>
  <c r="AL68" i="18"/>
  <c r="AM20" i="18"/>
  <c r="AL23" i="19"/>
  <c r="AM14" i="19"/>
  <c r="AM23" i="19" s="1"/>
  <c r="AA66" i="18"/>
  <c r="Z67" i="18"/>
  <c r="AA19" i="18"/>
  <c r="Z68" i="18"/>
  <c r="AA20" i="18"/>
  <c r="Z23" i="19"/>
  <c r="AA14" i="19"/>
  <c r="AA23" i="19" s="1"/>
  <c r="Z27" i="18"/>
  <c r="W33" i="5"/>
  <c r="X33" i="5" s="1"/>
  <c r="X6" i="14"/>
  <c r="W27" i="5"/>
  <c r="X27" i="5" s="1"/>
  <c r="X6" i="9"/>
  <c r="W25" i="18"/>
  <c r="W15" i="19"/>
  <c r="X15" i="19" s="1"/>
  <c r="W26" i="18"/>
  <c r="X26" i="18" s="1"/>
  <c r="W28" i="5"/>
  <c r="X28" i="5" s="1"/>
  <c r="X6" i="10"/>
  <c r="X14" i="9"/>
  <c r="X26" i="9" s="1"/>
  <c r="W19" i="18"/>
  <c r="W14" i="19"/>
  <c r="W66" i="18"/>
  <c r="W20" i="18"/>
  <c r="W32" i="5"/>
  <c r="X32" i="5" s="1"/>
  <c r="X6" i="13"/>
  <c r="T32" i="5"/>
  <c r="U32" i="5" s="1"/>
  <c r="U6" i="13"/>
  <c r="T27" i="5"/>
  <c r="U27" i="5" s="1"/>
  <c r="U6" i="9"/>
  <c r="T66" i="18"/>
  <c r="U66" i="18" s="1"/>
  <c r="T14" i="19"/>
  <c r="T20" i="18"/>
  <c r="T19" i="18"/>
  <c r="T21" i="18"/>
  <c r="T25" i="18"/>
  <c r="T26" i="18"/>
  <c r="U26" i="18" s="1"/>
  <c r="T15" i="19"/>
  <c r="U15" i="19" s="1"/>
  <c r="T33" i="5"/>
  <c r="U33" i="5" s="1"/>
  <c r="U6" i="14"/>
  <c r="T28" i="5"/>
  <c r="U28" i="5" s="1"/>
  <c r="U6" i="10"/>
  <c r="Q67" i="18"/>
  <c r="R19" i="18"/>
  <c r="Q68" i="18"/>
  <c r="R20" i="18"/>
  <c r="Q23" i="19"/>
  <c r="R14" i="19"/>
  <c r="R23" i="19" s="1"/>
  <c r="R66" i="18"/>
  <c r="Q27" i="18"/>
  <c r="R25" i="18"/>
  <c r="R27" i="18" s="1"/>
  <c r="N67" i="18"/>
  <c r="O19" i="18"/>
  <c r="O66" i="18"/>
  <c r="N27" i="18"/>
  <c r="O25" i="18"/>
  <c r="O27" i="18" s="1"/>
  <c r="N68" i="18"/>
  <c r="O20" i="18"/>
  <c r="N23" i="19"/>
  <c r="O14" i="19"/>
  <c r="O23" i="19" s="1"/>
  <c r="K25" i="18"/>
  <c r="L25" i="18" s="1"/>
  <c r="K26" i="18"/>
  <c r="L26" i="18" s="1"/>
  <c r="K15" i="19"/>
  <c r="L15" i="19" s="1"/>
  <c r="K27" i="18"/>
  <c r="K19" i="18"/>
  <c r="K20" i="18"/>
  <c r="K66" i="18"/>
  <c r="K14" i="19"/>
  <c r="K33" i="5"/>
  <c r="L33" i="5" s="1"/>
  <c r="L6" i="14"/>
  <c r="K32" i="5"/>
  <c r="L32" i="5" s="1"/>
  <c r="L6" i="13"/>
  <c r="K28" i="5"/>
  <c r="L28" i="5" s="1"/>
  <c r="L6" i="10"/>
  <c r="K27" i="5"/>
  <c r="L27" i="5" s="1"/>
  <c r="L6" i="9"/>
  <c r="AO68" i="18"/>
  <c r="AP20" i="18"/>
  <c r="AO23" i="19"/>
  <c r="AP14" i="19"/>
  <c r="AP23" i="19" s="1"/>
  <c r="AO67" i="18"/>
  <c r="AP19" i="18"/>
  <c r="AP66" i="18"/>
  <c r="AO27" i="18"/>
  <c r="AP25" i="18"/>
  <c r="AP27" i="18" s="1"/>
  <c r="AO28" i="5"/>
  <c r="AP28" i="5" s="1"/>
  <c r="AP6" i="10"/>
  <c r="B9" i="10"/>
  <c r="AO32" i="5"/>
  <c r="AP32" i="5" s="1"/>
  <c r="AP6" i="13"/>
  <c r="B9" i="13"/>
  <c r="AO27" i="5"/>
  <c r="AP27" i="5" s="1"/>
  <c r="AP6" i="9"/>
  <c r="AO33" i="5"/>
  <c r="AP33" i="5" s="1"/>
  <c r="AP6" i="14"/>
  <c r="B9" i="14"/>
  <c r="H23" i="19"/>
  <c r="I14" i="19"/>
  <c r="I23" i="19" s="1"/>
  <c r="H67" i="18"/>
  <c r="I19" i="18"/>
  <c r="H68" i="18"/>
  <c r="I20" i="18"/>
  <c r="I66" i="18"/>
  <c r="K7" i="17"/>
  <c r="AV7" i="17"/>
  <c r="E25" i="7"/>
  <c r="E14" i="19"/>
  <c r="E66" i="18"/>
  <c r="E20" i="18"/>
  <c r="E19" i="18"/>
  <c r="E21" i="18"/>
  <c r="E26" i="9"/>
  <c r="E29" i="13"/>
  <c r="E34" i="10"/>
  <c r="E25" i="18"/>
  <c r="E15" i="19"/>
  <c r="E26" i="18"/>
  <c r="E27" i="18"/>
  <c r="E31" i="14"/>
  <c r="X33" i="18"/>
  <c r="L27" i="18"/>
  <c r="L39" i="18"/>
  <c r="X39" i="18"/>
  <c r="X34" i="10"/>
  <c r="X16" i="17"/>
  <c r="U39" i="18"/>
  <c r="U57" i="18"/>
  <c r="U63" i="18"/>
  <c r="U26" i="9"/>
  <c r="L45" i="18"/>
  <c r="L33" i="18"/>
  <c r="X51" i="18"/>
  <c r="X31" i="14"/>
  <c r="X63" i="18"/>
  <c r="X23" i="12"/>
  <c r="X45" i="18"/>
  <c r="X14" i="5"/>
  <c r="X24" i="15"/>
  <c r="X24" i="11"/>
  <c r="X57" i="18"/>
  <c r="X15" i="18"/>
  <c r="X29" i="13"/>
  <c r="U31" i="14"/>
  <c r="U24" i="11"/>
  <c r="U34" i="10"/>
  <c r="U15" i="18"/>
  <c r="U14" i="5"/>
  <c r="U29" i="13"/>
  <c r="U16" i="17"/>
  <c r="U45" i="18"/>
  <c r="U24" i="15"/>
  <c r="U33" i="18"/>
  <c r="U23" i="12"/>
  <c r="U51" i="18"/>
  <c r="L31" i="14"/>
  <c r="L14" i="5"/>
  <c r="L24" i="11"/>
  <c r="L29" i="13"/>
  <c r="L16" i="17"/>
  <c r="L34" i="10"/>
  <c r="L51" i="18"/>
  <c r="L57" i="18"/>
  <c r="L24" i="15"/>
  <c r="E7" i="17"/>
  <c r="AO7" i="17"/>
  <c r="AI7" i="17"/>
  <c r="AC7" i="17"/>
  <c r="H7" i="17"/>
  <c r="AF7" i="17"/>
  <c r="N7" i="17"/>
  <c r="W7" i="17"/>
  <c r="T7" i="17"/>
  <c r="AS6" i="17"/>
  <c r="Z7" i="17"/>
  <c r="C9" i="17"/>
  <c r="Q7" i="17"/>
  <c r="AL7" i="17"/>
  <c r="L63" i="18"/>
  <c r="L23" i="12"/>
  <c r="L26" i="9"/>
  <c r="L15" i="18"/>
  <c r="K16" i="5"/>
  <c r="AR16" i="17"/>
  <c r="F33" i="18"/>
  <c r="F16" i="17"/>
  <c r="F39" i="18"/>
  <c r="F57" i="18"/>
  <c r="F51" i="18"/>
  <c r="F15" i="18"/>
  <c r="F63" i="18"/>
  <c r="F45" i="18"/>
  <c r="F24" i="15"/>
  <c r="F31" i="14"/>
  <c r="F29" i="13"/>
  <c r="F23" i="12"/>
  <c r="F24" i="11"/>
  <c r="F34" i="10"/>
  <c r="F26" i="9"/>
  <c r="F14" i="5"/>
  <c r="Q270" i="1"/>
  <c r="Q271" i="1"/>
  <c r="Q7" i="2"/>
  <c r="P7" i="2"/>
  <c r="O23" i="2"/>
  <c r="O21" i="2"/>
  <c r="P270" i="1"/>
  <c r="P271" i="1"/>
  <c r="AO69" i="18" l="1"/>
  <c r="Q69" i="18"/>
  <c r="R6" i="18" s="1"/>
  <c r="K21" i="18"/>
  <c r="H69" i="18"/>
  <c r="I6" i="18" s="1"/>
  <c r="AP21" i="18"/>
  <c r="AL19" i="5"/>
  <c r="AL31" i="19"/>
  <c r="AM31" i="19" s="1"/>
  <c r="AM68" i="18"/>
  <c r="AM21" i="18"/>
  <c r="AL27" i="19"/>
  <c r="AM67" i="18"/>
  <c r="AM69" i="18"/>
  <c r="AL69" i="18"/>
  <c r="AM6" i="18" s="1"/>
  <c r="Z19" i="5"/>
  <c r="Z31" i="19"/>
  <c r="AA31" i="19" s="1"/>
  <c r="AA68" i="18"/>
  <c r="AA21" i="18"/>
  <c r="Z27" i="19"/>
  <c r="AA67" i="18"/>
  <c r="Z69" i="18"/>
  <c r="AA6" i="18" s="1"/>
  <c r="W67" i="18"/>
  <c r="W69" i="18" s="1"/>
  <c r="X6" i="18" s="1"/>
  <c r="X19" i="18"/>
  <c r="W27" i="18"/>
  <c r="X25" i="18"/>
  <c r="X27" i="18" s="1"/>
  <c r="W23" i="19"/>
  <c r="X14" i="19"/>
  <c r="X23" i="19" s="1"/>
  <c r="W21" i="18"/>
  <c r="W68" i="18"/>
  <c r="X20" i="18"/>
  <c r="X66" i="18"/>
  <c r="T27" i="18"/>
  <c r="U25" i="18"/>
  <c r="U27" i="18" s="1"/>
  <c r="T67" i="18"/>
  <c r="U19" i="18"/>
  <c r="T68" i="18"/>
  <c r="U20" i="18"/>
  <c r="T23" i="19"/>
  <c r="U14" i="19"/>
  <c r="U23" i="19" s="1"/>
  <c r="Q19" i="5"/>
  <c r="Q31" i="19"/>
  <c r="R31" i="19" s="1"/>
  <c r="R68" i="18"/>
  <c r="R21" i="18"/>
  <c r="Q27" i="19"/>
  <c r="R67" i="18"/>
  <c r="R69" i="18" s="1"/>
  <c r="N19" i="5"/>
  <c r="O19" i="5" s="1"/>
  <c r="N31" i="19"/>
  <c r="O31" i="19" s="1"/>
  <c r="O68" i="18"/>
  <c r="N69" i="18"/>
  <c r="O6" i="18" s="1"/>
  <c r="O21" i="18"/>
  <c r="N27" i="19"/>
  <c r="O67" i="18"/>
  <c r="K23" i="19"/>
  <c r="L14" i="19"/>
  <c r="L23" i="19" s="1"/>
  <c r="L66" i="18"/>
  <c r="K68" i="18"/>
  <c r="L20" i="18"/>
  <c r="K67" i="18"/>
  <c r="L19" i="18"/>
  <c r="L21" i="18" s="1"/>
  <c r="AP6" i="18"/>
  <c r="B9" i="18"/>
  <c r="AO27" i="19"/>
  <c r="AP67" i="18"/>
  <c r="AO19" i="5"/>
  <c r="AO31" i="19"/>
  <c r="AP31" i="19" s="1"/>
  <c r="AP68" i="18"/>
  <c r="H31" i="19"/>
  <c r="I31" i="19" s="1"/>
  <c r="I68" i="18"/>
  <c r="I21" i="18"/>
  <c r="H27" i="19"/>
  <c r="I67" i="18"/>
  <c r="I69" i="18" s="1"/>
  <c r="H19" i="5"/>
  <c r="E67" i="18"/>
  <c r="F19" i="18"/>
  <c r="F26" i="18"/>
  <c r="E68" i="18"/>
  <c r="F20" i="18"/>
  <c r="F15" i="19"/>
  <c r="F66" i="18"/>
  <c r="F25" i="18"/>
  <c r="E23" i="19"/>
  <c r="F14" i="19"/>
  <c r="F23" i="19" s="1"/>
  <c r="E33" i="5"/>
  <c r="F33" i="5" s="1"/>
  <c r="F6" i="14"/>
  <c r="E28" i="5"/>
  <c r="F28" i="5" s="1"/>
  <c r="F6" i="10"/>
  <c r="E30" i="5"/>
  <c r="F6" i="7"/>
  <c r="F25" i="7"/>
  <c r="H25" i="7"/>
  <c r="I23" i="7"/>
  <c r="E32" i="5"/>
  <c r="F32" i="5" s="1"/>
  <c r="F6" i="13"/>
  <c r="E27" i="5"/>
  <c r="F27" i="5" s="1"/>
  <c r="B9" i="9"/>
  <c r="F6" i="9"/>
  <c r="L16" i="5"/>
  <c r="AR16" i="5"/>
  <c r="AS16" i="17"/>
  <c r="AR7" i="17"/>
  <c r="P23" i="2"/>
  <c r="P21" i="2"/>
  <c r="Q23" i="2"/>
  <c r="Q21" i="2"/>
  <c r="AC14" i="5"/>
  <c r="AP69" i="18" l="1"/>
  <c r="AA69" i="18"/>
  <c r="O69" i="18"/>
  <c r="F27" i="18"/>
  <c r="AL36" i="19"/>
  <c r="AL40" i="19"/>
  <c r="AM40" i="19" s="1"/>
  <c r="AM27" i="19"/>
  <c r="AM36" i="19" s="1"/>
  <c r="AM19" i="5"/>
  <c r="AC14" i="9"/>
  <c r="AC18" i="18"/>
  <c r="AD18" i="18" s="1"/>
  <c r="AD29" i="5"/>
  <c r="AD31" i="5"/>
  <c r="AC29" i="14"/>
  <c r="AD29" i="14" s="1"/>
  <c r="AC33" i="19"/>
  <c r="AC13" i="10"/>
  <c r="AC20" i="13"/>
  <c r="AC24" i="18"/>
  <c r="AD14" i="17"/>
  <c r="Z40" i="19"/>
  <c r="AA40" i="19" s="1"/>
  <c r="Z36" i="19"/>
  <c r="AA27" i="19"/>
  <c r="AA36" i="19" s="1"/>
  <c r="AA19" i="5"/>
  <c r="W31" i="19"/>
  <c r="X31" i="19" s="1"/>
  <c r="X68" i="18"/>
  <c r="W19" i="5"/>
  <c r="X21" i="18"/>
  <c r="W27" i="19"/>
  <c r="X67" i="18"/>
  <c r="T19" i="5"/>
  <c r="T69" i="18"/>
  <c r="U6" i="18" s="1"/>
  <c r="T31" i="19"/>
  <c r="U31" i="19" s="1"/>
  <c r="U68" i="18"/>
  <c r="U21" i="18"/>
  <c r="T27" i="19"/>
  <c r="U67" i="18"/>
  <c r="U69" i="18" s="1"/>
  <c r="Q36" i="19"/>
  <c r="Q40" i="19"/>
  <c r="R40" i="19" s="1"/>
  <c r="R27" i="19"/>
  <c r="R36" i="19" s="1"/>
  <c r="R19" i="5"/>
  <c r="N36" i="19"/>
  <c r="N40" i="19"/>
  <c r="O40" i="19" s="1"/>
  <c r="O27" i="19"/>
  <c r="O36" i="19" s="1"/>
  <c r="K27" i="19"/>
  <c r="L67" i="18"/>
  <c r="K31" i="19"/>
  <c r="L31" i="19" s="1"/>
  <c r="L68" i="18"/>
  <c r="L69" i="18"/>
  <c r="K69" i="18"/>
  <c r="L6" i="18" s="1"/>
  <c r="K19" i="5"/>
  <c r="AP19" i="5"/>
  <c r="AO40" i="19"/>
  <c r="AP40" i="19" s="1"/>
  <c r="AO36" i="19"/>
  <c r="AP27" i="19"/>
  <c r="AP36" i="19" s="1"/>
  <c r="I19" i="5"/>
  <c r="H36" i="19"/>
  <c r="H40" i="19"/>
  <c r="I40" i="19" s="1"/>
  <c r="I27" i="19"/>
  <c r="I36" i="19" s="1"/>
  <c r="E31" i="19"/>
  <c r="F68" i="18"/>
  <c r="F69" i="18" s="1"/>
  <c r="E34" i="5"/>
  <c r="F30" i="5"/>
  <c r="F34" i="5" s="1"/>
  <c r="F21" i="18"/>
  <c r="E19" i="5"/>
  <c r="F19" i="5" s="1"/>
  <c r="E27" i="19"/>
  <c r="F67" i="18"/>
  <c r="K25" i="7"/>
  <c r="L23" i="7"/>
  <c r="E69" i="18"/>
  <c r="H30" i="5"/>
  <c r="I6" i="7"/>
  <c r="I25" i="7"/>
  <c r="J15" i="21"/>
  <c r="AD33" i="19"/>
  <c r="AD36" i="18"/>
  <c r="AD32" i="19"/>
  <c r="AD30" i="19"/>
  <c r="AD54" i="18"/>
  <c r="AD29" i="19"/>
  <c r="AD30" i="18"/>
  <c r="AD12" i="18"/>
  <c r="AD34" i="19"/>
  <c r="AD28" i="19"/>
  <c r="AD48" i="18"/>
  <c r="AD38" i="5"/>
  <c r="AD42" i="18"/>
  <c r="AD60" i="18"/>
  <c r="AD38" i="18"/>
  <c r="AD35" i="19"/>
  <c r="AD20" i="19"/>
  <c r="AD13" i="18"/>
  <c r="AD55" i="18"/>
  <c r="AD61" i="18"/>
  <c r="AD21" i="19"/>
  <c r="AD31" i="18"/>
  <c r="AD19" i="19"/>
  <c r="AD32" i="18"/>
  <c r="AD14" i="18"/>
  <c r="AD43" i="18"/>
  <c r="AD50" i="18"/>
  <c r="AD37" i="18"/>
  <c r="AD18" i="19"/>
  <c r="AD62" i="18"/>
  <c r="AD13" i="19"/>
  <c r="AD56" i="18"/>
  <c r="AD16" i="19"/>
  <c r="AD44" i="18"/>
  <c r="AD49" i="18"/>
  <c r="AD17" i="19"/>
  <c r="AD16" i="5"/>
  <c r="AC22" i="17"/>
  <c r="AD22" i="17" s="1"/>
  <c r="AD17" i="16"/>
  <c r="AD21" i="16"/>
  <c r="AD16" i="16"/>
  <c r="AD15" i="16"/>
  <c r="AD14" i="16"/>
  <c r="AD22" i="16"/>
  <c r="AD20" i="16"/>
  <c r="AD19" i="16"/>
  <c r="AD18" i="16"/>
  <c r="AD17" i="15"/>
  <c r="AD21" i="15"/>
  <c r="AD20" i="15"/>
  <c r="AD16" i="15"/>
  <c r="AD15" i="15"/>
  <c r="AD14" i="15"/>
  <c r="AD13" i="15"/>
  <c r="AD22" i="15"/>
  <c r="AD18" i="15"/>
  <c r="AD19" i="15"/>
  <c r="AD24" i="14"/>
  <c r="AD27" i="14"/>
  <c r="AD23" i="14"/>
  <c r="AD22" i="14"/>
  <c r="AD26" i="14"/>
  <c r="AD21" i="14"/>
  <c r="AD20" i="14"/>
  <c r="AD19" i="14"/>
  <c r="AD18" i="14"/>
  <c r="AD17" i="14"/>
  <c r="AD15" i="14"/>
  <c r="AD14" i="14"/>
  <c r="AD28" i="14"/>
  <c r="AD16" i="14"/>
  <c r="AD25" i="14"/>
  <c r="AD13" i="14"/>
  <c r="AD26" i="13"/>
  <c r="AD14" i="13"/>
  <c r="AD25" i="13"/>
  <c r="AD13" i="13"/>
  <c r="AD17" i="13"/>
  <c r="AD24" i="13"/>
  <c r="AD27" i="13"/>
  <c r="AD23" i="13"/>
  <c r="AD22" i="13"/>
  <c r="AD16" i="13"/>
  <c r="AD21" i="13"/>
  <c r="AD20" i="13"/>
  <c r="AD19" i="13"/>
  <c r="AD15" i="13"/>
  <c r="AD18" i="13"/>
  <c r="AD18" i="12"/>
  <c r="AD17" i="12"/>
  <c r="AD16" i="12"/>
  <c r="AD15" i="12"/>
  <c r="AD13" i="12"/>
  <c r="AD14" i="12"/>
  <c r="AD20" i="12"/>
  <c r="AD21" i="12"/>
  <c r="AD19" i="12"/>
  <c r="AD22" i="11"/>
  <c r="AD19" i="11"/>
  <c r="AD21" i="11"/>
  <c r="AD13" i="11"/>
  <c r="AD20" i="11"/>
  <c r="AD14" i="11"/>
  <c r="AD18" i="11"/>
  <c r="AD16" i="11"/>
  <c r="AD17" i="11"/>
  <c r="AD15" i="11"/>
  <c r="AD32" i="10"/>
  <c r="AD20" i="10"/>
  <c r="AD14" i="9"/>
  <c r="AD31" i="10"/>
  <c r="AD19" i="10"/>
  <c r="AD13" i="9"/>
  <c r="AD30" i="10"/>
  <c r="AD18" i="10"/>
  <c r="AD24" i="9"/>
  <c r="AD29" i="10"/>
  <c r="AD17" i="10"/>
  <c r="AD23" i="9"/>
  <c r="AD21" i="9"/>
  <c r="AD28" i="10"/>
  <c r="AD16" i="10"/>
  <c r="AD22" i="9"/>
  <c r="AD27" i="10"/>
  <c r="AD15" i="10"/>
  <c r="AD26" i="10"/>
  <c r="AD14" i="10"/>
  <c r="AD20" i="9"/>
  <c r="AD25" i="10"/>
  <c r="AD13" i="10"/>
  <c r="AD19" i="9"/>
  <c r="AD17" i="9"/>
  <c r="AD24" i="10"/>
  <c r="AD18" i="9"/>
  <c r="AD23" i="10"/>
  <c r="AD22" i="10"/>
  <c r="AD16" i="9"/>
  <c r="AD21" i="10"/>
  <c r="AD15" i="9"/>
  <c r="AD20" i="7"/>
  <c r="AD19" i="7"/>
  <c r="AD18" i="7"/>
  <c r="AD17" i="7"/>
  <c r="AD14" i="7"/>
  <c r="AD16" i="7"/>
  <c r="AD15" i="7"/>
  <c r="AD13" i="7"/>
  <c r="AD21" i="7"/>
  <c r="AD22" i="7"/>
  <c r="AD12" i="5"/>
  <c r="AD6" i="5"/>
  <c r="AD13" i="5"/>
  <c r="AD11" i="5"/>
  <c r="AF14" i="5"/>
  <c r="X69" i="18" l="1"/>
  <c r="AL20" i="5"/>
  <c r="AL41" i="19"/>
  <c r="AM41" i="19" s="1"/>
  <c r="AL38" i="19"/>
  <c r="AG31" i="5"/>
  <c r="AF13" i="10"/>
  <c r="AF34" i="10" s="1"/>
  <c r="AF20" i="13"/>
  <c r="AF29" i="13" s="1"/>
  <c r="AF18" i="18"/>
  <c r="AF24" i="18"/>
  <c r="AG24" i="18" s="1"/>
  <c r="AF14" i="9"/>
  <c r="AF26" i="9" s="1"/>
  <c r="AF33" i="19"/>
  <c r="AG33" i="19" s="1"/>
  <c r="AF29" i="14"/>
  <c r="AF31" i="14" s="1"/>
  <c r="AG29" i="5"/>
  <c r="AG14" i="17"/>
  <c r="AC26" i="18"/>
  <c r="AC15" i="19"/>
  <c r="AC25" i="18"/>
  <c r="AC29" i="13"/>
  <c r="AD24" i="18"/>
  <c r="AC34" i="10"/>
  <c r="AC31" i="14"/>
  <c r="AC66" i="18"/>
  <c r="AC14" i="19"/>
  <c r="AC20" i="18"/>
  <c r="AC19" i="18"/>
  <c r="AC26" i="9"/>
  <c r="Z41" i="19"/>
  <c r="AA41" i="19" s="1"/>
  <c r="Z20" i="5"/>
  <c r="Z38" i="19"/>
  <c r="W36" i="19"/>
  <c r="W40" i="19"/>
  <c r="X40" i="19" s="1"/>
  <c r="X27" i="19"/>
  <c r="X36" i="19" s="1"/>
  <c r="X19" i="5"/>
  <c r="T36" i="19"/>
  <c r="T40" i="19"/>
  <c r="U40" i="19" s="1"/>
  <c r="U27" i="19"/>
  <c r="U36" i="19" s="1"/>
  <c r="U19" i="5"/>
  <c r="Q41" i="19"/>
  <c r="R41" i="19" s="1"/>
  <c r="Q20" i="5"/>
  <c r="Q38" i="19"/>
  <c r="N41" i="19"/>
  <c r="O41" i="19" s="1"/>
  <c r="N20" i="5"/>
  <c r="N38" i="19"/>
  <c r="L19" i="5"/>
  <c r="K40" i="19"/>
  <c r="L40" i="19" s="1"/>
  <c r="K36" i="19"/>
  <c r="L27" i="19"/>
  <c r="L36" i="19" s="1"/>
  <c r="AO20" i="5"/>
  <c r="AO41" i="19"/>
  <c r="AP41" i="19" s="1"/>
  <c r="AO38" i="19"/>
  <c r="H41" i="19"/>
  <c r="I41" i="19" s="1"/>
  <c r="H20" i="5"/>
  <c r="H38" i="19"/>
  <c r="E40" i="19"/>
  <c r="E36" i="19"/>
  <c r="F27" i="19"/>
  <c r="F6" i="18"/>
  <c r="K30" i="5"/>
  <c r="L6" i="7"/>
  <c r="L25" i="7"/>
  <c r="N25" i="7"/>
  <c r="O23" i="7"/>
  <c r="H34" i="5"/>
  <c r="I30" i="5"/>
  <c r="I34" i="5" s="1"/>
  <c r="F31" i="19"/>
  <c r="AD57" i="18"/>
  <c r="AD39" i="18"/>
  <c r="AD51" i="18"/>
  <c r="AD15" i="18"/>
  <c r="AD33" i="18"/>
  <c r="AD45" i="18"/>
  <c r="AD63" i="18"/>
  <c r="AG38" i="5"/>
  <c r="AG48" i="18"/>
  <c r="AG35" i="19"/>
  <c r="AG34" i="19"/>
  <c r="AG42" i="18"/>
  <c r="AG32" i="19"/>
  <c r="AG30" i="19"/>
  <c r="AG60" i="18"/>
  <c r="AG36" i="18"/>
  <c r="AG12" i="18"/>
  <c r="AG29" i="19"/>
  <c r="AG28" i="19"/>
  <c r="AG54" i="18"/>
  <c r="AG30" i="18"/>
  <c r="AG55" i="18"/>
  <c r="AG14" i="18"/>
  <c r="AG37" i="18"/>
  <c r="AG61" i="18"/>
  <c r="AG56" i="18"/>
  <c r="AG13" i="19"/>
  <c r="AG43" i="18"/>
  <c r="AG44" i="18"/>
  <c r="AG17" i="19"/>
  <c r="AG21" i="19"/>
  <c r="AG50" i="18"/>
  <c r="AG32" i="18"/>
  <c r="AG16" i="19"/>
  <c r="AG18" i="19"/>
  <c r="AG31" i="18"/>
  <c r="AG19" i="19"/>
  <c r="AG13" i="18"/>
  <c r="AG38" i="18"/>
  <c r="AG49" i="18"/>
  <c r="AG20" i="19"/>
  <c r="AG62" i="18"/>
  <c r="AG16" i="5"/>
  <c r="AD24" i="15"/>
  <c r="AD29" i="13"/>
  <c r="AD31" i="14"/>
  <c r="AD24" i="11"/>
  <c r="AG6" i="5"/>
  <c r="AF22" i="17"/>
  <c r="AG22" i="17" s="1"/>
  <c r="AG18" i="16"/>
  <c r="AG14" i="16"/>
  <c r="AG17" i="16"/>
  <c r="AG15" i="16"/>
  <c r="AG22" i="16"/>
  <c r="AG16" i="16"/>
  <c r="AG20" i="16"/>
  <c r="AG19" i="16"/>
  <c r="AG21" i="16"/>
  <c r="AG18" i="15"/>
  <c r="AG20" i="15"/>
  <c r="AG17" i="15"/>
  <c r="AG14" i="15"/>
  <c r="AG19" i="15"/>
  <c r="AG16" i="15"/>
  <c r="AG15" i="15"/>
  <c r="AG21" i="15"/>
  <c r="AG13" i="15"/>
  <c r="AG22" i="15"/>
  <c r="AG19" i="14"/>
  <c r="AG18" i="14"/>
  <c r="AG17" i="14"/>
  <c r="AG22" i="14"/>
  <c r="AG28" i="14"/>
  <c r="AG16" i="14"/>
  <c r="AG27" i="14"/>
  <c r="AG15" i="14"/>
  <c r="AG26" i="14"/>
  <c r="AG14" i="14"/>
  <c r="AG25" i="14"/>
  <c r="AG13" i="14"/>
  <c r="AG24" i="14"/>
  <c r="AG23" i="14"/>
  <c r="AG21" i="14"/>
  <c r="AG20" i="14"/>
  <c r="AG23" i="13"/>
  <c r="AG22" i="13"/>
  <c r="AG21" i="13"/>
  <c r="AG19" i="13"/>
  <c r="AG18" i="13"/>
  <c r="AG17" i="13"/>
  <c r="AG16" i="13"/>
  <c r="AG27" i="13"/>
  <c r="AG15" i="13"/>
  <c r="AG13" i="13"/>
  <c r="AG26" i="13"/>
  <c r="AG14" i="13"/>
  <c r="AG25" i="13"/>
  <c r="AG24" i="13"/>
  <c r="AG21" i="12"/>
  <c r="AG20" i="12"/>
  <c r="AG16" i="12"/>
  <c r="AG19" i="12"/>
  <c r="AG18" i="12"/>
  <c r="AG17" i="12"/>
  <c r="AG15" i="12"/>
  <c r="AG14" i="12"/>
  <c r="AG13" i="12"/>
  <c r="AG21" i="11"/>
  <c r="AG22" i="11"/>
  <c r="AG18" i="11"/>
  <c r="AG20" i="11"/>
  <c r="AG19" i="11"/>
  <c r="AG16" i="11"/>
  <c r="AG17" i="11"/>
  <c r="AG14" i="11"/>
  <c r="AG15" i="11"/>
  <c r="AG13" i="11"/>
  <c r="AG24" i="10"/>
  <c r="AG14" i="9"/>
  <c r="AG23" i="10"/>
  <c r="AG13" i="9"/>
  <c r="AG21" i="9"/>
  <c r="AG22" i="10"/>
  <c r="AG24" i="9"/>
  <c r="AG21" i="10"/>
  <c r="AG23" i="9"/>
  <c r="AG32" i="10"/>
  <c r="AG20" i="10"/>
  <c r="AG22" i="9"/>
  <c r="AG31" i="10"/>
  <c r="AG19" i="10"/>
  <c r="AG30" i="10"/>
  <c r="AG18" i="10"/>
  <c r="AG20" i="9"/>
  <c r="AG29" i="10"/>
  <c r="AG17" i="10"/>
  <c r="AG19" i="9"/>
  <c r="AG28" i="10"/>
  <c r="AG16" i="10"/>
  <c r="AG18" i="9"/>
  <c r="AG17" i="9"/>
  <c r="AG27" i="10"/>
  <c r="AG15" i="10"/>
  <c r="AG26" i="10"/>
  <c r="AG14" i="10"/>
  <c r="AG16" i="9"/>
  <c r="AG25" i="10"/>
  <c r="AG13" i="10"/>
  <c r="AG15" i="9"/>
  <c r="AG20" i="7"/>
  <c r="AG13" i="7"/>
  <c r="AG19" i="7"/>
  <c r="AG18" i="7"/>
  <c r="AG17" i="7"/>
  <c r="AG22" i="7"/>
  <c r="AG16" i="7"/>
  <c r="AG14" i="7"/>
  <c r="AG15" i="7"/>
  <c r="AG21" i="7"/>
  <c r="AD26" i="9"/>
  <c r="AD34" i="10"/>
  <c r="AD23" i="12"/>
  <c r="AD16" i="17"/>
  <c r="AD14" i="5"/>
  <c r="AG11" i="5"/>
  <c r="AG13" i="5"/>
  <c r="AG12" i="5"/>
  <c r="AC21" i="18" l="1"/>
  <c r="AG29" i="14"/>
  <c r="AG20" i="13"/>
  <c r="AM6" i="19"/>
  <c r="AM38" i="19"/>
  <c r="AM20" i="5"/>
  <c r="AL21" i="5"/>
  <c r="AF33" i="5"/>
  <c r="AG33" i="5" s="1"/>
  <c r="AG6" i="14"/>
  <c r="AF27" i="5"/>
  <c r="AG27" i="5" s="1"/>
  <c r="AG6" i="9"/>
  <c r="AF26" i="18"/>
  <c r="AG26" i="18" s="1"/>
  <c r="AF25" i="18"/>
  <c r="AG25" i="18" s="1"/>
  <c r="AF15" i="19"/>
  <c r="AG15" i="19" s="1"/>
  <c r="AF66" i="18"/>
  <c r="AF19" i="18"/>
  <c r="AF20" i="18"/>
  <c r="AF14" i="19"/>
  <c r="AF32" i="5"/>
  <c r="AG32" i="5" s="1"/>
  <c r="AG6" i="13"/>
  <c r="AF28" i="5"/>
  <c r="AG28" i="5" s="1"/>
  <c r="AG6" i="10"/>
  <c r="AG18" i="18"/>
  <c r="AD66" i="18"/>
  <c r="AC33" i="5"/>
  <c r="AD33" i="5" s="1"/>
  <c r="AD6" i="14"/>
  <c r="AC28" i="5"/>
  <c r="AD28" i="5" s="1"/>
  <c r="AD6" i="10"/>
  <c r="AC27" i="5"/>
  <c r="AD27" i="5" s="1"/>
  <c r="AD6" i="9"/>
  <c r="AC32" i="5"/>
  <c r="AD32" i="5" s="1"/>
  <c r="AD6" i="13"/>
  <c r="AC67" i="18"/>
  <c r="AD19" i="18"/>
  <c r="AC27" i="18"/>
  <c r="AD25" i="18"/>
  <c r="AD27" i="18" s="1"/>
  <c r="AC68" i="18"/>
  <c r="AD20" i="18"/>
  <c r="AD15" i="19"/>
  <c r="AC23" i="19"/>
  <c r="AD14" i="19"/>
  <c r="AD23" i="19" s="1"/>
  <c r="AD26" i="18"/>
  <c r="AA6" i="19"/>
  <c r="AA38" i="19"/>
  <c r="AA20" i="5"/>
  <c r="Z21" i="5"/>
  <c r="W41" i="19"/>
  <c r="X41" i="19" s="1"/>
  <c r="W20" i="5"/>
  <c r="W38" i="19"/>
  <c r="T20" i="5"/>
  <c r="T41" i="19"/>
  <c r="U41" i="19" s="1"/>
  <c r="T38" i="19"/>
  <c r="R6" i="19"/>
  <c r="R38" i="19"/>
  <c r="R20" i="5"/>
  <c r="Q21" i="5"/>
  <c r="O6" i="19"/>
  <c r="O38" i="19"/>
  <c r="N21" i="5"/>
  <c r="O20" i="5"/>
  <c r="K20" i="5"/>
  <c r="K41" i="19"/>
  <c r="L41" i="19" s="1"/>
  <c r="K38" i="19"/>
  <c r="AN7" i="19"/>
  <c r="B9" i="19"/>
  <c r="AP6" i="19"/>
  <c r="AP38" i="19"/>
  <c r="AP20" i="5"/>
  <c r="AO21" i="5"/>
  <c r="I6" i="19"/>
  <c r="I38" i="19"/>
  <c r="I20" i="5"/>
  <c r="H21" i="5"/>
  <c r="K34" i="5"/>
  <c r="L30" i="5"/>
  <c r="L34" i="5" s="1"/>
  <c r="F36" i="19"/>
  <c r="E20" i="5"/>
  <c r="E41" i="19"/>
  <c r="E38" i="19"/>
  <c r="F40" i="19"/>
  <c r="N30" i="5"/>
  <c r="O6" i="7"/>
  <c r="O25" i="7"/>
  <c r="Q25" i="7"/>
  <c r="R23" i="7"/>
  <c r="AG51" i="18"/>
  <c r="AG16" i="17"/>
  <c r="AG45" i="18"/>
  <c r="AG33" i="18"/>
  <c r="AG63" i="18"/>
  <c r="AG39" i="18"/>
  <c r="AG15" i="18"/>
  <c r="AG57" i="18"/>
  <c r="AG23" i="12"/>
  <c r="AG24" i="15"/>
  <c r="AG24" i="11"/>
  <c r="AG29" i="13"/>
  <c r="AG34" i="10"/>
  <c r="AG31" i="14"/>
  <c r="AG26" i="9"/>
  <c r="AG14" i="5"/>
  <c r="AI14" i="5"/>
  <c r="AG27" i="18" l="1"/>
  <c r="AF27" i="18"/>
  <c r="AD21" i="18"/>
  <c r="AM21" i="5"/>
  <c r="AL23" i="5"/>
  <c r="AI18" i="18"/>
  <c r="AI20" i="13"/>
  <c r="AJ29" i="5"/>
  <c r="AI14" i="9"/>
  <c r="AI29" i="14"/>
  <c r="AI13" i="10"/>
  <c r="AJ31" i="5"/>
  <c r="AI33" i="19"/>
  <c r="AR33" i="19" s="1"/>
  <c r="AI24" i="18"/>
  <c r="AJ14" i="17"/>
  <c r="AF23" i="19"/>
  <c r="AG14" i="19"/>
  <c r="AG23" i="19" s="1"/>
  <c r="AF68" i="18"/>
  <c r="AG20" i="18"/>
  <c r="AF67" i="18"/>
  <c r="AG19" i="18"/>
  <c r="AG21" i="18" s="1"/>
  <c r="AF69" i="18"/>
  <c r="AG6" i="18" s="1"/>
  <c r="AG66" i="18"/>
  <c r="AF21" i="18"/>
  <c r="AC27" i="19"/>
  <c r="AD67" i="18"/>
  <c r="AC19" i="5"/>
  <c r="AC69" i="18"/>
  <c r="AC31" i="19"/>
  <c r="AD68" i="18"/>
  <c r="AA21" i="5"/>
  <c r="Z23" i="5"/>
  <c r="X6" i="19"/>
  <c r="X38" i="19"/>
  <c r="X20" i="5"/>
  <c r="W21" i="5"/>
  <c r="U6" i="19"/>
  <c r="U38" i="19"/>
  <c r="U20" i="5"/>
  <c r="T21" i="5"/>
  <c r="R21" i="5"/>
  <c r="Q23" i="5"/>
  <c r="O21" i="5"/>
  <c r="N23" i="5"/>
  <c r="L6" i="19"/>
  <c r="L38" i="19"/>
  <c r="L20" i="5"/>
  <c r="K21" i="5"/>
  <c r="AP21" i="5"/>
  <c r="AO23" i="5"/>
  <c r="I21" i="5"/>
  <c r="H23" i="5"/>
  <c r="T25" i="7"/>
  <c r="U23" i="7"/>
  <c r="N34" i="5"/>
  <c r="O30" i="5"/>
  <c r="O34" i="5" s="1"/>
  <c r="F6" i="19"/>
  <c r="F38" i="19"/>
  <c r="E21" i="5"/>
  <c r="F20" i="5"/>
  <c r="F41" i="19"/>
  <c r="R6" i="7"/>
  <c r="Q30" i="5"/>
  <c r="R25" i="7"/>
  <c r="AJ38" i="5"/>
  <c r="AJ30" i="19"/>
  <c r="AJ18" i="18"/>
  <c r="AJ36" i="18"/>
  <c r="AJ32" i="19"/>
  <c r="AJ29" i="19"/>
  <c r="AJ60" i="18"/>
  <c r="AJ28" i="19"/>
  <c r="AJ12" i="18"/>
  <c r="AJ54" i="18"/>
  <c r="AJ30" i="18"/>
  <c r="AJ48" i="18"/>
  <c r="AJ35" i="19"/>
  <c r="AJ34" i="19"/>
  <c r="AJ42" i="18"/>
  <c r="AJ18" i="19"/>
  <c r="AJ32" i="18"/>
  <c r="AJ37" i="18"/>
  <c r="AJ43" i="18"/>
  <c r="AJ44" i="18"/>
  <c r="AJ50" i="18"/>
  <c r="AJ61" i="18"/>
  <c r="AJ49" i="18"/>
  <c r="AJ21" i="19"/>
  <c r="AJ13" i="19"/>
  <c r="AJ16" i="19"/>
  <c r="AJ31" i="18"/>
  <c r="AJ56" i="18"/>
  <c r="AJ17" i="19"/>
  <c r="AJ14" i="18"/>
  <c r="AJ20" i="19"/>
  <c r="AJ13" i="18"/>
  <c r="AJ38" i="18"/>
  <c r="AJ19" i="19"/>
  <c r="AJ62" i="18"/>
  <c r="AJ55" i="18"/>
  <c r="AJ16" i="5"/>
  <c r="AJ12" i="5"/>
  <c r="AI22" i="17"/>
  <c r="AJ22" i="17" s="1"/>
  <c r="AJ19" i="16"/>
  <c r="AJ22" i="16"/>
  <c r="AJ18" i="16"/>
  <c r="AJ17" i="16"/>
  <c r="AJ16" i="16"/>
  <c r="AJ14" i="16"/>
  <c r="AJ15" i="16"/>
  <c r="AJ21" i="16"/>
  <c r="AJ20" i="16"/>
  <c r="AJ19" i="15"/>
  <c r="AJ13" i="15"/>
  <c r="AJ18" i="15"/>
  <c r="AJ17" i="15"/>
  <c r="AJ15" i="15"/>
  <c r="AJ16" i="15"/>
  <c r="AJ22" i="15"/>
  <c r="AJ21" i="15"/>
  <c r="AJ14" i="15"/>
  <c r="AJ20" i="15"/>
  <c r="AJ26" i="14"/>
  <c r="AJ14" i="14"/>
  <c r="AJ28" i="14"/>
  <c r="AJ25" i="14"/>
  <c r="AJ13" i="14"/>
  <c r="AJ29" i="14"/>
  <c r="AJ24" i="14"/>
  <c r="AJ23" i="14"/>
  <c r="AJ22" i="14"/>
  <c r="AJ21" i="14"/>
  <c r="AJ16" i="14"/>
  <c r="AJ20" i="14"/>
  <c r="AJ19" i="14"/>
  <c r="AJ18" i="14"/>
  <c r="AJ17" i="14"/>
  <c r="AJ27" i="14"/>
  <c r="AJ15" i="14"/>
  <c r="AJ20" i="13"/>
  <c r="AJ19" i="13"/>
  <c r="AJ18" i="13"/>
  <c r="AJ17" i="13"/>
  <c r="AJ22" i="13"/>
  <c r="AJ16" i="13"/>
  <c r="AJ27" i="13"/>
  <c r="AJ15" i="13"/>
  <c r="AJ21" i="13"/>
  <c r="AJ26" i="13"/>
  <c r="AJ14" i="13"/>
  <c r="AJ25" i="13"/>
  <c r="AJ13" i="13"/>
  <c r="AJ24" i="13"/>
  <c r="AJ23" i="13"/>
  <c r="AJ19" i="12"/>
  <c r="AJ16" i="12"/>
  <c r="AJ14" i="12"/>
  <c r="AJ18" i="12"/>
  <c r="AJ15" i="12"/>
  <c r="AJ21" i="12"/>
  <c r="AJ20" i="12"/>
  <c r="AJ17" i="12"/>
  <c r="AJ13" i="12"/>
  <c r="AJ14" i="11"/>
  <c r="AJ17" i="11"/>
  <c r="AJ13" i="11"/>
  <c r="AJ20" i="11"/>
  <c r="AJ18" i="11"/>
  <c r="AJ15" i="11"/>
  <c r="AJ22" i="11"/>
  <c r="AJ21" i="11"/>
  <c r="AJ16" i="11"/>
  <c r="AJ19" i="11"/>
  <c r="AJ28" i="10"/>
  <c r="AJ16" i="10"/>
  <c r="AJ14" i="9"/>
  <c r="AJ21" i="9"/>
  <c r="AJ27" i="10"/>
  <c r="AJ15" i="10"/>
  <c r="AJ13" i="9"/>
  <c r="AJ26" i="10"/>
  <c r="AJ14" i="10"/>
  <c r="AJ24" i="9"/>
  <c r="AJ25" i="10"/>
  <c r="AJ13" i="10"/>
  <c r="AJ23" i="9"/>
  <c r="AJ24" i="10"/>
  <c r="AJ22" i="9"/>
  <c r="AJ17" i="9"/>
  <c r="AJ23" i="10"/>
  <c r="AJ22" i="10"/>
  <c r="AJ20" i="9"/>
  <c r="AJ21" i="10"/>
  <c r="AJ19" i="9"/>
  <c r="AJ32" i="10"/>
  <c r="AJ20" i="10"/>
  <c r="AJ18" i="9"/>
  <c r="AJ31" i="10"/>
  <c r="AJ19" i="10"/>
  <c r="AJ30" i="10"/>
  <c r="AJ18" i="10"/>
  <c r="AJ16" i="9"/>
  <c r="AJ29" i="10"/>
  <c r="AJ17" i="10"/>
  <c r="AJ15" i="9"/>
  <c r="AJ20" i="7"/>
  <c r="AJ14" i="7"/>
  <c r="AJ19" i="7"/>
  <c r="AJ18" i="7"/>
  <c r="AJ15" i="7"/>
  <c r="AJ13" i="7"/>
  <c r="AJ17" i="7"/>
  <c r="AJ16" i="7"/>
  <c r="AJ21" i="7"/>
  <c r="AJ22" i="7"/>
  <c r="AR14" i="5"/>
  <c r="AJ11" i="5"/>
  <c r="AJ6" i="5"/>
  <c r="AJ13" i="5"/>
  <c r="AD69" i="18" l="1"/>
  <c r="AM23" i="5"/>
  <c r="AL25" i="5"/>
  <c r="AM25" i="5" s="1"/>
  <c r="AI15" i="19"/>
  <c r="AI25" i="18"/>
  <c r="AI26" i="18"/>
  <c r="AI27" i="18"/>
  <c r="AR24" i="18"/>
  <c r="AI34" i="10"/>
  <c r="AR13" i="10"/>
  <c r="AR34" i="10" s="1"/>
  <c r="AJ33" i="19"/>
  <c r="AI31" i="14"/>
  <c r="AR29" i="14"/>
  <c r="AR31" i="14" s="1"/>
  <c r="AI26" i="9"/>
  <c r="AR14" i="9"/>
  <c r="AR26" i="9" s="1"/>
  <c r="AJ24" i="18"/>
  <c r="AI29" i="13"/>
  <c r="AR20" i="13"/>
  <c r="AR29" i="13" s="1"/>
  <c r="AI19" i="18"/>
  <c r="AI20" i="18"/>
  <c r="AI66" i="18"/>
  <c r="AI14" i="19"/>
  <c r="AI21" i="18"/>
  <c r="AR18" i="18"/>
  <c r="AF27" i="19"/>
  <c r="AG67" i="18"/>
  <c r="AF31" i="19"/>
  <c r="AG31" i="19" s="1"/>
  <c r="AG68" i="18"/>
  <c r="AF19" i="5"/>
  <c r="AD31" i="19"/>
  <c r="AD19" i="5"/>
  <c r="AD6" i="18"/>
  <c r="AC40" i="19"/>
  <c r="AC36" i="19"/>
  <c r="AD27" i="19"/>
  <c r="AD36" i="19" s="1"/>
  <c r="AA23" i="5"/>
  <c r="Z25" i="5"/>
  <c r="AA25" i="5" s="1"/>
  <c r="X21" i="5"/>
  <c r="W23" i="5"/>
  <c r="T23" i="5"/>
  <c r="U21" i="5"/>
  <c r="R23" i="5"/>
  <c r="Q25" i="5"/>
  <c r="R25" i="5" s="1"/>
  <c r="N25" i="5"/>
  <c r="O25" i="5" s="1"/>
  <c r="O23" i="5"/>
  <c r="L21" i="5"/>
  <c r="K23" i="5"/>
  <c r="AP23" i="5"/>
  <c r="AO25" i="5"/>
  <c r="AP25" i="5" s="1"/>
  <c r="H25" i="5"/>
  <c r="I23" i="5"/>
  <c r="F21" i="5"/>
  <c r="E23" i="5"/>
  <c r="Q34" i="5"/>
  <c r="R30" i="5"/>
  <c r="R34" i="5" s="1"/>
  <c r="AS29" i="5"/>
  <c r="AS31" i="5"/>
  <c r="T30" i="5"/>
  <c r="U6" i="7"/>
  <c r="U25" i="7"/>
  <c r="W25" i="7"/>
  <c r="X23" i="7"/>
  <c r="AJ33" i="18"/>
  <c r="AJ57" i="18"/>
  <c r="AF7" i="5"/>
  <c r="AS12" i="5"/>
  <c r="AJ63" i="18"/>
  <c r="AJ15" i="18"/>
  <c r="N7" i="5"/>
  <c r="AO7" i="5"/>
  <c r="AC7" i="5"/>
  <c r="K7" i="5"/>
  <c r="AJ45" i="18"/>
  <c r="AJ51" i="18"/>
  <c r="AS13" i="5"/>
  <c r="C9" i="5"/>
  <c r="AS6" i="5"/>
  <c r="W7" i="5"/>
  <c r="AJ39" i="18"/>
  <c r="AS38" i="5"/>
  <c r="AS16" i="5"/>
  <c r="H7" i="5"/>
  <c r="AS11" i="5"/>
  <c r="T7" i="5"/>
  <c r="AL7" i="5"/>
  <c r="Q7" i="5"/>
  <c r="Z7" i="5"/>
  <c r="AS19" i="19"/>
  <c r="AS16" i="19"/>
  <c r="AS17" i="19"/>
  <c r="AS20" i="19"/>
  <c r="AS18" i="19"/>
  <c r="AS21" i="19"/>
  <c r="AS13" i="19"/>
  <c r="AS60" i="18"/>
  <c r="AS34" i="19"/>
  <c r="AS29" i="19"/>
  <c r="AS36" i="18"/>
  <c r="AS33" i="19"/>
  <c r="AS32" i="19"/>
  <c r="AS38" i="18"/>
  <c r="AS44" i="18"/>
  <c r="AS54" i="18"/>
  <c r="AS30" i="19"/>
  <c r="AS12" i="18"/>
  <c r="AS35" i="19"/>
  <c r="AS30" i="18"/>
  <c r="AS50" i="18"/>
  <c r="AS32" i="18"/>
  <c r="AS62" i="18"/>
  <c r="AS48" i="18"/>
  <c r="AS28" i="19"/>
  <c r="AS42" i="18"/>
  <c r="AS31" i="18"/>
  <c r="AS56" i="18"/>
  <c r="AS55" i="18"/>
  <c r="AS37" i="18"/>
  <c r="AS13" i="18"/>
  <c r="AS43" i="18"/>
  <c r="AS49" i="18"/>
  <c r="AS61" i="18"/>
  <c r="AS14" i="18"/>
  <c r="AJ26" i="9"/>
  <c r="AJ31" i="14"/>
  <c r="AJ24" i="11"/>
  <c r="AJ24" i="15"/>
  <c r="AJ34" i="10"/>
  <c r="AJ23" i="12"/>
  <c r="AJ16" i="17"/>
  <c r="AJ29" i="13"/>
  <c r="AS11" i="17"/>
  <c r="AS12" i="17"/>
  <c r="AS13" i="17"/>
  <c r="AR22" i="17"/>
  <c r="AS20" i="16"/>
  <c r="AS21" i="16"/>
  <c r="AS19" i="16"/>
  <c r="AS22" i="16"/>
  <c r="AS18" i="16"/>
  <c r="AS14" i="16"/>
  <c r="AS16" i="16"/>
  <c r="AS15" i="16"/>
  <c r="AS17" i="16"/>
  <c r="AS22" i="15"/>
  <c r="AS18" i="15"/>
  <c r="AS20" i="15"/>
  <c r="AS16" i="15"/>
  <c r="AS17" i="15"/>
  <c r="AS21" i="15"/>
  <c r="AS14" i="15"/>
  <c r="AS15" i="15"/>
  <c r="AS19" i="15"/>
  <c r="AS13" i="15"/>
  <c r="AS19" i="14"/>
  <c r="AS20" i="14"/>
  <c r="AS28" i="14"/>
  <c r="AS17" i="14"/>
  <c r="AS16" i="14"/>
  <c r="AS18" i="14"/>
  <c r="AS21" i="14"/>
  <c r="AS25" i="14"/>
  <c r="AS24" i="14"/>
  <c r="AS23" i="14"/>
  <c r="AS22" i="14"/>
  <c r="AS26" i="14"/>
  <c r="AS13" i="14"/>
  <c r="AS27" i="14"/>
  <c r="AS14" i="14"/>
  <c r="AS15" i="14"/>
  <c r="AS21" i="13"/>
  <c r="AS22" i="13"/>
  <c r="AS19" i="13"/>
  <c r="AS23" i="13"/>
  <c r="AS24" i="13"/>
  <c r="AS25" i="13"/>
  <c r="AS14" i="13"/>
  <c r="AS26" i="13"/>
  <c r="AS15" i="13"/>
  <c r="AS27" i="13"/>
  <c r="AS16" i="13"/>
  <c r="AS17" i="13"/>
  <c r="AS20" i="13"/>
  <c r="AS18" i="13"/>
  <c r="AS13" i="13"/>
  <c r="AS18" i="12"/>
  <c r="AS19" i="12"/>
  <c r="AS20" i="12"/>
  <c r="AS21" i="12"/>
  <c r="AS13" i="12"/>
  <c r="AS15" i="12"/>
  <c r="AS14" i="12"/>
  <c r="AS16" i="12"/>
  <c r="AS17" i="12"/>
  <c r="AS15" i="11"/>
  <c r="AS22" i="11"/>
  <c r="AS16" i="11"/>
  <c r="AS17" i="11"/>
  <c r="AS18" i="11"/>
  <c r="AS19" i="11"/>
  <c r="AS14" i="11"/>
  <c r="AS20" i="11"/>
  <c r="AS21" i="11"/>
  <c r="AS13" i="11"/>
  <c r="AS21" i="10"/>
  <c r="AS22" i="10"/>
  <c r="AS23" i="10"/>
  <c r="AS24" i="10"/>
  <c r="AS25" i="10"/>
  <c r="AS14" i="10"/>
  <c r="AS26" i="10"/>
  <c r="AS15" i="10"/>
  <c r="AS27" i="10"/>
  <c r="AS16" i="10"/>
  <c r="AS28" i="10"/>
  <c r="AS17" i="10"/>
  <c r="AS29" i="10"/>
  <c r="AS18" i="10"/>
  <c r="AS30" i="10"/>
  <c r="AS19" i="10"/>
  <c r="AS31" i="10"/>
  <c r="AS20" i="10"/>
  <c r="AS32" i="10"/>
  <c r="E7" i="5"/>
  <c r="AS20" i="9"/>
  <c r="AS19" i="9"/>
  <c r="AS17" i="9"/>
  <c r="AS21" i="9"/>
  <c r="AS23" i="9"/>
  <c r="AS22" i="9"/>
  <c r="AS16" i="9"/>
  <c r="AS13" i="9"/>
  <c r="AS15" i="9"/>
  <c r="AS18" i="9"/>
  <c r="AS24" i="9"/>
  <c r="AI7" i="5"/>
  <c r="AS17" i="7"/>
  <c r="AS16" i="7"/>
  <c r="AS15" i="7"/>
  <c r="AS14" i="7"/>
  <c r="AS13" i="7"/>
  <c r="AS22" i="7"/>
  <c r="AS21" i="7"/>
  <c r="AS20" i="7"/>
  <c r="AS19" i="7"/>
  <c r="AS18" i="7"/>
  <c r="AJ14" i="5"/>
  <c r="AG69" i="18" l="1"/>
  <c r="AS13" i="10"/>
  <c r="H7" i="9"/>
  <c r="AS6" i="9"/>
  <c r="AC7" i="9"/>
  <c r="AV7" i="9"/>
  <c r="BC7" i="9" s="1"/>
  <c r="E7" i="9"/>
  <c r="K7" i="9"/>
  <c r="AL7" i="9"/>
  <c r="Z7" i="9"/>
  <c r="T7" i="9"/>
  <c r="AO7" i="9"/>
  <c r="N7" i="9"/>
  <c r="AF7" i="9"/>
  <c r="Q7" i="9"/>
  <c r="W7" i="9"/>
  <c r="AI27" i="5"/>
  <c r="AJ27" i="5" s="1"/>
  <c r="AJ6" i="9"/>
  <c r="AI7" i="9"/>
  <c r="Z7" i="14"/>
  <c r="AC7" i="14"/>
  <c r="T7" i="14"/>
  <c r="Q7" i="14"/>
  <c r="W7" i="14"/>
  <c r="N7" i="14"/>
  <c r="AO7" i="14"/>
  <c r="K7" i="14"/>
  <c r="AV7" i="14"/>
  <c r="BC7" i="14" s="1"/>
  <c r="AF7" i="14"/>
  <c r="H7" i="14"/>
  <c r="E7" i="14"/>
  <c r="AS6" i="14"/>
  <c r="AL7" i="14"/>
  <c r="AI33" i="5"/>
  <c r="AJ33" i="5" s="1"/>
  <c r="AJ6" i="14"/>
  <c r="AI7" i="14"/>
  <c r="AI23" i="19"/>
  <c r="AJ14" i="19"/>
  <c r="AR14" i="19"/>
  <c r="AC7" i="10"/>
  <c r="AF7" i="10"/>
  <c r="Z7" i="10"/>
  <c r="H7" i="10"/>
  <c r="AR7" i="10"/>
  <c r="AL7" i="10"/>
  <c r="E7" i="10"/>
  <c r="T7" i="10"/>
  <c r="AO7" i="10"/>
  <c r="W7" i="10"/>
  <c r="K7" i="10"/>
  <c r="Q7" i="10"/>
  <c r="AS6" i="10"/>
  <c r="AW7" i="10"/>
  <c r="BD7" i="10" s="1"/>
  <c r="N7" i="10"/>
  <c r="AI69" i="18"/>
  <c r="AJ6" i="18" s="1"/>
  <c r="AR66" i="18"/>
  <c r="AS66" i="18" s="1"/>
  <c r="AJ66" i="18"/>
  <c r="AI28" i="5"/>
  <c r="AJ28" i="5" s="1"/>
  <c r="AJ6" i="10"/>
  <c r="AI7" i="10"/>
  <c r="AI68" i="18"/>
  <c r="AR20" i="18"/>
  <c r="AS20" i="18" s="1"/>
  <c r="AJ20" i="18"/>
  <c r="AI67" i="18"/>
  <c r="AR19" i="18"/>
  <c r="AS19" i="18" s="1"/>
  <c r="AJ19" i="18"/>
  <c r="AJ21" i="18" s="1"/>
  <c r="AR21" i="18"/>
  <c r="AS29" i="14"/>
  <c r="AS31" i="14" s="1"/>
  <c r="AV7" i="13"/>
  <c r="BC7" i="13" s="1"/>
  <c r="AO7" i="13"/>
  <c r="E7" i="13"/>
  <c r="W7" i="13"/>
  <c r="K7" i="13"/>
  <c r="AF7" i="13"/>
  <c r="AS6" i="13"/>
  <c r="N7" i="13"/>
  <c r="AC7" i="13"/>
  <c r="T7" i="13"/>
  <c r="Q7" i="13"/>
  <c r="AL7" i="13"/>
  <c r="H7" i="13"/>
  <c r="Z7" i="13"/>
  <c r="AR26" i="18"/>
  <c r="AS26" i="18" s="1"/>
  <c r="AJ26" i="18"/>
  <c r="AS14" i="9"/>
  <c r="AS26" i="9" s="1"/>
  <c r="AS18" i="18"/>
  <c r="AI32" i="5"/>
  <c r="AJ32" i="5" s="1"/>
  <c r="AJ6" i="13"/>
  <c r="AI7" i="13"/>
  <c r="AR25" i="18"/>
  <c r="AS25" i="18" s="1"/>
  <c r="AJ25" i="18"/>
  <c r="AJ27" i="18" s="1"/>
  <c r="AS24" i="18"/>
  <c r="AS27" i="18" s="1"/>
  <c r="AR15" i="19"/>
  <c r="AS15" i="19" s="1"/>
  <c r="AJ15" i="19"/>
  <c r="AG19" i="5"/>
  <c r="AF40" i="19"/>
  <c r="AG40" i="19" s="1"/>
  <c r="AF36" i="19"/>
  <c r="AG27" i="19"/>
  <c r="AG36" i="19" s="1"/>
  <c r="AC41" i="19"/>
  <c r="AC20" i="5"/>
  <c r="AC38" i="19"/>
  <c r="AD40" i="19"/>
  <c r="X23" i="5"/>
  <c r="W25" i="5"/>
  <c r="X25" i="5" s="1"/>
  <c r="U23" i="5"/>
  <c r="T25" i="5"/>
  <c r="U25" i="5" s="1"/>
  <c r="Q36" i="5"/>
  <c r="R36" i="5" s="1"/>
  <c r="N36" i="5"/>
  <c r="K25" i="5"/>
  <c r="L23" i="5"/>
  <c r="I25" i="5"/>
  <c r="H36" i="5"/>
  <c r="Z25" i="7"/>
  <c r="AA23" i="7"/>
  <c r="T34" i="5"/>
  <c r="U30" i="5"/>
  <c r="U34" i="5" s="1"/>
  <c r="F23" i="5"/>
  <c r="E25" i="5"/>
  <c r="W30" i="5"/>
  <c r="X6" i="7"/>
  <c r="X25" i="7"/>
  <c r="AS22" i="17"/>
  <c r="BC7" i="17"/>
  <c r="AS14" i="5"/>
  <c r="AS63" i="18"/>
  <c r="AS57" i="18"/>
  <c r="AS51" i="18"/>
  <c r="AS33" i="18"/>
  <c r="AS45" i="18"/>
  <c r="AS15" i="18"/>
  <c r="AS39" i="18"/>
  <c r="AS14" i="17"/>
  <c r="AS24" i="15"/>
  <c r="AR7" i="5"/>
  <c r="AS29" i="13"/>
  <c r="AS23" i="12"/>
  <c r="AS24" i="11"/>
  <c r="AS34" i="10"/>
  <c r="AS21" i="18" l="1"/>
  <c r="AJ23" i="19"/>
  <c r="T36" i="5"/>
  <c r="J27" i="21"/>
  <c r="AS33" i="5"/>
  <c r="AR7" i="14"/>
  <c r="AI27" i="19"/>
  <c r="AR67" i="18"/>
  <c r="AS67" i="18" s="1"/>
  <c r="AJ67" i="18"/>
  <c r="AR7" i="9"/>
  <c r="J26" i="21"/>
  <c r="AS32" i="5"/>
  <c r="AR27" i="18"/>
  <c r="J22" i="21"/>
  <c r="AS28" i="5"/>
  <c r="J21" i="21"/>
  <c r="AS27" i="5"/>
  <c r="AR23" i="19"/>
  <c r="AS14" i="19"/>
  <c r="AS23" i="19" s="1"/>
  <c r="AR7" i="13"/>
  <c r="AI31" i="19"/>
  <c r="AJ68" i="18"/>
  <c r="AR68" i="18"/>
  <c r="AI19" i="5"/>
  <c r="AF41" i="19"/>
  <c r="AG41" i="19" s="1"/>
  <c r="AF20" i="5"/>
  <c r="AF38" i="19"/>
  <c r="AD41" i="19"/>
  <c r="AD6" i="19"/>
  <c r="AD38" i="19"/>
  <c r="AD20" i="5"/>
  <c r="AC21" i="5"/>
  <c r="O36" i="5"/>
  <c r="L25" i="5"/>
  <c r="K36" i="5"/>
  <c r="I36" i="5"/>
  <c r="W34" i="5"/>
  <c r="W36" i="5" s="1"/>
  <c r="X30" i="5"/>
  <c r="X34" i="5" s="1"/>
  <c r="Z30" i="5"/>
  <c r="AA6" i="7"/>
  <c r="AA25" i="7"/>
  <c r="F25" i="5"/>
  <c r="E36" i="5"/>
  <c r="AC25" i="7"/>
  <c r="AD23" i="7"/>
  <c r="U36" i="5" l="1"/>
  <c r="AJ69" i="18"/>
  <c r="AI40" i="19"/>
  <c r="AI36" i="19"/>
  <c r="AJ27" i="19"/>
  <c r="AR27" i="19"/>
  <c r="AJ31" i="19"/>
  <c r="AR31" i="19"/>
  <c r="AS31" i="19" s="1"/>
  <c r="AR69" i="18"/>
  <c r="AS68" i="18"/>
  <c r="AS69" i="18" s="1"/>
  <c r="AJ19" i="5"/>
  <c r="AR19" i="5"/>
  <c r="AG6" i="19"/>
  <c r="AG38" i="19"/>
  <c r="AG20" i="5"/>
  <c r="AF21" i="5"/>
  <c r="AC23" i="5"/>
  <c r="AD21" i="5"/>
  <c r="L36" i="5"/>
  <c r="AF25" i="7"/>
  <c r="AG23" i="7"/>
  <c r="Z34" i="5"/>
  <c r="Z36" i="5" s="1"/>
  <c r="AA30" i="5"/>
  <c r="AA34" i="5" s="1"/>
  <c r="AC30" i="5"/>
  <c r="AD6" i="7"/>
  <c r="AD25" i="7"/>
  <c r="X36" i="5"/>
  <c r="F36" i="5"/>
  <c r="AJ36" i="19" l="1"/>
  <c r="AS19" i="5"/>
  <c r="AF7" i="18"/>
  <c r="N7" i="18"/>
  <c r="W7" i="18"/>
  <c r="AL7" i="18"/>
  <c r="AV7" i="18"/>
  <c r="BC7" i="18" s="1"/>
  <c r="H7" i="18"/>
  <c r="AC7" i="18"/>
  <c r="Q7" i="18"/>
  <c r="Z7" i="18"/>
  <c r="AS6" i="18"/>
  <c r="E7" i="18"/>
  <c r="AO7" i="18"/>
  <c r="K7" i="18"/>
  <c r="T7" i="18"/>
  <c r="AI7" i="18"/>
  <c r="AI41" i="19"/>
  <c r="AI20" i="5"/>
  <c r="AI38" i="19"/>
  <c r="AR36" i="19"/>
  <c r="AS27" i="19"/>
  <c r="AS36" i="19" s="1"/>
  <c r="AJ40" i="19"/>
  <c r="AR40" i="19"/>
  <c r="AS40" i="19" s="1"/>
  <c r="AF23" i="5"/>
  <c r="AG21" i="5"/>
  <c r="AD23" i="5"/>
  <c r="AC25" i="5"/>
  <c r="AD25" i="5" s="1"/>
  <c r="AC34" i="5"/>
  <c r="AC36" i="5" s="1"/>
  <c r="AD30" i="5"/>
  <c r="AD34" i="5" s="1"/>
  <c r="AA36" i="5"/>
  <c r="AF30" i="5"/>
  <c r="AG6" i="7"/>
  <c r="AG25" i="7"/>
  <c r="AI25" i="7"/>
  <c r="AJ23" i="7"/>
  <c r="AJ6" i="19" l="1"/>
  <c r="AJ38" i="19"/>
  <c r="AR7" i="18"/>
  <c r="AX20" i="5"/>
  <c r="AX19" i="5" s="1"/>
  <c r="AU19" i="5" s="1"/>
  <c r="AU20" i="5" s="1"/>
  <c r="AR20" i="5"/>
  <c r="AU36" i="19"/>
  <c r="AR38" i="19"/>
  <c r="AJ41" i="19"/>
  <c r="AR41" i="19"/>
  <c r="AS41" i="19" s="1"/>
  <c r="AJ20" i="5"/>
  <c r="AI21" i="5"/>
  <c r="AG23" i="5"/>
  <c r="AF25" i="5"/>
  <c r="AG25" i="5" s="1"/>
  <c r="AF34" i="5"/>
  <c r="AG30" i="5"/>
  <c r="AG34" i="5" s="1"/>
  <c r="AI30" i="5"/>
  <c r="AJ6" i="7"/>
  <c r="AJ25" i="7"/>
  <c r="AL25" i="7"/>
  <c r="AM23" i="7"/>
  <c r="AD36" i="5"/>
  <c r="AI23" i="5" l="1"/>
  <c r="AJ21" i="5"/>
  <c r="AS20" i="5"/>
  <c r="AR21" i="5"/>
  <c r="AL7" i="19"/>
  <c r="AS38" i="19"/>
  <c r="K7" i="19"/>
  <c r="W7" i="19"/>
  <c r="Z7" i="19"/>
  <c r="AV7" i="19"/>
  <c r="BC7" i="19" s="1"/>
  <c r="T7" i="19"/>
  <c r="H7" i="19"/>
  <c r="AC7" i="19"/>
  <c r="Q7" i="19"/>
  <c r="AO7" i="19"/>
  <c r="N7" i="19"/>
  <c r="E7" i="19"/>
  <c r="AS6" i="19"/>
  <c r="AF7" i="19"/>
  <c r="AI7" i="19"/>
  <c r="AF36" i="5"/>
  <c r="AI34" i="5"/>
  <c r="AJ30" i="5"/>
  <c r="AJ34" i="5" s="1"/>
  <c r="AL30" i="5"/>
  <c r="AM6" i="7"/>
  <c r="AM25" i="7"/>
  <c r="AO25" i="7"/>
  <c r="AR23" i="7"/>
  <c r="AP23" i="7"/>
  <c r="J112" i="21"/>
  <c r="J19" i="20"/>
  <c r="AG36" i="5" l="1"/>
  <c r="AR7" i="19"/>
  <c r="AR23" i="5"/>
  <c r="AS21" i="5"/>
  <c r="J16" i="21"/>
  <c r="J17" i="21" s="1"/>
  <c r="AJ23" i="5"/>
  <c r="AI25" i="5"/>
  <c r="AJ25" i="5" s="1"/>
  <c r="AR25" i="7"/>
  <c r="AO7" i="7" s="1"/>
  <c r="AS23" i="7"/>
  <c r="AS25" i="7" s="1"/>
  <c r="AO30" i="5"/>
  <c r="AP6" i="7"/>
  <c r="C9" i="7"/>
  <c r="AP25" i="7"/>
  <c r="AL34" i="5"/>
  <c r="AL36" i="5" s="1"/>
  <c r="AM30" i="5"/>
  <c r="AM34" i="5" s="1"/>
  <c r="J30" i="20"/>
  <c r="K19" i="20" s="1"/>
  <c r="K53" i="21"/>
  <c r="K102" i="21"/>
  <c r="K78" i="21"/>
  <c r="K104" i="21"/>
  <c r="K87" i="21"/>
  <c r="K89" i="21"/>
  <c r="AS23" i="5" l="1"/>
  <c r="AR25" i="5"/>
  <c r="AS25" i="5" s="1"/>
  <c r="AI36" i="5"/>
  <c r="AM36" i="5"/>
  <c r="AO34" i="5"/>
  <c r="AO36" i="5" s="1"/>
  <c r="AP30" i="5"/>
  <c r="AP34" i="5" s="1"/>
  <c r="AV7" i="7"/>
  <c r="BC7" i="7" s="1"/>
  <c r="AS6" i="7"/>
  <c r="E7" i="7"/>
  <c r="H7" i="7"/>
  <c r="K7" i="7"/>
  <c r="N7" i="7"/>
  <c r="Q7" i="7"/>
  <c r="T7" i="7"/>
  <c r="W7" i="7"/>
  <c r="Z7" i="7"/>
  <c r="AC7" i="7"/>
  <c r="AF7" i="7"/>
  <c r="AI7" i="7"/>
  <c r="AL7" i="7"/>
  <c r="K59" i="20"/>
  <c r="K23" i="20"/>
  <c r="K6" i="20"/>
  <c r="K36" i="20"/>
  <c r="K25" i="20"/>
  <c r="K48" i="20"/>
  <c r="H9" i="20"/>
  <c r="K37" i="20"/>
  <c r="K39" i="20"/>
  <c r="K52" i="20"/>
  <c r="K16" i="20"/>
  <c r="K28" i="20"/>
  <c r="K58" i="20"/>
  <c r="K47" i="20"/>
  <c r="K61" i="20"/>
  <c r="K26" i="20"/>
  <c r="K15" i="20"/>
  <c r="K40" i="20"/>
  <c r="K17" i="20"/>
  <c r="K24" i="20"/>
  <c r="K30" i="20"/>
  <c r="K41" i="20"/>
  <c r="K62" i="20"/>
  <c r="K49" i="20"/>
  <c r="K50" i="20"/>
  <c r="K14" i="20"/>
  <c r="AR7" i="7" l="1"/>
  <c r="AJ36" i="5"/>
  <c r="AS30" i="5"/>
  <c r="AS34" i="5" s="1"/>
  <c r="J24" i="21"/>
  <c r="J28" i="21" s="1"/>
  <c r="AR34" i="5"/>
  <c r="AR36" i="5" s="1"/>
  <c r="AP36" i="5"/>
  <c r="AS36" i="5" l="1"/>
  <c r="F13" i="16"/>
  <c r="F24" i="16"/>
  <c r="H13" i="16"/>
  <c r="I13" i="16" s="1"/>
  <c r="I24" i="16" s="1"/>
  <c r="E24" i="16"/>
  <c r="E39" i="5" s="1"/>
  <c r="E41" i="5" l="1"/>
  <c r="F39" i="5"/>
  <c r="F6" i="16"/>
  <c r="K13" i="16"/>
  <c r="H24" i="16"/>
  <c r="K24" i="16" l="1"/>
  <c r="L13" i="16"/>
  <c r="L24" i="16" s="1"/>
  <c r="N13" i="16"/>
  <c r="H39" i="5"/>
  <c r="I6" i="16"/>
  <c r="F41" i="5"/>
  <c r="E43" i="5"/>
  <c r="E45" i="5"/>
  <c r="F45" i="5" s="1"/>
  <c r="F43" i="5" l="1"/>
  <c r="BA10" i="3"/>
  <c r="I39" i="5"/>
  <c r="H41" i="5"/>
  <c r="O13" i="16"/>
  <c r="O24" i="16" s="1"/>
  <c r="Q13" i="16"/>
  <c r="N24" i="16"/>
  <c r="K39" i="5"/>
  <c r="L6" i="16"/>
  <c r="K41" i="5" l="1"/>
  <c r="L39" i="5"/>
  <c r="O6" i="16"/>
  <c r="N39" i="5"/>
  <c r="Q24" i="16"/>
  <c r="R13" i="16"/>
  <c r="R24" i="16" s="1"/>
  <c r="T13" i="16"/>
  <c r="H43" i="5"/>
  <c r="H45" i="5" s="1"/>
  <c r="I45" i="5" s="1"/>
  <c r="I41" i="5"/>
  <c r="BM10" i="3"/>
  <c r="BH10" i="3"/>
  <c r="N41" i="5" l="1"/>
  <c r="O39" i="5"/>
  <c r="U13" i="16"/>
  <c r="U24" i="16" s="1"/>
  <c r="W13" i="16"/>
  <c r="T24" i="16"/>
  <c r="BT10" i="3"/>
  <c r="I43" i="5"/>
  <c r="BA18" i="3"/>
  <c r="R6" i="16"/>
  <c r="Q39" i="5"/>
  <c r="L41" i="5"/>
  <c r="K43" i="5"/>
  <c r="K45" i="5"/>
  <c r="L45" i="5" s="1"/>
  <c r="W24" i="16" l="1"/>
  <c r="X13" i="16"/>
  <c r="X24" i="16" s="1"/>
  <c r="Z13" i="16"/>
  <c r="Q41" i="5"/>
  <c r="R39" i="5"/>
  <c r="N45" i="5"/>
  <c r="O45" i="5" s="1"/>
  <c r="N43" i="5"/>
  <c r="O41" i="5"/>
  <c r="BM18" i="3"/>
  <c r="BH18" i="3"/>
  <c r="U6" i="16"/>
  <c r="T39" i="5"/>
  <c r="L43" i="5"/>
  <c r="BA26" i="3"/>
  <c r="BT18" i="3" l="1"/>
  <c r="BM26" i="3"/>
  <c r="BT26" i="3" s="1"/>
  <c r="BH26" i="3"/>
  <c r="Q43" i="5"/>
  <c r="R41" i="5"/>
  <c r="Q45" i="5"/>
  <c r="R45" i="5" s="1"/>
  <c r="O43" i="5"/>
  <c r="BA34" i="3"/>
  <c r="T41" i="5"/>
  <c r="U39" i="5"/>
  <c r="AA13" i="16"/>
  <c r="AA24" i="16" s="1"/>
  <c r="AC13" i="16"/>
  <c r="Z24" i="16"/>
  <c r="W39" i="5"/>
  <c r="X6" i="16"/>
  <c r="T43" i="5" l="1"/>
  <c r="T45" i="5"/>
  <c r="U45" i="5" s="1"/>
  <c r="U41" i="5"/>
  <c r="Z39" i="5"/>
  <c r="AA6" i="16"/>
  <c r="BM34" i="3"/>
  <c r="BT34" i="3" s="1"/>
  <c r="BH34" i="3"/>
  <c r="W41" i="5"/>
  <c r="X39" i="5"/>
  <c r="R43" i="5"/>
  <c r="BA42" i="3"/>
  <c r="AF13" i="16"/>
  <c r="AC24" i="16"/>
  <c r="AD13" i="16"/>
  <c r="AD24" i="16" s="1"/>
  <c r="W43" i="5" l="1"/>
  <c r="W45" i="5"/>
  <c r="X45" i="5" s="1"/>
  <c r="X41" i="5"/>
  <c r="AC39" i="5"/>
  <c r="AD6" i="16"/>
  <c r="AI13" i="16"/>
  <c r="AG13" i="16"/>
  <c r="AG24" i="16" s="1"/>
  <c r="AF24" i="16"/>
  <c r="BM42" i="3"/>
  <c r="BT42" i="3" s="1"/>
  <c r="BH42" i="3"/>
  <c r="AA39" i="5"/>
  <c r="Z41" i="5"/>
  <c r="U43" i="5"/>
  <c r="BA50" i="3"/>
  <c r="BH50" i="3" l="1"/>
  <c r="BM50" i="3"/>
  <c r="BT50" i="3" s="1"/>
  <c r="AG6" i="16"/>
  <c r="AF39" i="5"/>
  <c r="AJ13" i="16"/>
  <c r="AJ24" i="16" s="1"/>
  <c r="AI24" i="16"/>
  <c r="AL13" i="16"/>
  <c r="AC41" i="5"/>
  <c r="AD39" i="5"/>
  <c r="Z43" i="5"/>
  <c r="AA41" i="5"/>
  <c r="X43" i="5"/>
  <c r="BA58" i="3"/>
  <c r="BH58" i="3" l="1"/>
  <c r="BM58" i="3"/>
  <c r="BT58" i="3" s="1"/>
  <c r="AO13" i="16"/>
  <c r="AL24" i="16"/>
  <c r="AM13" i="16"/>
  <c r="AM24" i="16" s="1"/>
  <c r="AA43" i="5"/>
  <c r="BA66" i="3"/>
  <c r="AD41" i="5"/>
  <c r="AC43" i="5"/>
  <c r="AC45" i="5"/>
  <c r="AD45" i="5" s="1"/>
  <c r="AI39" i="5"/>
  <c r="AJ6" i="16"/>
  <c r="AF41" i="5"/>
  <c r="AG39" i="5"/>
  <c r="Z45" i="5"/>
  <c r="AA45" i="5" s="1"/>
  <c r="AI41" i="5" l="1"/>
  <c r="AJ39" i="5"/>
  <c r="AF43" i="5"/>
  <c r="AF45" i="5"/>
  <c r="AG45" i="5" s="1"/>
  <c r="AG41" i="5"/>
  <c r="AD43" i="5"/>
  <c r="BA74" i="3"/>
  <c r="BH66" i="3"/>
  <c r="BM66" i="3"/>
  <c r="AM6" i="16"/>
  <c r="AL39" i="5"/>
  <c r="AP13" i="16"/>
  <c r="AP24" i="16" s="1"/>
  <c r="AO24" i="16"/>
  <c r="AR13" i="16"/>
  <c r="BM74" i="3" l="1"/>
  <c r="BT74" i="3" s="1"/>
  <c r="BH74" i="3"/>
  <c r="AR24" i="16"/>
  <c r="AS13" i="16"/>
  <c r="AS24" i="16" s="1"/>
  <c r="BT66" i="3"/>
  <c r="AG43" i="5"/>
  <c r="BA82" i="3"/>
  <c r="B9" i="16"/>
  <c r="AP6" i="16"/>
  <c r="AO7" i="16"/>
  <c r="AO39" i="5"/>
  <c r="AM39" i="5"/>
  <c r="AL41" i="5"/>
  <c r="AJ41" i="5"/>
  <c r="AI43" i="5"/>
  <c r="AI45" i="5"/>
  <c r="AJ45" i="5" s="1"/>
  <c r="BH82" i="3" l="1"/>
  <c r="BM82" i="3"/>
  <c r="AJ43" i="5"/>
  <c r="BA90" i="3"/>
  <c r="AL43" i="5"/>
  <c r="AM41" i="5"/>
  <c r="AS6" i="16"/>
  <c r="AV7" i="16"/>
  <c r="BC7" i="16" s="1"/>
  <c r="E7" i="16"/>
  <c r="H7" i="16"/>
  <c r="K7" i="16"/>
  <c r="N7" i="16"/>
  <c r="Q7" i="16"/>
  <c r="T7" i="16"/>
  <c r="W7" i="16"/>
  <c r="Z7" i="16"/>
  <c r="AC7" i="16"/>
  <c r="AF7" i="16"/>
  <c r="AI7" i="16"/>
  <c r="AL7" i="16"/>
  <c r="AP39" i="5"/>
  <c r="AO41" i="5"/>
  <c r="AR39" i="5"/>
  <c r="AM43" i="5" l="1"/>
  <c r="BA98" i="3"/>
  <c r="BM98" i="3" s="1"/>
  <c r="BT98" i="3" s="1"/>
  <c r="AP41" i="5"/>
  <c r="AO43" i="5"/>
  <c r="AO45" i="5"/>
  <c r="AP45" i="5" s="1"/>
  <c r="AR7" i="16"/>
  <c r="AL45" i="5"/>
  <c r="AM45" i="5" s="1"/>
  <c r="BT82" i="3"/>
  <c r="BH90" i="3"/>
  <c r="BM90" i="3"/>
  <c r="BT90" i="3" s="1"/>
  <c r="J44" i="21"/>
  <c r="AR41" i="5"/>
  <c r="J33" i="21"/>
  <c r="J34" i="21" s="1"/>
  <c r="AS39" i="5"/>
  <c r="AP43" i="5" l="1"/>
  <c r="BA106" i="3"/>
  <c r="BM106" i="3" s="1"/>
  <c r="BT106" i="3" s="1"/>
  <c r="AR43" i="5"/>
  <c r="AS41" i="5"/>
  <c r="BA114" i="3"/>
  <c r="J38" i="20" l="1"/>
  <c r="J38" i="21"/>
  <c r="J42" i="21" s="1"/>
  <c r="AS43" i="5"/>
  <c r="BM114" i="3"/>
  <c r="BA122" i="3"/>
  <c r="BF122" i="3" s="1"/>
  <c r="BH114" i="3"/>
  <c r="AR45" i="5"/>
  <c r="BE7" i="5" l="1"/>
  <c r="BL7" i="5" s="1"/>
  <c r="J60" i="20"/>
  <c r="AS45" i="5"/>
  <c r="BM122" i="3"/>
  <c r="BR122" i="3" s="1"/>
  <c r="BT114" i="3"/>
  <c r="J46" i="21"/>
  <c r="K42" i="21"/>
  <c r="H59" i="21"/>
  <c r="J43" i="20"/>
  <c r="K38" i="20"/>
  <c r="I59" i="21" l="1"/>
  <c r="H63" i="21"/>
  <c r="I63" i="21" s="1"/>
  <c r="J54" i="20"/>
  <c r="K43" i="20"/>
  <c r="K46" i="21"/>
  <c r="J64" i="20"/>
  <c r="K64" i="20" s="1"/>
  <c r="K60" i="20"/>
  <c r="J66" i="20" l="1"/>
  <c r="K54" i="20"/>
  <c r="K63" i="21"/>
  <c r="J66" i="21"/>
  <c r="K66" i="21" l="1"/>
  <c r="J68" i="21"/>
  <c r="J68" i="20"/>
  <c r="K68" i="20" s="1"/>
  <c r="K66" i="20"/>
  <c r="N30" i="20"/>
  <c r="K68" i="21" l="1"/>
  <c r="J106" i="21"/>
  <c r="K106" i="21" l="1"/>
  <c r="J110" i="21"/>
  <c r="J114" i="21" s="1"/>
  <c r="K114"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E4" authorId="0" shapeId="0" xr:uid="{3A8D8A7F-CA3D-964F-8DEB-8E6791F30C73}">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 authorId="0" shapeId="0" xr:uid="{58F62AE8-031A-0946-A1BF-897450C23E62}">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90" authorId="0" shapeId="0" xr:uid="{63760B48-A3CE-794D-B554-375C4C6E3CB2}">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33" authorId="0" shapeId="0" xr:uid="{9CCDCEE5-E8DD-D145-88A3-C6C53ED34732}">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76" authorId="0" shapeId="0" xr:uid="{2928B52E-5B63-1843-8C2A-EA3226A65BC2}">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19" authorId="0" shapeId="0" xr:uid="{9028D5B0-AFEB-594F-94CD-476D5BA4FBE7}">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62" authorId="0" shapeId="0" xr:uid="{D7C1D1F8-4212-9746-B083-BDAF554C2B08}">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05" authorId="0" shapeId="0" xr:uid="{014780F1-C653-8A43-835C-C66964DB10CF}">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48" authorId="0" shapeId="0" xr:uid="{43BAC0A9-DAB6-AD44-9F4F-FC9DA84165E9}">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91" authorId="0" shapeId="0" xr:uid="{13047C4B-6E37-0643-BC61-DD02AACA245B}">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34" authorId="0" shapeId="0" xr:uid="{7AA32A47-D57A-9B4C-A1D7-223ECB35D9D5}">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7" authorId="0" shapeId="0" xr:uid="{7D945D6C-1512-6A40-979F-C937BB50DFDC}">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520" authorId="0" shapeId="0" xr:uid="{1F71AB5A-A1B5-E546-8E98-6156C3EBE746}">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563" authorId="0" shapeId="0" xr:uid="{9C38EC1D-51FF-1840-B561-3FB7B536E39F}">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D4" authorId="0" shapeId="0" xr:uid="{FD848A7C-C3FB-4F4F-BFBB-816CBBC8E3C5}">
      <text>
        <r>
          <rPr>
            <b/>
            <sz val="9"/>
            <color rgb="FF000000"/>
            <rFont val="Verdana"/>
            <family val="2"/>
          </rPr>
          <t xml:space="preserve">Christian Latour:
</t>
        </r>
        <r>
          <rPr>
            <b/>
            <sz val="9"/>
            <color rgb="FF000000"/>
            <rFont val="Verdana"/>
            <family val="2"/>
          </rPr>
          <t>Le coût de chaque produit contenu sur cette carte est le coût affiché sur le site de la SAQ.</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5960A3F8-AC52-7F43-B72F-07CD9DEA422B}">
      <text>
        <r>
          <rPr>
            <b/>
            <sz val="9"/>
            <color rgb="FF000000"/>
            <rFont val="Arial"/>
            <family val="2"/>
          </rPr>
          <t xml:space="preserve">Christian Latour :
</t>
        </r>
        <r>
          <rPr>
            <b/>
            <sz val="9"/>
            <color rgb="FF000000"/>
            <rFont val="Arial"/>
            <family val="2"/>
          </rPr>
          <t xml:space="preserve">7305 — Loyer minimum fixe
</t>
        </r>
        <r>
          <rPr>
            <b/>
            <sz val="9"/>
            <color rgb="FF000000"/>
            <rFont val="Arial"/>
            <family val="2"/>
          </rPr>
          <t>Montant fixe payé au propriétaire du bâtiment pour occuper les lieux.</t>
        </r>
      </text>
    </comment>
    <comment ref="C14" authorId="0" shapeId="0" xr:uid="{46C13E5B-DA15-F04B-9BB8-610C9DB07D82}">
      <text>
        <r>
          <rPr>
            <b/>
            <sz val="9"/>
            <color rgb="FF000000"/>
            <rFont val="Arial"/>
            <family val="2"/>
          </rPr>
          <t xml:space="preserve">Christian Latour :
</t>
        </r>
        <r>
          <rPr>
            <b/>
            <sz val="9"/>
            <color rgb="FF000000"/>
            <rFont val="Arial"/>
            <family val="2"/>
          </rPr>
          <t xml:space="preserve">7310 — Loyer - Variable
</t>
        </r>
        <r>
          <rPr>
            <b/>
            <sz val="9"/>
            <color rgb="FF000000"/>
            <rFont val="Arial"/>
            <family val="2"/>
          </rPr>
          <t>Pourcentage de votre chiffre d’affaires que vous devez payer au propriétaire du bâtiment pour occuper les lieux.</t>
        </r>
      </text>
    </comment>
    <comment ref="C15" authorId="0" shapeId="0" xr:uid="{F8FBDFDE-6663-384E-986F-1A25DE64462C}">
      <text>
        <r>
          <rPr>
            <b/>
            <sz val="9"/>
            <color rgb="FF000000"/>
            <rFont val="Arial"/>
            <family val="2"/>
          </rPr>
          <t xml:space="preserve">Christian Latour :
</t>
        </r>
        <r>
          <rPr>
            <b/>
            <sz val="9"/>
            <color rgb="FF000000"/>
            <rFont val="Arial"/>
            <family val="2"/>
          </rPr>
          <t xml:space="preserve">7315 — Location - Terrain
</t>
        </r>
        <r>
          <rPr>
            <b/>
            <sz val="9"/>
            <color rgb="FF000000"/>
            <rFont val="Arial"/>
            <family val="2"/>
          </rPr>
          <t>Montant payé au propriétaire pour la location du terrain sur lequel est installé le bâtiment dans lequel vous exploitez votre restaurant.</t>
        </r>
      </text>
    </comment>
    <comment ref="C16" authorId="0" shapeId="0" xr:uid="{7EDC4BB6-2371-7249-845B-8BFA1C2D573D}">
      <text>
        <r>
          <rPr>
            <b/>
            <sz val="9"/>
            <color rgb="FF000000"/>
            <rFont val="Arial"/>
            <family val="2"/>
          </rPr>
          <t xml:space="preserve">Christian Latour :
</t>
        </r>
        <r>
          <rPr>
            <b/>
            <sz val="9"/>
            <color rgb="FF000000"/>
            <rFont val="Arial"/>
            <family val="2"/>
          </rPr>
          <t xml:space="preserve">7320 — Location d’équipement
</t>
        </r>
        <r>
          <rPr>
            <b/>
            <sz val="9"/>
            <color rgb="FF000000"/>
            <rFont val="Arial"/>
            <family val="2"/>
          </rPr>
          <t>Montant payé au propriétaire pour l’utilisation de certains équipements incorporés au bâtiment.</t>
        </r>
      </text>
    </comment>
    <comment ref="C17" authorId="0" shapeId="0" xr:uid="{74E3F142-B8EC-3742-9FE8-47159E345FF7}">
      <text>
        <r>
          <rPr>
            <b/>
            <sz val="9"/>
            <color indexed="81"/>
            <rFont val="Arial"/>
            <family val="2"/>
          </rPr>
          <t>Christian Latour :
7325 — Taxes foncières
Montant payé pour les taxes foncières.</t>
        </r>
      </text>
    </comment>
    <comment ref="C18" authorId="0" shapeId="0" xr:uid="{AEED4689-BFD0-0145-A03C-9DFBA3EA0BBA}">
      <text>
        <r>
          <rPr>
            <b/>
            <sz val="9"/>
            <color rgb="FF000000"/>
            <rFont val="Arial"/>
            <family val="2"/>
          </rPr>
          <t xml:space="preserve">Christian Latour :
</t>
        </r>
        <r>
          <rPr>
            <b/>
            <sz val="9"/>
            <color rgb="FF000000"/>
            <rFont val="Arial"/>
            <family val="2"/>
          </rPr>
          <t xml:space="preserve">7330 — Taxes pour l’usage de la propriété
</t>
        </r>
        <r>
          <rPr>
            <b/>
            <sz val="9"/>
            <color rgb="FF000000"/>
            <rFont val="Arial"/>
            <family val="2"/>
          </rPr>
          <t>Montant payé pour les taxes d’usage de la propriété (eau, ordures, etc.).</t>
        </r>
      </text>
    </comment>
    <comment ref="C19" authorId="0" shapeId="0" xr:uid="{AB248D4A-1705-9E42-BAAD-6488C4B38AB8}">
      <text>
        <r>
          <rPr>
            <b/>
            <sz val="9"/>
            <color rgb="FF000000"/>
            <rFont val="Arial"/>
            <family val="2"/>
          </rPr>
          <t xml:space="preserve">Christian Latour :
</t>
        </r>
        <r>
          <rPr>
            <b/>
            <sz val="9"/>
            <color rgb="FF000000"/>
            <rFont val="Arial"/>
            <family val="2"/>
          </rPr>
          <t xml:space="preserve">7335 — Autres taxes municipales
</t>
        </r>
        <r>
          <rPr>
            <b/>
            <sz val="9"/>
            <color rgb="FF000000"/>
            <rFont val="Arial"/>
            <family val="2"/>
          </rPr>
          <t>Montant payé pour les autres taxes municipales.</t>
        </r>
      </text>
    </comment>
    <comment ref="C20" authorId="0" shapeId="0" xr:uid="{FAF76E61-A38C-C740-8FD1-BEAA46BC948B}">
      <text>
        <r>
          <rPr>
            <b/>
            <sz val="9"/>
            <color rgb="FF000000"/>
            <rFont val="Arial"/>
            <family val="2"/>
          </rPr>
          <t xml:space="preserve">Christian Latour :
</t>
        </r>
        <r>
          <rPr>
            <b/>
            <sz val="9"/>
            <color rgb="FF000000"/>
            <rFont val="Arial"/>
            <family val="2"/>
          </rPr>
          <t xml:space="preserve">7340 — Redevance ou droit d’occupation 
</t>
        </r>
        <r>
          <rPr>
            <b/>
            <sz val="9"/>
            <color rgb="FF000000"/>
            <rFont val="Arial"/>
            <family val="2"/>
          </rPr>
          <t>Ce compte comptable est utilisé si vous êtes franchisé et que vous devez payer à votre franchiseur propriétaire du bâtiment un montant qui correspond à un pourcentage de votre chiffre d’affaires comme partie ou totalité de votre loyer.</t>
        </r>
      </text>
    </comment>
    <comment ref="C21" authorId="0" shapeId="0" xr:uid="{943D2481-5BD0-DD4A-A5A7-8D921BC16ADC}">
      <text>
        <r>
          <rPr>
            <b/>
            <sz val="9"/>
            <color rgb="FF000000"/>
            <rFont val="Arial"/>
            <family val="2"/>
          </rPr>
          <t xml:space="preserve">Christian Latour :
</t>
        </r>
        <r>
          <rPr>
            <b/>
            <sz val="9"/>
            <color rgb="FF000000"/>
            <rFont val="Arial"/>
            <family val="2"/>
          </rPr>
          <t xml:space="preserve">7345 — Contribution régulière et occasionnelle pour la gestion et la maintenance de votre copropriété 
</t>
        </r>
        <r>
          <rPr>
            <b/>
            <sz val="9"/>
            <color rgb="FF000000"/>
            <rFont val="Arial"/>
            <family val="2"/>
          </rPr>
          <t>Ce compte comptable est utilisé, si vous êtes propriétaire du condo commercial dans lequel vous exploitez votre entreprise de restauration alimentaire, et qu’en conséquence vous êtes tenu de payer au syndicat de votre copropriété des contributions régulières ou occasionnelles pour un fonds de gestion, un fonds de prévoyance, et, etc.</t>
        </r>
      </text>
    </comment>
    <comment ref="C22" authorId="0" shapeId="0" xr:uid="{937BD0CA-E942-944F-9967-17A3F211DB1C}">
      <text>
        <r>
          <rPr>
            <b/>
            <sz val="9"/>
            <color rgb="FF000000"/>
            <rFont val="Arial"/>
            <family val="2"/>
          </rPr>
          <t xml:space="preserve">Christian Latour :
</t>
        </r>
        <r>
          <rPr>
            <b/>
            <sz val="9"/>
            <color rgb="FF000000"/>
            <rFont val="Arial"/>
            <family val="2"/>
          </rPr>
          <t xml:space="preserve">7350 — Association ou frais d’adhésion 
</t>
        </r>
        <r>
          <rPr>
            <b/>
            <sz val="9"/>
            <color rgb="FF000000"/>
            <rFont val="Arial"/>
            <family val="2"/>
          </rPr>
          <t>Ce compte est utilisé si vous devez payer des frais d’adhésion obligatoires à une association de marchand. C’est souvent le cas, par exemple, dans les centres commerciaux.</t>
        </r>
      </text>
    </comment>
    <comment ref="C23" authorId="0" shapeId="0" xr:uid="{7635C68F-1E28-AB49-BE92-A97CDAA0DA56}">
      <text>
        <r>
          <rPr>
            <b/>
            <sz val="9"/>
            <color rgb="FF000000"/>
            <rFont val="Arial"/>
            <family val="2"/>
          </rPr>
          <t xml:space="preserve">Christian Latour :
</t>
        </r>
        <r>
          <rPr>
            <b/>
            <sz val="9"/>
            <color rgb="FF000000"/>
            <rFont val="Arial"/>
            <family val="2"/>
          </rPr>
          <t xml:space="preserve">7360 — Assurances — Bâtiment et contenu
</t>
        </r>
        <r>
          <rPr>
            <b/>
            <sz val="9"/>
            <color rgb="FF000000"/>
            <rFont val="Arial"/>
            <family val="2"/>
          </rPr>
          <t>Montant payé pour la couverture d’assurance du bâtiment dans lequel vous exploitez votre restaurant ainsi que pour l’assurance de son contenu.</t>
        </r>
      </text>
    </comment>
    <comment ref="C24" authorId="0" shapeId="0" xr:uid="{46B8B40C-12F7-DA41-A76C-2E77348D8DE8}">
      <text>
        <r>
          <rPr>
            <b/>
            <sz val="9"/>
            <color rgb="FF000000"/>
            <rFont val="Arial"/>
            <family val="2"/>
          </rPr>
          <t xml:space="preserve">Christian Latour :
</t>
        </r>
        <r>
          <rPr>
            <b/>
            <sz val="9"/>
            <color rgb="FF000000"/>
            <rFont val="Arial"/>
            <family val="2"/>
          </rPr>
          <t xml:space="preserve">7399 — Autres coûts d’occupation
</t>
        </r>
        <r>
          <rPr>
            <b/>
            <sz val="9"/>
            <color rgb="FF000000"/>
            <rFont val="Arial"/>
            <family val="2"/>
          </rPr>
          <t>Autres montants payés pour l’occupation de votre espace de restaurant et qui n’est pas comptabilisé dans l’un des comptes précédents.</t>
        </r>
      </text>
    </comment>
    <comment ref="C26" authorId="0" shapeId="0" xr:uid="{53D80835-E952-374A-9597-BF1BF23DA7B6}">
      <text>
        <r>
          <rPr>
            <sz val="10"/>
            <color rgb="FF000000"/>
            <rFont val="Arial"/>
            <family val="2"/>
          </rPr>
          <t xml:space="preserve">Christian Latour :
</t>
        </r>
        <r>
          <rPr>
            <sz val="10"/>
            <color rgb="FF000000"/>
            <rFont val="Arial"/>
            <family val="2"/>
          </rPr>
          <t xml:space="preserve">7300 — Coût d’occupation
</t>
        </r>
        <r>
          <rPr>
            <sz val="10"/>
            <color rgb="FF000000"/>
            <rFont val="Arial"/>
            <family val="2"/>
          </rPr>
          <t xml:space="preserve">Il s’agit du compte de contrôle dans lequel on additionne le total des coûts d’occupation.
</t>
        </r>
        <r>
          <rPr>
            <sz val="10"/>
            <color rgb="FF000000"/>
            <rFont val="Arial"/>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B8B9F3BB-F78F-9B4C-A833-BBCA979F9A06}">
      <text>
        <r>
          <rPr>
            <b/>
            <sz val="9"/>
            <color rgb="FF000000"/>
            <rFont val="Arial"/>
            <family val="2"/>
          </rPr>
          <t xml:space="preserve">Christian Latour :
</t>
        </r>
        <r>
          <rPr>
            <b/>
            <sz val="9"/>
            <color rgb="FF000000"/>
            <rFont val="Arial"/>
            <family val="2"/>
          </rPr>
          <t xml:space="preserve">7402 — Uniformes
</t>
        </r>
        <r>
          <rPr>
            <b/>
            <sz val="9"/>
            <color rgb="FF000000"/>
            <rFont val="Arial"/>
            <family val="2"/>
          </rPr>
          <t>Montant dépensé pour l’achat de tabliers, de blouses, de casquettes, de costumes, de sarraus, de gants, de tailleurs, de cravates, de pantalons, de filets à cheveux, de souliers, d’insignes, et, etc.</t>
        </r>
      </text>
    </comment>
    <comment ref="C14" authorId="0" shapeId="0" xr:uid="{B46F66CA-B4FC-674B-BE0F-D01C92BCCFDE}">
      <text>
        <r>
          <rPr>
            <b/>
            <sz val="9"/>
            <color rgb="FF000000"/>
            <rFont val="Arial"/>
            <family val="2"/>
          </rPr>
          <t xml:space="preserve">Christian Latour :
</t>
        </r>
        <r>
          <rPr>
            <b/>
            <sz val="9"/>
            <color rgb="FF000000"/>
            <rFont val="Arial"/>
            <family val="2"/>
          </rPr>
          <t xml:space="preserve">7404 — Buanderie et nettoyage à sec
</t>
        </r>
        <r>
          <rPr>
            <b/>
            <sz val="9"/>
            <color rgb="FF000000"/>
            <rFont val="Arial"/>
            <family val="2"/>
          </rPr>
          <t>Montant dépensé pour le nettoyage des tissus : uniformes, linges, nappes, serviettes de table, rideaux et tout autre article en tissu.</t>
        </r>
      </text>
    </comment>
    <comment ref="C15" authorId="0" shapeId="0" xr:uid="{32B7E13F-BBAC-BE48-BEC7-4DB1FF2229BE}">
      <text>
        <r>
          <rPr>
            <b/>
            <sz val="9"/>
            <color rgb="FF000000"/>
            <rFont val="Arial"/>
            <family val="2"/>
          </rPr>
          <t xml:space="preserve">Christian Latour :
</t>
        </r>
        <r>
          <rPr>
            <b/>
            <sz val="9"/>
            <color rgb="FF000000"/>
            <rFont val="Arial"/>
            <family val="2"/>
          </rPr>
          <t xml:space="preserve">7406 — Location - Lingerie/tissus
</t>
        </r>
        <r>
          <rPr>
            <b/>
            <sz val="9"/>
            <color rgb="FF000000"/>
            <rFont val="Arial"/>
            <family val="2"/>
          </rPr>
          <t>Montant dépensé pour la location de la lingerie : linges, nappes, serviettes de table, rideaux et tout autre article en tissu excluant ce qui entre dans la catégorie « Uniformes ».</t>
        </r>
      </text>
    </comment>
    <comment ref="C16" authorId="0" shapeId="0" xr:uid="{FB818FF9-605D-BE4A-A1CA-90F5C4F17421}">
      <text>
        <r>
          <rPr>
            <b/>
            <sz val="9"/>
            <color rgb="FF000000"/>
            <rFont val="Arial"/>
            <family val="2"/>
          </rPr>
          <t xml:space="preserve">Christian Latour :
</t>
        </r>
        <r>
          <rPr>
            <b/>
            <sz val="9"/>
            <color rgb="FF000000"/>
            <rFont val="Arial"/>
            <family val="2"/>
          </rPr>
          <t xml:space="preserve">7408 — Achats - Lingerie/tissus
</t>
        </r>
        <r>
          <rPr>
            <b/>
            <sz val="9"/>
            <color rgb="FF000000"/>
            <rFont val="Arial"/>
            <family val="2"/>
          </rPr>
          <t>Montant dépensé pour l’achat de lingerie : linges, nappes, serviettes de table, rideaux et tout autre article en tissu excluant ce qui entre dans la catégorie « Uniformes ».</t>
        </r>
      </text>
    </comment>
    <comment ref="C17" authorId="0" shapeId="0" xr:uid="{179E0EAE-56FD-5B4E-93B4-583D8DB2AD95}">
      <text>
        <r>
          <rPr>
            <b/>
            <sz val="9"/>
            <color rgb="FF000000"/>
            <rFont val="Arial"/>
            <family val="2"/>
          </rPr>
          <t xml:space="preserve">Christian Latour :
</t>
        </r>
        <r>
          <rPr>
            <b/>
            <sz val="9"/>
            <color rgb="FF000000"/>
            <rFont val="Arial"/>
            <family val="2"/>
          </rPr>
          <t xml:space="preserve">7410 — Accessoires de table 
</t>
        </r>
        <r>
          <rPr>
            <b/>
            <sz val="9"/>
            <color rgb="FF000000"/>
            <rFont val="Arial"/>
            <family val="2"/>
          </rPr>
          <t>Montant dépensé pour l’achat de porcelaines, d’assiettes, de tasses, de sous-tasses, de sauciers, de bols, de théières, de cafetières, de pichets, de verres à eau, de verres à vin, de verre à bière, de verres à « shooter », de gobelets, de sous-plats, de plats de service, de plats de présentation, de plateaux, de soupières, de chandeliers, de pièces décoratives, de seaux à vin, et, etc.</t>
        </r>
      </text>
    </comment>
    <comment ref="C18" authorId="0" shapeId="0" xr:uid="{7D8FBCF4-AD25-DC42-989C-3A07D35756C7}">
      <text>
        <r>
          <rPr>
            <b/>
            <sz val="9"/>
            <color rgb="FF000000"/>
            <rFont val="Arial"/>
            <family val="2"/>
          </rPr>
          <t xml:space="preserve">Christian Latour :
</t>
        </r>
        <r>
          <rPr>
            <b/>
            <sz val="9"/>
            <color rgb="FF000000"/>
            <rFont val="Arial"/>
            <family val="2"/>
          </rPr>
          <t xml:space="preserve">7412 — Accessoires de service
</t>
        </r>
        <r>
          <rPr>
            <b/>
            <sz val="9"/>
            <color rgb="FF000000"/>
            <rFont val="Arial"/>
            <family val="2"/>
          </rPr>
          <t>Montant dépensé pour l’achat de couteaux, de fourchettes, de cuillères, de louches, etc.</t>
        </r>
      </text>
    </comment>
    <comment ref="C19" authorId="0" shapeId="0" xr:uid="{6B164370-AE8F-F446-B95B-50C7B4BA5207}">
      <text>
        <r>
          <rPr>
            <b/>
            <sz val="9"/>
            <color indexed="81"/>
            <rFont val="Arial"/>
            <family val="2"/>
          </rPr>
          <t>Christian Latour :
7414 — Accessoires de cuisine
Montant dépensé pour l’achat de couteaux de cuisinier, de casseroles, de poêles, de bouilloires, de bols à mélanger, de fouets, de cuillères, d’ouvre-boîtes, d’aiguiseurs à couteaux, de petits outils et équipements, etc., et pour les coûts d’entretien des accessoires de cuisine si le coût est moindre que 100 $.</t>
        </r>
      </text>
    </comment>
    <comment ref="C20" authorId="0" shapeId="0" xr:uid="{98786FFF-7C1C-884F-991C-6AFA2AED6999}">
      <text>
        <r>
          <rPr>
            <b/>
            <sz val="9"/>
            <color indexed="81"/>
            <rFont val="Arial"/>
            <family val="2"/>
          </rPr>
          <t>Christian Latour :
7416 — Dépenses véhicules (livraison)
Ensemble des dépenses encourues pour les véhicules de livraison et pour la location de véhicules, s’il y a lieu.</t>
        </r>
      </text>
    </comment>
    <comment ref="C21" authorId="0" shapeId="0" xr:uid="{8445AA60-2A20-AF4D-9F58-354C45E8D952}">
      <text>
        <r>
          <rPr>
            <b/>
            <sz val="9"/>
            <color rgb="FF000000"/>
            <rFont val="Arial"/>
            <family val="2"/>
          </rPr>
          <t xml:space="preserve">Christian Latour :
</t>
        </r>
        <r>
          <rPr>
            <b/>
            <sz val="9"/>
            <color rgb="FF000000"/>
            <rFont val="Arial"/>
            <family val="2"/>
          </rPr>
          <t xml:space="preserve">7418 — Fournitures d’entretien
</t>
        </r>
        <r>
          <rPr>
            <b/>
            <sz val="9"/>
            <color rgb="FF000000"/>
            <rFont val="Arial"/>
            <family val="2"/>
          </rPr>
          <t>Montant dépensé pour l’achat de nettoyants, de polissoirs, de savons, de détergents, de désinfectants, de produits chimiques, de déodorants, de balais et d’aspirateurs, de vadrouilles, de grattoirs, de torchons, de guenilles, de linges à poussière, de seaux et de chaudières, de chiffons, de laines d’acier, et, etc.</t>
        </r>
      </text>
    </comment>
    <comment ref="C22" authorId="0" shapeId="0" xr:uid="{A10502A5-9CFE-5C4A-9D81-AA63DD3D6D4A}">
      <text>
        <r>
          <rPr>
            <b/>
            <sz val="9"/>
            <color rgb="FF000000"/>
            <rFont val="Arial"/>
            <family val="2"/>
          </rPr>
          <t xml:space="preserve">Christian Latour :
</t>
        </r>
        <r>
          <rPr>
            <b/>
            <sz val="9"/>
            <color rgb="FF000000"/>
            <rFont val="Arial"/>
            <family val="2"/>
          </rPr>
          <t xml:space="preserve">7420 — Fournitures de papiers
</t>
        </r>
        <r>
          <rPr>
            <b/>
            <sz val="9"/>
            <color rgb="FF000000"/>
            <rFont val="Arial"/>
            <family val="2"/>
          </rPr>
          <t>Montant dépensé pour l’achat de vaisselle en styromousse ou en carton, de napperons de papier réguliers et dentelés (« doilies »), de serviettes de table en papier, d’emballages pour livraison et pour emporter, de boîtes, de papier filtre, de papier ciré, de ficelle, de fil de nylon, et, etc.</t>
        </r>
      </text>
    </comment>
    <comment ref="C23" authorId="0" shapeId="0" xr:uid="{C7BC2FF0-826E-7543-9E27-A419949BFCDA}">
      <text>
        <r>
          <rPr>
            <b/>
            <sz val="9"/>
            <color rgb="FF000000"/>
            <rFont val="Arial"/>
            <family val="2"/>
          </rPr>
          <t xml:space="preserve">Christian Latour :
</t>
        </r>
        <r>
          <rPr>
            <b/>
            <sz val="9"/>
            <color rgb="FF000000"/>
            <rFont val="Arial"/>
            <family val="2"/>
          </rPr>
          <t xml:space="preserve">7422 — Fournitures pour les invités/clients
</t>
        </r>
        <r>
          <rPr>
            <b/>
            <sz val="9"/>
            <color rgb="FF000000"/>
            <rFont val="Arial"/>
            <family val="2"/>
          </rPr>
          <t>Montant dépensé pour l’ensemble des fournitures utilisées pour le bénéfice des clients : allumettes, crayons, journaux quotidiens, magazione, cure-dents, présentoirs de cartes de crédit, et, etc.</t>
        </r>
      </text>
    </comment>
    <comment ref="C24" authorId="0" shapeId="0" xr:uid="{42348FA1-08FD-3E41-B2C0-B1E42084494D}">
      <text>
        <r>
          <rPr>
            <b/>
            <sz val="9"/>
            <color rgb="FF000000"/>
            <rFont val="Arial"/>
            <family val="2"/>
          </rPr>
          <t xml:space="preserve">Christian Latour :
</t>
        </r>
        <r>
          <rPr>
            <b/>
            <sz val="9"/>
            <color rgb="FF000000"/>
            <rFont val="Arial"/>
            <family val="2"/>
          </rPr>
          <t xml:space="preserve">7424 — Fournitures de bar
</t>
        </r>
        <r>
          <rPr>
            <b/>
            <sz val="9"/>
            <color rgb="FF000000"/>
            <rFont val="Arial"/>
            <family val="2"/>
          </rPr>
          <t>Montant dépensé pour l’achat de limonadiers (tire-bouchons), de « shakers », de mélangeurs, d’ouvre-bouteilles, de cuillères, de presseurs à fruits, de décorations à verres de boissons, de souvenirs, de mesures à alcool, de couteaux, de pailles, de bouchons (« stoppers »), de pique-fruits, de cure-dents, et, etc.</t>
        </r>
      </text>
    </comment>
    <comment ref="C25" authorId="0" shapeId="0" xr:uid="{10AFFB65-8196-0C49-B9D0-D0FF4E219DCF}">
      <text>
        <r>
          <rPr>
            <b/>
            <sz val="9"/>
            <color rgb="FF000000"/>
            <rFont val="Arial"/>
            <family val="2"/>
          </rPr>
          <t xml:space="preserve">Christian Latour :
</t>
        </r>
        <r>
          <rPr>
            <b/>
            <sz val="9"/>
            <color rgb="FF000000"/>
            <rFont val="Arial"/>
            <family val="2"/>
          </rPr>
          <t xml:space="preserve">7426 — Menus et cartes
</t>
        </r>
        <r>
          <rPr>
            <b/>
            <sz val="9"/>
            <color rgb="FF000000"/>
            <rFont val="Arial"/>
            <family val="2"/>
          </rPr>
          <t>Montant dépensé pour l’achat ou la production des menus réguliers ou du jour, des cartes des boissons, des cartes des desserts, des cartes des nouveautés, incluant les frais de graphisme, de coupe, d’impression, de papier, et, etc.</t>
        </r>
      </text>
    </comment>
    <comment ref="C26" authorId="0" shapeId="0" xr:uid="{3014D377-6B5A-1443-90E7-B5D4F5E1052F}">
      <text>
        <r>
          <rPr>
            <b/>
            <sz val="9"/>
            <color rgb="FF000000"/>
            <rFont val="Arial"/>
            <family val="2"/>
          </rPr>
          <t xml:space="preserve">Christian Latour :
</t>
        </r>
        <r>
          <rPr>
            <b/>
            <sz val="9"/>
            <color rgb="FF000000"/>
            <rFont val="Arial"/>
            <family val="2"/>
          </rPr>
          <t xml:space="preserve">7428 — Contrat d’entretien ménager
</t>
        </r>
        <r>
          <rPr>
            <b/>
            <sz val="9"/>
            <color rgb="FF000000"/>
            <rFont val="Arial"/>
            <family val="2"/>
          </rPr>
          <t>Montant dépensé pour l’entretien ménager (lavage de vitres) et, etc.</t>
        </r>
      </text>
    </comment>
    <comment ref="C27" authorId="0" shapeId="0" xr:uid="{C78042ED-09E6-584F-B221-20FCC41D7AFC}">
      <text>
        <r>
          <rPr>
            <b/>
            <sz val="9"/>
            <color rgb="FF000000"/>
            <rFont val="Arial"/>
            <family val="2"/>
          </rPr>
          <t xml:space="preserve">Christian Latour :
</t>
        </r>
        <r>
          <rPr>
            <b/>
            <sz val="9"/>
            <color rgb="FF000000"/>
            <rFont val="Arial"/>
            <family val="2"/>
          </rPr>
          <t xml:space="preserve">7430 — Services hygiène et salubrité
</t>
        </r>
        <r>
          <rPr>
            <b/>
            <sz val="9"/>
            <color rgb="FF000000"/>
            <rFont val="Arial"/>
            <family val="2"/>
          </rPr>
          <t>Montant dépensé pour l’hygiène et la salubrité (extermination, désinfection, traitement et contrôle des parasites) et,  etc.</t>
        </r>
      </text>
    </comment>
    <comment ref="C28" authorId="0" shapeId="0" xr:uid="{638657E6-DB06-CB47-9BFA-32F885E6E2D6}">
      <text>
        <r>
          <rPr>
            <b/>
            <sz val="9"/>
            <color indexed="81"/>
            <rFont val="Arial"/>
            <family val="2"/>
          </rPr>
          <t>Christian Latour :
7432 — Décorations intérieures
Montant dépensé pour les fleurs, plantes, drapeaux, guirlandes, pièces décoratives, aquariums et pour les frais de designers, stylistes et décorateurs, et, etc.</t>
        </r>
      </text>
    </comment>
    <comment ref="C29" authorId="0" shapeId="0" xr:uid="{A8A6A6D3-78DB-BC49-A27D-30CF4F0872F7}">
      <text>
        <r>
          <rPr>
            <b/>
            <sz val="9"/>
            <color rgb="FF000000"/>
            <rFont val="Arial"/>
            <family val="2"/>
          </rPr>
          <t xml:space="preserve">Christian Latour :
</t>
        </r>
        <r>
          <rPr>
            <b/>
            <sz val="9"/>
            <color rgb="FF000000"/>
            <rFont val="Arial"/>
            <family val="2"/>
          </rPr>
          <t xml:space="preserve">7436 — Stationnement — véhicules des clients
</t>
        </r>
        <r>
          <rPr>
            <b/>
            <sz val="9"/>
            <color rgb="FF000000"/>
            <rFont val="Arial"/>
            <family val="2"/>
          </rPr>
          <t>Montant dépensé pour la location d’un abri pour les véhicules (entretien, nettoyage, sécurité) et, etc.</t>
        </r>
      </text>
    </comment>
    <comment ref="C30" authorId="0" shapeId="0" xr:uid="{63661904-254A-CB44-BD7B-FBFA82725E71}">
      <text>
        <r>
          <rPr>
            <b/>
            <sz val="9"/>
            <color rgb="FF000000"/>
            <rFont val="Arial"/>
            <family val="2"/>
          </rPr>
          <t xml:space="preserve">Christian Latour :
</t>
        </r>
        <r>
          <rPr>
            <b/>
            <sz val="9"/>
            <color rgb="FF000000"/>
            <rFont val="Arial"/>
            <family val="2"/>
          </rPr>
          <t xml:space="preserve">7438 — Droits/permis d’exploitation
</t>
        </r>
        <r>
          <rPr>
            <b/>
            <sz val="9"/>
            <color rgb="FF000000"/>
            <rFont val="Arial"/>
            <family val="2"/>
          </rPr>
          <t>Montant dépensé pour les permis (MAPAQ, RACJQ), les permis spéciaux d’exploitations, les frais d’inspection, les licences, et, etc.</t>
        </r>
      </text>
    </comment>
    <comment ref="C31" authorId="0" shapeId="0" xr:uid="{72A97FC6-480B-434D-81B4-ACB9B284057D}">
      <text>
        <r>
          <rPr>
            <b/>
            <sz val="9"/>
            <color rgb="FF000000"/>
            <rFont val="Arial"/>
            <family val="2"/>
          </rPr>
          <t xml:space="preserve">Christian Latour :
</t>
        </r>
        <r>
          <rPr>
            <b/>
            <sz val="9"/>
            <color rgb="FF000000"/>
            <rFont val="Arial"/>
            <family val="2"/>
          </rPr>
          <t xml:space="preserve">7440 — Frais de banquet
</t>
        </r>
        <r>
          <rPr>
            <b/>
            <sz val="9"/>
            <color rgb="FF000000"/>
            <rFont val="Arial"/>
            <family val="2"/>
          </rPr>
          <t>Montant dépensé pour la location de chaises, d’équipements de banquet, de tables froides, de tables chaudes, de tables de réchauffement, et, etc.</t>
        </r>
      </text>
    </comment>
    <comment ref="C32" authorId="0" shapeId="0" xr:uid="{1A947D45-7319-5141-AE9A-C1AF69F9CB82}">
      <text>
        <r>
          <rPr>
            <b/>
            <sz val="9"/>
            <color rgb="FF000000"/>
            <rFont val="Arial"/>
            <family val="2"/>
          </rPr>
          <t xml:space="preserve">Christian Latour :
</t>
        </r>
        <r>
          <rPr>
            <b/>
            <sz val="9"/>
            <color rgb="FF000000"/>
            <rFont val="Arial"/>
            <family val="2"/>
          </rPr>
          <t xml:space="preserve">7499 — Autres dépenses d’exploitation
</t>
        </r>
        <r>
          <rPr>
            <b/>
            <sz val="9"/>
            <color rgb="FF000000"/>
            <rFont val="Arial"/>
            <family val="2"/>
          </rPr>
          <t>Autres dépenses directement reliées au service à la clientèle (perte ou dommage à des effets appartenant aux clients) et, etc.</t>
        </r>
      </text>
    </comment>
    <comment ref="C34" authorId="0" shapeId="0" xr:uid="{5F5614D6-0800-C14A-A74A-F53BC007D2D0}">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7400 — Coût direct d’exploitation
</t>
        </r>
        <r>
          <rPr>
            <b/>
            <sz val="10"/>
            <color rgb="FF000000"/>
            <rFont val="Arial"/>
            <family val="2"/>
          </rPr>
          <t>Il s’agit du compte de contrôle dans lequel on additionne le total des coûts directs d’exploitation.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97D5054B-3E75-0B47-A79E-241BEA72752A}">
      <text>
        <r>
          <rPr>
            <b/>
            <sz val="9"/>
            <color indexed="81"/>
            <rFont val="Arial"/>
            <family val="2"/>
          </rPr>
          <t>Christian Latour:
7505 — Musiciens et animateur
Montant payé pour les services de musiciens, DJ ou autres animateurs).</t>
        </r>
      </text>
    </comment>
    <comment ref="C14" authorId="0" shapeId="0" xr:uid="{094B8D9F-3882-A94B-83C0-7446478E9E08}">
      <text>
        <r>
          <rPr>
            <b/>
            <sz val="9"/>
            <color rgb="FF000000"/>
            <rFont val="Arial"/>
            <family val="2"/>
          </rPr>
          <t xml:space="preserve">Christian Latour:
</t>
        </r>
        <r>
          <rPr>
            <b/>
            <sz val="9"/>
            <color rgb="FF000000"/>
            <rFont val="Arial"/>
            <family val="2"/>
          </rPr>
          <t xml:space="preserve">7510 — « Divertisseurs » professionnel
</t>
        </r>
        <r>
          <rPr>
            <b/>
            <sz val="9"/>
            <color rgb="FF000000"/>
            <rFont val="Arial"/>
            <family val="2"/>
          </rPr>
          <t>Montant payé pour les services des acrobates, animateurs, clowns, danseurs, prestidigitateurs et autres amuseurs.</t>
        </r>
      </text>
    </comment>
    <comment ref="C15" authorId="0" shapeId="0" xr:uid="{A7F84849-928F-9049-886A-BF479B8EDBBD}">
      <text>
        <r>
          <rPr>
            <b/>
            <sz val="9"/>
            <color rgb="FF000000"/>
            <rFont val="Arial"/>
            <family val="2"/>
          </rPr>
          <t xml:space="preserve">Christian Latour:
</t>
        </r>
        <r>
          <rPr>
            <b/>
            <sz val="9"/>
            <color rgb="FF000000"/>
            <rFont val="Arial"/>
            <family val="2"/>
          </rPr>
          <t xml:space="preserve">7520 — Musique d’ambiance 
</t>
        </r>
        <r>
          <rPr>
            <b/>
            <sz val="9"/>
            <color rgb="FF000000"/>
            <rFont val="Arial"/>
            <family val="2"/>
          </rPr>
          <t>Montant payé pour les CD, les DVD, les MP3, la programmation, et, etc.</t>
        </r>
      </text>
    </comment>
    <comment ref="C16" authorId="0" shapeId="0" xr:uid="{6F2691C2-7E10-7E4D-9818-5F3581ECEE55}">
      <text>
        <r>
          <rPr>
            <b/>
            <sz val="9"/>
            <color rgb="FF000000"/>
            <rFont val="Arial"/>
            <family val="2"/>
          </rPr>
          <t xml:space="preserve">Christian Latour:
</t>
        </r>
        <r>
          <rPr>
            <b/>
            <sz val="9"/>
            <color rgb="FF000000"/>
            <rFont val="Arial"/>
            <family val="2"/>
          </rPr>
          <t xml:space="preserve">7525 — Service de musique câblée
</t>
        </r>
        <r>
          <rPr>
            <b/>
            <sz val="9"/>
            <color rgb="FF000000"/>
            <rFont val="Arial"/>
            <family val="2"/>
          </rPr>
          <t>Montant payé pour le service de câble, les services offerts par les fournisseurs de musique d’ambiance, et, etc.</t>
        </r>
        <r>
          <rPr>
            <sz val="9"/>
            <color rgb="FF000000"/>
            <rFont val="Arial"/>
            <family val="2"/>
          </rPr>
          <t xml:space="preserve">
</t>
        </r>
        <r>
          <rPr>
            <sz val="9"/>
            <color rgb="FF000000"/>
            <rFont val="Arial"/>
            <family val="2"/>
          </rPr>
          <t xml:space="preserve">
</t>
        </r>
      </text>
    </comment>
    <comment ref="C17" authorId="0" shapeId="0" xr:uid="{87D65C64-E5D6-ED4E-8A39-BD41705933DA}">
      <text>
        <r>
          <rPr>
            <b/>
            <sz val="9"/>
            <color rgb="FF000000"/>
            <rFont val="Arial"/>
            <family val="2"/>
          </rPr>
          <t xml:space="preserve">Christian Latour:
</t>
        </r>
        <r>
          <rPr>
            <b/>
            <sz val="9"/>
            <color rgb="FF000000"/>
            <rFont val="Arial"/>
            <family val="2"/>
          </rPr>
          <t xml:space="preserve">7530 — Location de piano et autres instruments et réglage (tuning)
</t>
        </r>
        <r>
          <rPr>
            <b/>
            <sz val="9"/>
            <color rgb="FF000000"/>
            <rFont val="Arial"/>
            <family val="2"/>
          </rPr>
          <t>Montant payé pour la location d’un piano ou d’un autre instrument de musique incluant l’entretien et les ajustements périodiques.</t>
        </r>
      </text>
    </comment>
    <comment ref="C18" authorId="0" shapeId="0" xr:uid="{89D06483-EE98-324F-AD17-2C91566127A7}">
      <text>
        <r>
          <rPr>
            <b/>
            <sz val="9"/>
            <color rgb="FF000000"/>
            <rFont val="Arial"/>
            <family val="2"/>
          </rPr>
          <t xml:space="preserve">Christian Latour:
</t>
        </r>
        <r>
          <rPr>
            <b/>
            <sz val="9"/>
            <color rgb="FF000000"/>
            <rFont val="Arial"/>
            <family val="2"/>
          </rPr>
          <t xml:space="preserve">7535 — Soutien matériel aux musiciens
</t>
        </r>
        <r>
          <rPr>
            <b/>
            <sz val="9"/>
            <color rgb="FF000000"/>
            <rFont val="Arial"/>
            <family val="2"/>
          </rPr>
          <t>Montant payé pour les films, enregistrements, cassettes, feuilles de musique et autre matériel nécessaire aux musiciens et/ou aux animateurs.</t>
        </r>
      </text>
    </comment>
    <comment ref="C19" authorId="0" shapeId="0" xr:uid="{EBC4C324-46B5-6043-8C8A-AABA3B645775}">
      <text>
        <r>
          <rPr>
            <b/>
            <sz val="9"/>
            <color rgb="FF000000"/>
            <rFont val="Arial"/>
            <family val="2"/>
          </rPr>
          <t>Christian Latour:</t>
        </r>
        <r>
          <rPr>
            <sz val="9"/>
            <color rgb="FF000000"/>
            <rFont val="Arial"/>
            <family val="2"/>
          </rPr>
          <t xml:space="preserve">
</t>
        </r>
        <r>
          <rPr>
            <b/>
            <sz val="9"/>
            <color rgb="FF000000"/>
            <rFont val="Arial"/>
            <family val="2"/>
          </rPr>
          <t xml:space="preserve">7550 — Redevances à la SOCAN
</t>
        </r>
        <r>
          <rPr>
            <b/>
            <sz val="9"/>
            <color rgb="FF000000"/>
            <rFont val="Arial"/>
            <family val="2"/>
          </rPr>
          <t>Montant payé pour les droits de diffusion de la musique dans un endroit public.</t>
        </r>
      </text>
    </comment>
    <comment ref="C20" authorId="0" shapeId="0" xr:uid="{32344D40-7BD7-4847-B778-BF87DA310350}">
      <text>
        <r>
          <rPr>
            <b/>
            <sz val="9"/>
            <color rgb="FF000000"/>
            <rFont val="Arial"/>
            <family val="2"/>
          </rPr>
          <t xml:space="preserve">Christian Latour:
</t>
        </r>
        <r>
          <rPr>
            <b/>
            <sz val="9"/>
            <color rgb="FF000000"/>
            <rFont val="Arial"/>
            <family val="2"/>
          </rPr>
          <t xml:space="preserve">7555 — Frais d’agent d’artiste
</t>
        </r>
        <r>
          <rPr>
            <b/>
            <sz val="9"/>
            <color rgb="FF000000"/>
            <rFont val="Arial"/>
            <family val="2"/>
          </rPr>
          <t>Montant payé aux agents d’artistes pour les prestations des artistes..</t>
        </r>
      </text>
    </comment>
    <comment ref="C21" authorId="0" shapeId="0" xr:uid="{05B39B29-522E-9249-B055-C1EF1E658DED}">
      <text>
        <r>
          <rPr>
            <b/>
            <sz val="9"/>
            <color rgb="FF000000"/>
            <rFont val="Arial"/>
            <family val="2"/>
          </rPr>
          <t xml:space="preserve">Christian Latour:
</t>
        </r>
        <r>
          <rPr>
            <b/>
            <sz val="9"/>
            <color rgb="FF000000"/>
            <rFont val="Arial"/>
            <family val="2"/>
          </rPr>
          <t xml:space="preserve">7560 — Repas des musiciens et autres animateurs
</t>
        </r>
        <r>
          <rPr>
            <b/>
            <sz val="9"/>
            <color rgb="FF000000"/>
            <rFont val="Arial"/>
            <family val="2"/>
          </rPr>
          <t>Montant payé pour les repas des musiciens et autres animateurs et leurs accompagnateurs.</t>
        </r>
      </text>
    </comment>
    <comment ref="C22" authorId="0" shapeId="0" xr:uid="{30AFB253-D765-3640-A1F5-5595C8CAC193}">
      <text>
        <r>
          <rPr>
            <b/>
            <sz val="9"/>
            <color indexed="81"/>
            <rFont val="Arial"/>
            <family val="2"/>
          </rPr>
          <t>Christian Latour:</t>
        </r>
        <r>
          <rPr>
            <sz val="9"/>
            <color indexed="81"/>
            <rFont val="Arial"/>
            <family val="2"/>
          </rPr>
          <t xml:space="preserve">
</t>
        </r>
        <r>
          <rPr>
            <b/>
            <sz val="9"/>
            <color indexed="81"/>
            <rFont val="Arial"/>
            <family val="2"/>
          </rPr>
          <t>7599 — Autres coûts associés à Musique &amp; Divertissement
Autre montant payé, pour assurer les services de musique et divertissement de l’établissement, qui n’est pas directement affecté à un compte spécifique déjà établi.</t>
        </r>
        <r>
          <rPr>
            <sz val="9"/>
            <color indexed="81"/>
            <rFont val="Arial"/>
            <family val="2"/>
          </rPr>
          <t xml:space="preserve">
</t>
        </r>
      </text>
    </comment>
    <comment ref="C24" authorId="0" shapeId="0" xr:uid="{EEF224FD-C344-814E-8515-AAB6120AF0F2}">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7500 — Musique &amp; Divertissement
</t>
        </r>
        <r>
          <rPr>
            <b/>
            <sz val="10"/>
            <color rgb="FF000000"/>
            <rFont val="Arial"/>
            <family val="2"/>
          </rPr>
          <t>Il s’agit du compte de contrôle dans lequel on additionne le total des coûts d’occupation.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EC7A68E6-6779-284A-BD90-946BDCFAE015}">
      <text>
        <r>
          <rPr>
            <b/>
            <sz val="9"/>
            <color rgb="FF000000"/>
            <rFont val="Arial"/>
            <family val="2"/>
          </rPr>
          <t xml:space="preserve">Christian Latour :
</t>
        </r>
        <r>
          <rPr>
            <b/>
            <sz val="9"/>
            <color rgb="FF000000"/>
            <rFont val="Arial"/>
            <family val="2"/>
          </rPr>
          <t xml:space="preserve">7610 — Recherche marketing
</t>
        </r>
        <r>
          <rPr>
            <b/>
            <sz val="9"/>
            <color rgb="FF000000"/>
            <rFont val="Arial"/>
            <family val="2"/>
          </rPr>
          <t>Ensemble des coûts nécessaires pour mener à bien les différentes activités de recherches marketing de l’entreprise.</t>
        </r>
      </text>
    </comment>
    <comment ref="C14" authorId="0" shapeId="0" xr:uid="{9AA62638-B210-4140-8CCD-EDC7598A1C31}">
      <text>
        <r>
          <rPr>
            <b/>
            <sz val="9"/>
            <color rgb="FF000000"/>
            <rFont val="Arial"/>
            <family val="2"/>
          </rPr>
          <t xml:space="preserve">Christian Latour:
</t>
        </r>
        <r>
          <rPr>
            <b/>
            <sz val="9"/>
            <color rgb="FF000000"/>
            <rFont val="Arial"/>
            <family val="2"/>
          </rPr>
          <t xml:space="preserve">7615 — Recherche &amp; Développement de nouveaux produits
</t>
        </r>
        <r>
          <rPr>
            <b/>
            <sz val="9"/>
            <color rgb="FF000000"/>
            <rFont val="Arial"/>
            <family val="2"/>
          </rPr>
          <t xml:space="preserve">Ensemble des coûts nécessaires pour mener à bien l’activité « Recherches &amp; Développement » qui est une des 9 activités clés des entreprises de restauration alimentaire.
</t>
        </r>
        <r>
          <rPr>
            <sz val="9"/>
            <color rgb="FF000000"/>
            <rFont val="Arial"/>
            <family val="2"/>
          </rPr>
          <t xml:space="preserve">
</t>
        </r>
        <r>
          <rPr>
            <b/>
            <sz val="9"/>
            <color rgb="FF000000"/>
            <rFont val="Arial"/>
            <family val="2"/>
          </rPr>
          <t xml:space="preserve">L’innovation de continuité
</t>
        </r>
        <r>
          <rPr>
            <sz val="9"/>
            <color rgb="FF000000"/>
            <rFont val="Arial"/>
            <family val="2"/>
          </rPr>
          <t xml:space="preserve">
</t>
        </r>
        <r>
          <rPr>
            <sz val="9"/>
            <color rgb="FF000000"/>
            <rFont val="Arial"/>
            <family val="2"/>
          </rPr>
          <t xml:space="preserve">On comptabilise entre autres dans ce compte les coûts encourus pour : la création, le développement et la production de nouveaux plats dans le but de les ajouter sur la carte nourriture de l’entreprise (innovation de continuité), les coûts relatifs à l’étude et à la dégustation de différents produits boissons dans le but de les ajouter sur la carte des boissons de l’entreprise, les coûts des visites d’observation dans des entreprises de restauration alimentaire concurrente, les coûts des voyages effectués à des fins de recherche (pour du matériel, des équipements, des produits, et, etc.), et, etc.
</t>
        </r>
        <r>
          <rPr>
            <sz val="9"/>
            <color rgb="FF000000"/>
            <rFont val="Arial"/>
            <family val="2"/>
          </rPr>
          <t xml:space="preserve">
</t>
        </r>
        <r>
          <rPr>
            <sz val="9"/>
            <color rgb="FF000000"/>
            <rFont val="Arial"/>
            <family val="2"/>
          </rPr>
          <t xml:space="preserve">On comptabilise également dans ce compte les coûts relatifs à l’innovation d’efficience ainsi que les coûts relatifs à l’innovation transformatrice.
</t>
        </r>
        <r>
          <rPr>
            <sz val="9"/>
            <color rgb="FF000000"/>
            <rFont val="Arial"/>
            <family val="2"/>
          </rPr>
          <t xml:space="preserve">
</t>
        </r>
        <r>
          <rPr>
            <b/>
            <sz val="9"/>
            <color rgb="FF000000"/>
            <rFont val="Arial"/>
            <family val="2"/>
          </rPr>
          <t xml:space="preserve">L’innovation d’efficience
</t>
        </r>
        <r>
          <rPr>
            <sz val="9"/>
            <color rgb="FF000000"/>
            <rFont val="Arial"/>
            <family val="2"/>
          </rPr>
          <t xml:space="preserve">
</t>
        </r>
        <r>
          <rPr>
            <sz val="9"/>
            <color rgb="FF000000"/>
            <rFont val="Arial"/>
            <family val="2"/>
          </rPr>
          <t xml:space="preserve">L’innovation d’efficience dérive de l’exploration des opportunités qui améliorent les aspects opérationnels des modèles économiques existants d’une entreprise sans modification majeure du modèle économique. On citera par exemple les technologies qui améliorent les opérations, la distribution ou le support, et les innovations de processus qui rendent une organisation plus efficace.
</t>
        </r>
        <r>
          <rPr>
            <sz val="9"/>
            <color rgb="FF000000"/>
            <rFont val="Arial"/>
            <family val="2"/>
          </rPr>
          <t xml:space="preserve">
</t>
        </r>
        <r>
          <rPr>
            <b/>
            <sz val="9"/>
            <color rgb="FF000000"/>
            <rFont val="Arial"/>
            <family val="2"/>
          </rPr>
          <t xml:space="preserve">L’innovation transformatrice
</t>
        </r>
        <r>
          <rPr>
            <sz val="9"/>
            <color rgb="FF000000"/>
            <rFont val="Arial"/>
            <family val="2"/>
          </rPr>
          <t xml:space="preserve">
</t>
        </r>
        <r>
          <rPr>
            <sz val="9"/>
            <color rgb="FF000000"/>
            <rFont val="Arial"/>
            <family val="2"/>
          </rPr>
          <t xml:space="preserve">L’innovation transformatrice est la plus difficile. Il s’agit d’explorer des opportunités à l’extérieur du domaine d’activité de l’entreprise. Ce type d’innovation requiert généralement un changement radical ou une expansion du ou des modèles économiques de l’entreprise. Elle recouvre les opportunités qui aident une entreprise à se développer et à créer une nouvelle croissance, mais aussi celles qui bousculent les activités existantes. L’innovation transformationnelle contribue à positionner une entreprise pour le long terme.
</t>
        </r>
      </text>
    </comment>
    <comment ref="C15" authorId="0" shapeId="0" xr:uid="{EE688AC7-0D08-D34C-85E6-9B916217077A}">
      <text>
        <r>
          <rPr>
            <b/>
            <sz val="9"/>
            <color rgb="FF000000"/>
            <rFont val="Arial"/>
            <family val="2"/>
          </rPr>
          <t xml:space="preserve">Christian Latour :
</t>
        </r>
        <r>
          <rPr>
            <b/>
            <sz val="9"/>
            <color rgb="FF000000"/>
            <rFont val="Arial"/>
            <family val="2"/>
          </rPr>
          <t xml:space="preserve">7620 — Publicité
</t>
        </r>
        <r>
          <rPr>
            <b/>
            <sz val="9"/>
            <color rgb="FF000000"/>
            <rFont val="Arial"/>
            <family val="2"/>
          </rPr>
          <t>Ensemble des coûts nécessaires pour la création, la production, la diffusion des messages publicitaires par l’entremise soient de la télévision, la radio, la presse écrite, l’affichage, le cinéma, internet, et, etc.</t>
        </r>
      </text>
    </comment>
    <comment ref="C16" authorId="0" shapeId="0" xr:uid="{99A78CE4-DD22-4242-80F2-9BF3201AA9CB}">
      <text>
        <r>
          <rPr>
            <b/>
            <sz val="9"/>
            <color rgb="FF000000"/>
            <rFont val="Arial"/>
            <family val="2"/>
          </rPr>
          <t xml:space="preserve">Christian Latour :
</t>
        </r>
        <r>
          <rPr>
            <b/>
            <sz val="9"/>
            <color rgb="FF000000"/>
            <rFont val="Arial"/>
            <family val="2"/>
          </rPr>
          <t xml:space="preserve">7630 — Relations publiques
</t>
        </r>
        <r>
          <rPr>
            <b/>
            <sz val="9"/>
            <color rgb="FF000000"/>
            <rFont val="Arial"/>
            <family val="2"/>
          </rPr>
          <t xml:space="preserve">Ensemble des coûts nécessaires pour établir et assurer des relations d’affaires durables avec les différents publics de l’entreprise.
</t>
        </r>
        <r>
          <rPr>
            <b/>
            <sz val="9"/>
            <color rgb="FF000000"/>
            <rFont val="Arial"/>
            <family val="2"/>
          </rPr>
          <t xml:space="preserve">
</t>
        </r>
        <r>
          <rPr>
            <b/>
            <sz val="9"/>
            <color rgb="FF000000"/>
            <rFont val="Arial"/>
            <family val="2"/>
          </rPr>
          <t>On comptabilise entre autres dans ce compte les coûts encourus pour : les frais de déplacement, les honoraires professionnels payés pour la création d’un communiqué de presse, et, etc.</t>
        </r>
      </text>
    </comment>
    <comment ref="C17" authorId="0" shapeId="0" xr:uid="{3072656A-BCA1-D940-8DFF-69C4CC1E4C28}">
      <text>
        <r>
          <rPr>
            <b/>
            <sz val="9"/>
            <color indexed="81"/>
            <rFont val="Arial"/>
            <family val="2"/>
          </rPr>
          <t>Christian Latour:
7640 — Ventes directes
Ensemble des coûts nécessaires pour assurer la vente directe par l’entremise de représentants.
On comptabilise entre autres dans ce compte les coûts encourus pour : les rémunérations des représentants, les frais de déplacement, les frais de postes et messageries, les coûts associés aux télécommunications, et, etc.</t>
        </r>
      </text>
    </comment>
    <comment ref="C18" authorId="0" shapeId="0" xr:uid="{319CBA01-BA70-784E-A374-FB48EC610890}">
      <text>
        <r>
          <rPr>
            <b/>
            <sz val="9"/>
            <color indexed="81"/>
            <rFont val="Arial"/>
            <family val="2"/>
          </rPr>
          <t>Christian Latour :
7650 — Promotion
Ensemble des coûts nécessaires pour assurer la promotion de l’établissement et de ses différents produits et services.
On comptabilise entre autres dans ce compte les coûts encourus pour : la nourriture et la boisson offertes gratuitement aux clients par la maison, les coûts d’achat et/ou de production pour les cadeaux promotionnels offerts aux clients, les coûts payés pour inscrire le nom de l’entreprise ou son logo sur le matériel de l’entreprise (les verres, les assiettes, et, etc.), et, etc.</t>
        </r>
      </text>
    </comment>
    <comment ref="C19" authorId="0" shapeId="0" xr:uid="{52AB4F37-1851-6D42-8EF1-AE795487ABC9}">
      <text>
        <r>
          <rPr>
            <b/>
            <sz val="9"/>
            <color rgb="FF000000"/>
            <rFont val="Arial"/>
            <family val="2"/>
          </rPr>
          <t xml:space="preserve">Christian Latour :
</t>
        </r>
        <r>
          <rPr>
            <b/>
            <sz val="9"/>
            <color rgb="FF000000"/>
            <rFont val="Arial"/>
            <family val="2"/>
          </rPr>
          <t xml:space="preserve">7660 — Marketing direct
</t>
        </r>
        <r>
          <rPr>
            <b/>
            <sz val="9"/>
            <color rgb="FF000000"/>
            <rFont val="Arial"/>
            <family val="2"/>
          </rPr>
          <t xml:space="preserve">Ensemble des coûts nécessaires pour assurer une communication directe et personnalisée avec des consommateurs ciblés individuellement.
</t>
        </r>
        <r>
          <rPr>
            <b/>
            <sz val="9"/>
            <color rgb="FF000000"/>
            <rFont val="Arial"/>
            <family val="2"/>
          </rPr>
          <t xml:space="preserve">
</t>
        </r>
        <r>
          <rPr>
            <b/>
            <sz val="9"/>
            <color rgb="FF000000"/>
            <rFont val="Arial"/>
            <family val="2"/>
          </rPr>
          <t>On comptabilise entre autres dans ce compte les coûts encourus pour : la collecte et l’exploitation dans une base de données des informations individuelles, les coûts encourus pour la création, la production et la diffusion de message personnalisé (par la poste, par « mailing » ou autrement), et, etc.</t>
        </r>
      </text>
    </comment>
    <comment ref="C20" authorId="0" shapeId="0" xr:uid="{C80668DC-0A59-DE4B-894E-0AFA2B2532AC}">
      <text>
        <r>
          <rPr>
            <b/>
            <sz val="9"/>
            <color indexed="81"/>
            <rFont val="Arial"/>
            <family val="2"/>
          </rPr>
          <t>Christian Latour :
7670 — Commandite
Ensemble des coûts nécessaires pour faire ce qu’il y a faire en matière de commandite.
On comptabilise entre autres dans ce compte les coûts encourus pour : les dons à des œuvres de charité, les commandites d’athlète ou d’équipes sportives, et, etc.</t>
        </r>
      </text>
    </comment>
    <comment ref="C21" authorId="0" shapeId="0" xr:uid="{D9119D02-9598-6F4A-8425-BF9312B3C544}">
      <text>
        <r>
          <rPr>
            <b/>
            <sz val="9"/>
            <color indexed="81"/>
            <rFont val="Arial"/>
            <family val="2"/>
          </rPr>
          <t>Christian Latour :
7680 — Placement de produit
Ensemble des coûts nécessaires pour assurer l’intégration d’un produit ou de la marque de commerce dans une émission de télévision, un film, une pièce de théâtre, un vidéoclip, un livre, et, etc. avec en tête les intentions de la communication marketing.</t>
        </r>
      </text>
    </comment>
    <comment ref="C22" authorId="0" shapeId="0" xr:uid="{910D802A-35A1-3249-9DDE-8D9932CEF27B}">
      <text>
        <r>
          <rPr>
            <b/>
            <sz val="9"/>
            <color indexed="81"/>
            <rFont val="Arial"/>
            <family val="2"/>
          </rPr>
          <t>Christian Latour :
7690 — Communication événementielle
Ensemble des coûts nécessaires pour assurer la planification, l’organisation et la mise en œuvre des différents événements promotionnels de l’entreprise.
On comptabilise entre autres dans ce compte les coûts encourus pour : les honoraires payés à une agence spécialisée en organisation d’événement, la création, la production et la diffusion d’invitation à un événement, l’animation et l’animation artistique lors d’un événement, la location d’équipement e/ou de matériel, la location de personnel, et, etc.</t>
        </r>
      </text>
    </comment>
    <comment ref="C23" authorId="0" shapeId="0" xr:uid="{D4319966-7440-A746-B482-8FAC1EED5557}">
      <text>
        <r>
          <rPr>
            <b/>
            <sz val="9"/>
            <color indexed="81"/>
            <rFont val="Arial"/>
            <family val="2"/>
          </rPr>
          <t>Christian Latour :
7699 — Autres coûts 
Ensemble des coûts encourus afin d’assurer le marketing et les communications marketing d’une entreprise de restauration alimentaire et qui ne peut pas être directement comptabilisé dans les comptes précédents.</t>
        </r>
      </text>
    </comment>
    <comment ref="C25" authorId="0" shapeId="0" xr:uid="{B9AAA214-B36E-684E-B832-A2E69BC44CAE}">
      <text>
        <r>
          <rPr>
            <b/>
            <sz val="10"/>
            <color rgb="FF000000"/>
            <rFont val="Arial"/>
            <family val="2"/>
          </rPr>
          <t xml:space="preserve">Christian Latour :
</t>
        </r>
        <r>
          <rPr>
            <b/>
            <sz val="10"/>
            <color rgb="FF000000"/>
            <rFont val="Arial"/>
            <family val="2"/>
          </rPr>
          <t xml:space="preserve">7600 — Marketing &amp; Communication marketing
</t>
        </r>
        <r>
          <rPr>
            <b/>
            <sz val="10"/>
            <color rgb="FF000000"/>
            <rFont val="Arial"/>
            <family val="2"/>
          </rPr>
          <t>Il s’agit du compte de contrôle dans lequel on additionne le total des coûts encourus pour l’ensemble des activités relatif au marketing et à la communication marketing.</t>
        </r>
        <r>
          <rPr>
            <sz val="10"/>
            <color rgb="FF000000"/>
            <rFont val="Arial"/>
            <family val="2"/>
          </rPr>
          <t xml:space="preserve">
</t>
        </r>
        <r>
          <rPr>
            <sz val="10"/>
            <color rgb="FF000000"/>
            <rFont val="Arial"/>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606340AE-3292-174D-8CE2-C50D01AAF0EB}">
      <text>
        <r>
          <rPr>
            <b/>
            <sz val="9"/>
            <color rgb="FF000000"/>
            <rFont val="Arial"/>
            <family val="2"/>
          </rPr>
          <t xml:space="preserve">Christian Latour:
</t>
        </r>
        <r>
          <rPr>
            <b/>
            <sz val="9"/>
            <color rgb="FF000000"/>
            <rFont val="Arial"/>
            <family val="2"/>
          </rPr>
          <t xml:space="preserve">7705 — Électricité
</t>
        </r>
        <r>
          <rPr>
            <b/>
            <sz val="9"/>
            <color rgb="FF000000"/>
            <rFont val="Arial"/>
            <family val="2"/>
          </rPr>
          <t>Montant payé pour l’utilisation de l’électricité.</t>
        </r>
      </text>
    </comment>
    <comment ref="C14" authorId="0" shapeId="0" xr:uid="{09DE6BEB-31AD-D541-BCC7-C2F6C1DDE683}">
      <text>
        <r>
          <rPr>
            <b/>
            <sz val="9"/>
            <color rgb="FF000000"/>
            <rFont val="Arial"/>
            <family val="2"/>
          </rPr>
          <t xml:space="preserve">Christian Latour:
</t>
        </r>
        <r>
          <rPr>
            <b/>
            <sz val="9"/>
            <color rgb="FF000000"/>
            <rFont val="Arial"/>
            <family val="2"/>
          </rPr>
          <t xml:space="preserve">7710 — Accessoires électriques
</t>
        </r>
        <r>
          <rPr>
            <b/>
            <sz val="9"/>
            <color rgb="FF000000"/>
            <rFont val="Arial"/>
            <family val="2"/>
          </rPr>
          <t>Montant payé pour le remplacement des ampoules, des néons ainsi que des autres petits accessoires électriques.</t>
        </r>
      </text>
    </comment>
    <comment ref="C15" authorId="0" shapeId="0" xr:uid="{97DC0A61-529E-354E-86E5-66E53B30B36E}">
      <text>
        <r>
          <rPr>
            <b/>
            <sz val="9"/>
            <color rgb="FF000000"/>
            <rFont val="Arial"/>
            <family val="2"/>
          </rPr>
          <t xml:space="preserve">Christian Latour:
</t>
        </r>
        <r>
          <rPr>
            <b/>
            <sz val="9"/>
            <color rgb="FF000000"/>
            <rFont val="Arial"/>
            <family val="2"/>
          </rPr>
          <t xml:space="preserve">715 — Eau et glace
</t>
        </r>
        <r>
          <rPr>
            <b/>
            <sz val="9"/>
            <color rgb="FF000000"/>
            <rFont val="Arial"/>
            <family val="2"/>
          </rPr>
          <t>Montant payé pour l’utilisation de l’eau incluant les coûts nécessaires pour en assurer la purification. Montant payé pour l’achat ou la fabrication de la glace, des accessoires pour sa manipulation ainsi que pour l’utilisation et l’entretien des machines à glace. Le montant d’achat de glace pour les sculptures de glaces devrait également être inclus dans le compte.</t>
        </r>
      </text>
    </comment>
    <comment ref="C16" authorId="0" shapeId="0" xr:uid="{98AD9C07-8ADC-1E47-BAB1-A0C2CBC670E5}">
      <text>
        <r>
          <rPr>
            <b/>
            <sz val="9"/>
            <color indexed="81"/>
            <rFont val="Arial"/>
            <family val="2"/>
          </rPr>
          <t>Christian Latour:
7720 — Enlèvement des ordures
Montant payé pour la gestion et l’enlèvement des ordures incluant le coût de location d’un contenant à ordure, le coût de location d’un incinérateur, etc.</t>
        </r>
        <r>
          <rPr>
            <sz val="9"/>
            <color indexed="81"/>
            <rFont val="Arial"/>
            <family val="2"/>
          </rPr>
          <t xml:space="preserve">
</t>
        </r>
      </text>
    </comment>
    <comment ref="C17" authorId="0" shapeId="0" xr:uid="{81344BBC-12DF-BA4D-9B0B-DEBD9E9F1EFB}">
      <text>
        <r>
          <rPr>
            <b/>
            <sz val="9"/>
            <color indexed="81"/>
            <rFont val="Arial"/>
            <family val="2"/>
          </rPr>
          <t>Christian Latour:
7725 — Autres énergies
Montant payé pour l’utilisation des autres énergies incluant les coûts reliés à l’utilisation du gaz ou de l’huile.</t>
        </r>
      </text>
    </comment>
    <comment ref="C18" authorId="0" shapeId="0" xr:uid="{5A7A9B4F-09AE-7A47-AAA6-51408A49F68E}">
      <text>
        <r>
          <rPr>
            <b/>
            <sz val="9"/>
            <color indexed="81"/>
            <rFont val="Arial"/>
            <family val="2"/>
          </rPr>
          <t>Christian Latour:
7730 — Fournitures de mécanique et d’électricité
Montant payé pour l’utilisation des huiles, fusibles, graisses, solvants et petits outils utilisés pour les opérations de maintenance, et, etc.</t>
        </r>
      </text>
    </comment>
    <comment ref="C19" authorId="0" shapeId="0" xr:uid="{CE3C7551-75A1-FB43-B9FF-37DE2669D3F3}">
      <text>
        <r>
          <rPr>
            <b/>
            <sz val="9"/>
            <color indexed="81"/>
            <rFont val="Arial"/>
            <family val="2"/>
          </rPr>
          <t>Christian Latour:</t>
        </r>
        <r>
          <rPr>
            <sz val="9"/>
            <color indexed="81"/>
            <rFont val="Arial"/>
            <family val="2"/>
          </rPr>
          <t xml:space="preserve">
</t>
        </r>
        <r>
          <rPr>
            <b/>
            <sz val="9"/>
            <color indexed="81"/>
            <rFont val="Arial"/>
            <family val="2"/>
          </rPr>
          <t>7790 — Revenus de recyclage
Montant reçu pour les articles ou déchets recyclés et pour lesquels on a obtenu une compensation en argent. Les inscriptions dans ce compte doivent être faites au crédit plutôt qu’au débit. Le montant inscrit dans ce compte a donc pour effet de diminuer le montant total dépensé pour les services publics.</t>
        </r>
      </text>
    </comment>
    <comment ref="C20" authorId="0" shapeId="0" xr:uid="{C3BD316F-B4A7-1145-8AE7-98CDAEE666BA}">
      <text>
        <r>
          <rPr>
            <b/>
            <sz val="9"/>
            <color indexed="81"/>
            <rFont val="Arial"/>
            <family val="2"/>
          </rPr>
          <t>Christian Latour:
795 — Reventes de services utilitaires 
Montant reçu pour la vente d’électricité, glace, eau ou de tout autre élément contenu dans la section « Services publics » à un locataire, à un concessionnaire ou à n’importe quel autre acheteur. Les inscriptions dans ce compte doivent être faites au crédit plutôt qu’au débit. Le montant inscrit dans ce compte a donc pour effet de diminuer le montant total dépensé pour les services publics.</t>
        </r>
      </text>
    </comment>
    <comment ref="C21" authorId="0" shapeId="0" xr:uid="{A15C71EB-DAD2-9C44-AF3A-311D3784163F}">
      <text>
        <r>
          <rPr>
            <b/>
            <sz val="9"/>
            <color indexed="81"/>
            <rFont val="Arial"/>
            <family val="2"/>
          </rPr>
          <t>Christian Latour:</t>
        </r>
        <r>
          <rPr>
            <sz val="9"/>
            <color indexed="81"/>
            <rFont val="Arial"/>
            <family val="2"/>
          </rPr>
          <t xml:space="preserve">
</t>
        </r>
        <r>
          <rPr>
            <b/>
            <sz val="9"/>
            <color indexed="81"/>
            <rFont val="Arial"/>
            <family val="2"/>
          </rPr>
          <t>7799 — Autres coûts associés aux services publics
Autres montants payés pour les services publics qui n’est pas comptabilisé dans l’un des comptes précédents.</t>
        </r>
      </text>
    </comment>
    <comment ref="C23" authorId="0" shapeId="0" xr:uid="{3619E745-68D6-AC44-9A89-F266C8E59767}">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7700 — Services publics
</t>
        </r>
        <r>
          <rPr>
            <b/>
            <sz val="10"/>
            <color rgb="FF000000"/>
            <rFont val="Arial"/>
            <family val="2"/>
          </rPr>
          <t>Il s’agit du compte de contrôle dans lequel on additionne le total des coûts de la catégorie services publics.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D52A5F72-052C-094B-AAC0-1613866BD15D}">
      <text>
        <r>
          <rPr>
            <b/>
            <sz val="9"/>
            <color indexed="81"/>
            <rFont val="Arial"/>
            <family val="2"/>
          </rPr>
          <t>Christian Latour :
7805 - Fournitures de bureau et impression
Montant payé pour les impressions des documents comptables, les autres fournitures de bureau telles que trombones, papiers, stylos et autres fournitures utilisées pour la facturation et l’encaissement des transactions (factures, papiers à lettres, enveloppes, et, etc.).</t>
        </r>
      </text>
    </comment>
    <comment ref="C14" authorId="0" shapeId="0" xr:uid="{90A2DF16-4D0C-0849-B4C4-79EA2B845C09}">
      <text>
        <r>
          <rPr>
            <b/>
            <sz val="9"/>
            <color indexed="81"/>
            <rFont val="Arial"/>
            <family val="2"/>
          </rPr>
          <t>Christian Latour :
7810 - Traitement de données
Montant payé pour le traitement électronique de l’information tel que le service de préparation de la paye lorsqu’il est effectué à l’extérieur de l’entreprise par une firme spécialisée. On comptabilise également dans ce compte l’amortissement des différents logiciels qui sont utilisés pour le traitement de l’information (traitement de texte, chiffrier électronique, logiciel de comptabilité, et, etc.).</t>
        </r>
      </text>
    </comment>
    <comment ref="C15" authorId="0" shapeId="0" xr:uid="{C139F634-FE6C-684B-9BFE-6490DC6CE06E}">
      <text>
        <r>
          <rPr>
            <b/>
            <sz val="9"/>
            <color rgb="FF000000"/>
            <rFont val="Arial"/>
            <family val="2"/>
          </rPr>
          <t xml:space="preserve">Christian Latour :
</t>
        </r>
        <r>
          <rPr>
            <b/>
            <sz val="9"/>
            <color rgb="FF000000"/>
            <rFont val="Arial"/>
            <family val="2"/>
          </rPr>
          <t xml:space="preserve">7815 - Poste et messagerie
</t>
        </r>
        <r>
          <rPr>
            <b/>
            <sz val="9"/>
            <color rgb="FF000000"/>
            <rFont val="Arial"/>
            <family val="2"/>
          </rPr>
          <t>Montant payé pour les frais de timbres, de poste et de messagerie qui ne sont pas reliés aux activités de marketing.</t>
        </r>
      </text>
    </comment>
    <comment ref="C16" authorId="0" shapeId="0" xr:uid="{AB4E664A-8D8C-FE4F-9C37-6F56CB6AFBDF}">
      <text>
        <r>
          <rPr>
            <b/>
            <sz val="9"/>
            <color rgb="FF000000"/>
            <rFont val="Arial"/>
            <family val="2"/>
          </rPr>
          <t xml:space="preserve">Christian Latour :
</t>
        </r>
        <r>
          <rPr>
            <b/>
            <sz val="9"/>
            <color rgb="FF000000"/>
            <rFont val="Arial"/>
            <family val="2"/>
          </rPr>
          <t xml:space="preserve">7820 - Télécommunications
</t>
        </r>
        <r>
          <rPr>
            <b/>
            <sz val="9"/>
            <color rgb="FF000000"/>
            <rFont val="Arial"/>
            <family val="2"/>
          </rPr>
          <t>Montant payé pour la location de l’équipement téléphonique, la ligne locale et les appels interurbains, exception faite des montants qui peuvent être attribués directement aux activités de marketing. Les services utilitaires tels que les téléavertisseurs et les cellulaires sont également comptabilisés dans ce compte.</t>
        </r>
      </text>
    </comment>
    <comment ref="C17" authorId="0" shapeId="0" xr:uid="{6C015E22-758D-2C4C-A939-B802F1EF63C9}">
      <text>
        <r>
          <rPr>
            <b/>
            <sz val="9"/>
            <color rgb="FF000000"/>
            <rFont val="Arial"/>
            <family val="2"/>
          </rPr>
          <t xml:space="preserve">Christian Latour :
</t>
        </r>
        <r>
          <rPr>
            <b/>
            <sz val="9"/>
            <color rgb="FF000000"/>
            <rFont val="Arial"/>
            <family val="2"/>
          </rPr>
          <t xml:space="preserve">7825 - Associations, droits et cotisations
</t>
        </r>
        <r>
          <rPr>
            <b/>
            <sz val="9"/>
            <color rgb="FF000000"/>
            <rFont val="Arial"/>
            <family val="2"/>
          </rPr>
          <t>Montant payé pour l’abonnement à des associations telles que l’Association des restaurateurs du Québec (ARQ), la chambre de commerce, et, etc. On comptabilise également dans cette section le coût des abonnements à des journaux et magazines spécialisés qui sont utilisés par les gestionnaires et le personnel.</t>
        </r>
      </text>
    </comment>
    <comment ref="C18" authorId="0" shapeId="0" xr:uid="{3FB48EFC-5FDB-8D43-B3E7-AEB9CAA8D657}">
      <text>
        <r>
          <rPr>
            <b/>
            <sz val="9"/>
            <color rgb="FF000000"/>
            <rFont val="Arial"/>
            <family val="2"/>
          </rPr>
          <t xml:space="preserve">Christian Latour :
</t>
        </r>
        <r>
          <rPr>
            <b/>
            <sz val="9"/>
            <color rgb="FF000000"/>
            <rFont val="Arial"/>
            <family val="2"/>
          </rPr>
          <t xml:space="preserve">7830 - Déplacement
</t>
        </r>
        <r>
          <rPr>
            <b/>
            <sz val="9"/>
            <color rgb="FF000000"/>
            <rFont val="Arial"/>
            <family val="2"/>
          </rPr>
          <t>Montant payé pour le transport des gérants et des gestionnaires lorsqu’ils se déplacent dans le cadre de leur fonction. Si les déplacements sont effectués dans le contexte des activités de marketing, les dépenses sont alors inscrites dans le compte 7603 - Déplacements.</t>
        </r>
      </text>
    </comment>
    <comment ref="C19" authorId="0" shapeId="0" xr:uid="{0936444E-B783-2B41-935B-F60E07A48989}">
      <text>
        <r>
          <rPr>
            <b/>
            <sz val="9"/>
            <color rgb="FF000000"/>
            <rFont val="Arial"/>
            <family val="2"/>
          </rPr>
          <t xml:space="preserve">Christian Latour :
</t>
        </r>
        <r>
          <rPr>
            <b/>
            <sz val="9"/>
            <color rgb="FF000000"/>
            <rFont val="Arial"/>
            <family val="2"/>
          </rPr>
          <t xml:space="preserve">7835 - Assurances générales
</t>
        </r>
        <r>
          <rPr>
            <b/>
            <sz val="9"/>
            <color rgb="FF000000"/>
            <rFont val="Arial"/>
            <family val="2"/>
          </rPr>
          <t>Montant payé pour les assurances qui couvrent, notamment, vol, fraude, vandalisme, falsification, bris d’équipement, assurance-vie des dirigeants, et, etc. Les assurances qui sont pour le bénéfice des employés doivent être comptabilisés dans la section 7200. Pour ce qui est des assurances incendie et couverture étendue, les montants doivent être comptabilisés dans le compte 7370.</t>
        </r>
      </text>
    </comment>
    <comment ref="C20" authorId="0" shapeId="0" xr:uid="{C605ACEC-8A19-DD4A-B689-47CB3FF70202}">
      <text>
        <r>
          <rPr>
            <b/>
            <sz val="9"/>
            <color rgb="FF000000"/>
            <rFont val="Arial"/>
            <family val="2"/>
          </rPr>
          <t xml:space="preserve">Christian Latour :
</t>
        </r>
        <r>
          <rPr>
            <b/>
            <sz val="9"/>
            <color rgb="FF000000"/>
            <rFont val="Arial"/>
            <family val="2"/>
          </rPr>
          <t xml:space="preserve">7840 - Frais d’escompte sur les cartes de crédit
</t>
        </r>
        <r>
          <rPr>
            <b/>
            <sz val="9"/>
            <color rgb="FF000000"/>
            <rFont val="Arial"/>
            <family val="2"/>
          </rPr>
          <t>Montant payé aux compagnies émettrices de cartes de crédit pour la gestion et le remboursement des transactions effectuées par carte de crédit.</t>
        </r>
      </text>
    </comment>
    <comment ref="C21" authorId="0" shapeId="0" xr:uid="{F2B5AADA-35BB-5E45-AD8D-9364353A0829}">
      <text>
        <r>
          <rPr>
            <b/>
            <sz val="9"/>
            <color rgb="FF000000"/>
            <rFont val="Arial"/>
            <family val="2"/>
          </rPr>
          <t xml:space="preserve">Christian Latour :
</t>
        </r>
        <r>
          <rPr>
            <b/>
            <sz val="9"/>
            <color rgb="FF000000"/>
            <rFont val="Arial"/>
            <family val="2"/>
          </rPr>
          <t xml:space="preserve">7845 - Provision pour mauvaises créances
</t>
        </r>
        <r>
          <rPr>
            <b/>
            <sz val="9"/>
            <color rgb="FF000000"/>
            <rFont val="Arial"/>
            <family val="2"/>
          </rPr>
          <t xml:space="preserve">Montant payé pour le recouvrement de mauvaises créances.
</t>
        </r>
        <r>
          <rPr>
            <b/>
            <sz val="9"/>
            <color rgb="FF000000"/>
            <rFont val="Arial"/>
            <family val="2"/>
          </rPr>
          <t xml:space="preserve">
</t>
        </r>
      </text>
    </comment>
    <comment ref="C22" authorId="0" shapeId="0" xr:uid="{AEE59D69-F476-A949-9EF8-D091F594B245}">
      <text>
        <r>
          <rPr>
            <b/>
            <sz val="9"/>
            <color rgb="FF000000"/>
            <rFont val="Arial"/>
            <family val="2"/>
          </rPr>
          <t xml:space="preserve">Christian Latour :
</t>
        </r>
        <r>
          <rPr>
            <b/>
            <sz val="9"/>
            <color rgb="FF000000"/>
            <rFont val="Arial"/>
            <family val="2"/>
          </rPr>
          <t xml:space="preserve">7850 - Déficit et surplus de caisse
</t>
        </r>
        <r>
          <rPr>
            <b/>
            <sz val="9"/>
            <color rgb="FF000000"/>
            <rFont val="Arial"/>
            <family val="2"/>
          </rPr>
          <t xml:space="preserve">Montant reçu en trop ou en moins compte tenu des transactions réellement réalisées par l’entreprise.
</t>
        </r>
        <r>
          <rPr>
            <b/>
            <sz val="9"/>
            <color rgb="FF000000"/>
            <rFont val="Arial"/>
            <family val="2"/>
          </rPr>
          <t xml:space="preserve">
</t>
        </r>
      </text>
    </comment>
    <comment ref="C23" authorId="0" shapeId="0" xr:uid="{CC95C073-2401-DB44-8F24-604C05EE595C}">
      <text>
        <r>
          <rPr>
            <b/>
            <sz val="9"/>
            <color rgb="FF000000"/>
            <rFont val="Arial"/>
            <family val="2"/>
          </rPr>
          <t xml:space="preserve">Christian Latour :
</t>
        </r>
        <r>
          <rPr>
            <b/>
            <sz val="9"/>
            <color rgb="FF000000"/>
            <rFont val="Arial"/>
            <family val="2"/>
          </rPr>
          <t xml:space="preserve">7855 - Honoraires professionnels
</t>
        </r>
        <r>
          <rPr>
            <b/>
            <sz val="9"/>
            <color rgb="FF000000"/>
            <rFont val="Arial"/>
            <family val="2"/>
          </rPr>
          <t>Montant payé pour les services professionnels des comptables, avocats, notaires, ingénieurs, consultants, et, etc. Les honoraires encourus pour le recouvrement des mauvaises créances doivent être toutefois comptabilisés dans le compte 7845.</t>
        </r>
      </text>
    </comment>
    <comment ref="C24" authorId="0" shapeId="0" xr:uid="{F18397F8-8769-5C47-9306-C72636188608}">
      <text>
        <r>
          <rPr>
            <b/>
            <sz val="9"/>
            <color rgb="FF000000"/>
            <rFont val="Arial"/>
            <family val="2"/>
          </rPr>
          <t xml:space="preserve">Christian Latour :
</t>
        </r>
        <r>
          <rPr>
            <b/>
            <sz val="9"/>
            <color rgb="FF000000"/>
            <rFont val="Arial"/>
            <family val="2"/>
          </rPr>
          <t xml:space="preserve">7860 - Services de protection/sécurité
</t>
        </r>
        <r>
          <rPr>
            <b/>
            <sz val="9"/>
            <color rgb="FF000000"/>
            <rFont val="Arial"/>
            <family val="2"/>
          </rPr>
          <t>Montant payé pour assurer la protection de l’établissement (garde de sécurité, système d’alarme contre le feu et le vol, collecte des dépôts par camion blindé, et, etc.).</t>
        </r>
      </text>
    </comment>
    <comment ref="C25" authorId="0" shapeId="0" xr:uid="{A21977B0-9B94-3949-86BE-ABC5390A675A}">
      <text>
        <r>
          <rPr>
            <b/>
            <sz val="9"/>
            <color rgb="FF000000"/>
            <rFont val="Arial"/>
            <family val="2"/>
          </rPr>
          <t xml:space="preserve">Christian Latour :
</t>
        </r>
        <r>
          <rPr>
            <b/>
            <sz val="9"/>
            <color rgb="FF000000"/>
            <rFont val="Arial"/>
            <family val="2"/>
          </rPr>
          <t xml:space="preserve">7865 - Intérêts et frais bancaires
</t>
        </r>
        <r>
          <rPr>
            <b/>
            <sz val="9"/>
            <color rgb="FF000000"/>
            <rFont val="Arial"/>
            <family val="2"/>
          </rPr>
          <t>Montant payé pour les intérêts et autres services bancaires tels que la location d’un coffre à la banque, et, etc.</t>
        </r>
      </text>
    </comment>
    <comment ref="C26" authorId="0" shapeId="0" xr:uid="{0B9CF584-AEA5-AB43-8D4D-9630D3B38C9D}">
      <text>
        <r>
          <rPr>
            <b/>
            <sz val="9"/>
            <color indexed="81"/>
            <rFont val="Arial"/>
            <family val="2"/>
          </rPr>
          <t>Christian Latour :
7880 - Redevances/droits de franchise
Montant payé à un franchiseur en contrepartie des différents services offerts par celui-ci.</t>
        </r>
      </text>
    </comment>
    <comment ref="C27" authorId="0" shapeId="0" xr:uid="{5D6B355D-C689-BE4A-B5F5-47E39DE23380}">
      <text>
        <r>
          <rPr>
            <b/>
            <sz val="9"/>
            <color indexed="81"/>
            <rFont val="Arial"/>
            <family val="2"/>
          </rPr>
          <t>Christian Latour :
7899 - Autres
Autre montant payé afin d’assurer l’administration d’une entreprise de restauration alimentaire et qui ne peut pas être directement comptabilisé dans les comptes précédents.</t>
        </r>
      </text>
    </comment>
    <comment ref="C29" authorId="0" shapeId="0" xr:uid="{9147CE03-6B6F-1D4A-9DF3-097594D14A8D}">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7800 - Administration &amp; autres frais généraux
</t>
        </r>
        <r>
          <rPr>
            <b/>
            <sz val="10"/>
            <color rgb="FF000000"/>
            <rFont val="Arial"/>
            <family val="2"/>
          </rPr>
          <t>Il s’agit du compte de contrôle dans lequel on additionne le total des coûts d’administration &amp; autres frais généraux.</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623A1CE4-D5C9-5D41-BF23-870B55339C33}">
      <text>
        <r>
          <rPr>
            <b/>
            <sz val="9"/>
            <color rgb="FF000000"/>
            <rFont val="Arial"/>
            <family val="2"/>
          </rPr>
          <t xml:space="preserve">Christian Latour :
</t>
        </r>
        <r>
          <rPr>
            <b/>
            <sz val="9"/>
            <color rgb="FF000000"/>
            <rFont val="Arial"/>
            <family val="2"/>
          </rPr>
          <t xml:space="preserve">7902 — Ameublements et agencements
</t>
        </r>
        <r>
          <rPr>
            <b/>
            <sz val="9"/>
            <color rgb="FF000000"/>
            <rFont val="Arial"/>
            <family val="2"/>
          </rPr>
          <t>Montant payé pour assurer l’entretien et les réparations de l’ameublement.</t>
        </r>
      </text>
    </comment>
    <comment ref="C14" authorId="0" shapeId="0" xr:uid="{0567AEAA-58D7-0540-B029-2DF48C8BE7E2}">
      <text>
        <r>
          <rPr>
            <b/>
            <sz val="9"/>
            <color rgb="FF000000"/>
            <rFont val="Arial"/>
            <family val="2"/>
          </rPr>
          <t xml:space="preserve">Christian Latour :
</t>
        </r>
        <r>
          <rPr>
            <b/>
            <sz val="9"/>
            <color rgb="FF000000"/>
            <rFont val="Arial"/>
            <family val="2"/>
          </rPr>
          <t xml:space="preserve">7904 — Équipement de cuisine
</t>
        </r>
        <r>
          <rPr>
            <b/>
            <sz val="9"/>
            <color rgb="FF000000"/>
            <rFont val="Arial"/>
            <family val="2"/>
          </rPr>
          <t>Montant payé pour assurer l’entretien et les réparations des équipements de cuisine.</t>
        </r>
      </text>
    </comment>
    <comment ref="C15" authorId="0" shapeId="0" xr:uid="{BF50749A-6268-7941-AD02-C854421CB0DA}">
      <text>
        <r>
          <rPr>
            <b/>
            <sz val="9"/>
            <color rgb="FF000000"/>
            <rFont val="Arial"/>
            <family val="2"/>
          </rPr>
          <t xml:space="preserve">Christian Latour :
</t>
        </r>
        <r>
          <rPr>
            <b/>
            <sz val="9"/>
            <color rgb="FF000000"/>
            <rFont val="Arial"/>
            <family val="2"/>
          </rPr>
          <t xml:space="preserve">7906 — Équipement de bureau
</t>
        </r>
        <r>
          <rPr>
            <b/>
            <sz val="9"/>
            <color rgb="FF000000"/>
            <rFont val="Arial"/>
            <family val="2"/>
          </rPr>
          <t>Montant payé pour assurer l’entretien et les réparations des équipements de bureau.</t>
        </r>
      </text>
    </comment>
    <comment ref="C16" authorId="0" shapeId="0" xr:uid="{BC1F7EC2-BBEB-4B42-8582-40DF92E06D12}">
      <text>
        <r>
          <rPr>
            <b/>
            <sz val="9"/>
            <color rgb="FF000000"/>
            <rFont val="Arial"/>
            <family val="2"/>
          </rPr>
          <t xml:space="preserve">Christian Latour :
</t>
        </r>
        <r>
          <rPr>
            <b/>
            <sz val="9"/>
            <color rgb="FF000000"/>
            <rFont val="Arial"/>
            <family val="2"/>
          </rPr>
          <t xml:space="preserve">7908 — Réfrigération
</t>
        </r>
        <r>
          <rPr>
            <b/>
            <sz val="9"/>
            <color rgb="FF000000"/>
            <rFont val="Arial"/>
            <family val="2"/>
          </rPr>
          <t>Montant payé pour assurer l’entretien et les réparations des équipements de réfrigération.</t>
        </r>
      </text>
    </comment>
    <comment ref="C17" authorId="0" shapeId="0" xr:uid="{E8C97939-8EE5-F147-86C6-0B97EC1AF01B}">
      <text>
        <r>
          <rPr>
            <b/>
            <sz val="9"/>
            <color rgb="FF000000"/>
            <rFont val="Arial"/>
            <family val="2"/>
          </rPr>
          <t xml:space="preserve">Christian Latour :
</t>
        </r>
        <r>
          <rPr>
            <b/>
            <sz val="9"/>
            <color rgb="FF000000"/>
            <rFont val="Arial"/>
            <family val="2"/>
          </rPr>
          <t xml:space="preserve">7910 — Air climatisé
</t>
        </r>
        <r>
          <rPr>
            <b/>
            <sz val="9"/>
            <color rgb="FF000000"/>
            <rFont val="Arial"/>
            <family val="2"/>
          </rPr>
          <t>Montant payé pour assurer l’entretien et les réparations des équipements de climatisation.</t>
        </r>
      </text>
    </comment>
    <comment ref="C18" authorId="0" shapeId="0" xr:uid="{AFCD2609-8DA7-4A4B-9515-FC1657FE5AF6}">
      <text>
        <r>
          <rPr>
            <b/>
            <sz val="9"/>
            <color rgb="FF000000"/>
            <rFont val="Arial"/>
            <family val="2"/>
          </rPr>
          <t xml:space="preserve">Christian Latour :
</t>
        </r>
        <r>
          <rPr>
            <b/>
            <sz val="9"/>
            <color rgb="FF000000"/>
            <rFont val="Arial"/>
            <family val="2"/>
          </rPr>
          <t xml:space="preserve">7912 — Plomberie et chauffage
</t>
        </r>
        <r>
          <rPr>
            <b/>
            <sz val="9"/>
            <color rgb="FF000000"/>
            <rFont val="Arial"/>
            <family val="2"/>
          </rPr>
          <t>Montant payé pour assurer l’entretien et les réparations des installations de plomberie et de chauffage.</t>
        </r>
      </text>
    </comment>
    <comment ref="C19" authorId="0" shapeId="0" xr:uid="{D6DBEF3A-5559-364D-AB14-9E13EC9AE2EB}">
      <text>
        <r>
          <rPr>
            <b/>
            <sz val="9"/>
            <color indexed="81"/>
            <rFont val="Arial"/>
            <family val="2"/>
          </rPr>
          <t>Christian Latour :
7914 — Électricité et mécanique
Montant payé pour assurer l’entretien et les réparations des systèmes électriques et mécaniques tels que les ascenseurs et les monte-charges, et, etc.</t>
        </r>
      </text>
    </comment>
    <comment ref="C20" authorId="0" shapeId="0" xr:uid="{699BB8D5-710B-2447-9572-EB432EF24A01}">
      <text>
        <r>
          <rPr>
            <b/>
            <sz val="9"/>
            <color rgb="FF000000"/>
            <rFont val="Arial"/>
            <family val="2"/>
          </rPr>
          <t xml:space="preserve">Christian Latour :
</t>
        </r>
        <r>
          <rPr>
            <b/>
            <sz val="9"/>
            <color rgb="FF000000"/>
            <rFont val="Arial"/>
            <family val="2"/>
          </rPr>
          <t xml:space="preserve">7916 — Plancher et tapis
</t>
        </r>
        <r>
          <rPr>
            <b/>
            <sz val="9"/>
            <color rgb="FF000000"/>
            <rFont val="Arial"/>
            <family val="2"/>
          </rPr>
          <t>Montant payé pour assurer l’entretien et les réparations des planchers et couvre-planchers.</t>
        </r>
      </text>
    </comment>
    <comment ref="C21" authorId="0" shapeId="0" xr:uid="{371F8EF3-6AD5-5040-82A2-7072448DE8B9}">
      <text>
        <r>
          <rPr>
            <b/>
            <sz val="9"/>
            <color indexed="81"/>
            <rFont val="Arial"/>
            <family val="2"/>
          </rPr>
          <t xml:space="preserve">Christian Latour :
7918 — Immeuble/bâtiment
Montant payé pour assurer l’entretien et les réparations de l’immeuble.
</t>
        </r>
      </text>
    </comment>
    <comment ref="C22" authorId="0" shapeId="0" xr:uid="{B09F10F8-C2AC-414E-82FC-6072FFEA5A57}">
      <text>
        <r>
          <rPr>
            <b/>
            <sz val="9"/>
            <color indexed="81"/>
            <rFont val="Arial"/>
            <family val="2"/>
          </rPr>
          <t>Christian Latour :
7920 — Stationnement
Montant payé pour assurer l’entretien et les réparations des stationnements.</t>
        </r>
      </text>
    </comment>
    <comment ref="C23" authorId="0" shapeId="0" xr:uid="{87999F51-08A8-5C4C-83EF-64165E6C5CF5}">
      <text>
        <r>
          <rPr>
            <b/>
            <sz val="9"/>
            <color rgb="FF000000"/>
            <rFont val="Arial"/>
            <family val="2"/>
          </rPr>
          <t xml:space="preserve">Christian Latour :
</t>
        </r>
        <r>
          <rPr>
            <b/>
            <sz val="9"/>
            <color rgb="FF000000"/>
            <rFont val="Arial"/>
            <family val="2"/>
          </rPr>
          <t xml:space="preserve">7922 — Terrassement et entretien des terrassements
</t>
        </r>
        <r>
          <rPr>
            <b/>
            <sz val="9"/>
            <color rgb="FF000000"/>
            <rFont val="Arial"/>
            <family val="2"/>
          </rPr>
          <t>Montant payé pour le terrassement et l’entretien des terrassements.</t>
        </r>
      </text>
    </comment>
    <comment ref="C24" authorId="0" shapeId="0" xr:uid="{AA3AFCE8-9674-3B49-B4A7-14CA805D170F}">
      <text>
        <r>
          <rPr>
            <b/>
            <sz val="9"/>
            <color indexed="81"/>
            <rFont val="Arial"/>
            <family val="2"/>
          </rPr>
          <t>Christian Latour :
7924 — Altération immobilière/bâtiment
Montant payé dans le but d’apporter des modifications au bâtiment par exemple l’ajout d’une rampe pour handicapés.</t>
        </r>
      </text>
    </comment>
    <comment ref="C25" authorId="0" shapeId="0" xr:uid="{37993F1F-2DC2-E449-B0EA-B67C528D560F}">
      <text>
        <r>
          <rPr>
            <b/>
            <sz val="9"/>
            <color rgb="FF000000"/>
            <rFont val="Arial"/>
            <family val="2"/>
          </rPr>
          <t xml:space="preserve">Christian Latour :
</t>
        </r>
        <r>
          <rPr>
            <b/>
            <sz val="9"/>
            <color rgb="FF000000"/>
            <rFont val="Arial"/>
            <family val="2"/>
          </rPr>
          <t xml:space="preserve">7928 — Peinture, recouvrement et décoration
</t>
        </r>
        <r>
          <rPr>
            <b/>
            <sz val="9"/>
            <color rgb="FF000000"/>
            <rFont val="Arial"/>
            <family val="2"/>
          </rPr>
          <t xml:space="preserve">Montant payé pour assurer l’entretien des murs et plafonds (peinture, plâtre, stuco, et, etc.).
</t>
        </r>
        <r>
          <rPr>
            <b/>
            <sz val="9"/>
            <color rgb="FF000000"/>
            <rFont val="Arial"/>
            <family val="2"/>
          </rPr>
          <t xml:space="preserve">
</t>
        </r>
      </text>
    </comment>
    <comment ref="C26" authorId="0" shapeId="0" xr:uid="{32D90A66-192A-C74F-BCB9-3662B30F953D}">
      <text>
        <r>
          <rPr>
            <b/>
            <sz val="9"/>
            <color rgb="FF000000"/>
            <rFont val="Arial"/>
            <family val="2"/>
          </rPr>
          <t xml:space="preserve">Christian Latour :
</t>
        </r>
        <r>
          <rPr>
            <b/>
            <sz val="9"/>
            <color rgb="FF000000"/>
            <rFont val="Arial"/>
            <family val="2"/>
          </rPr>
          <t xml:space="preserve">7990 — Contrat de service d’entretien
</t>
        </r>
        <r>
          <rPr>
            <b/>
            <sz val="9"/>
            <color rgb="FF000000"/>
            <rFont val="Arial"/>
            <family val="2"/>
          </rPr>
          <t xml:space="preserve">Montant payé pour les contrats d’entretien des ascenseurs, enseignes lumineuses, autres équipements, et, etc.
</t>
        </r>
        <r>
          <rPr>
            <b/>
            <sz val="9"/>
            <color rgb="FF000000"/>
            <rFont val="Arial"/>
            <family val="2"/>
          </rPr>
          <t xml:space="preserve">
</t>
        </r>
      </text>
    </comment>
    <comment ref="C27" authorId="0" shapeId="0" xr:uid="{48A001A6-20C8-D64E-A572-2768F44FC869}">
      <text>
        <r>
          <rPr>
            <b/>
            <sz val="9"/>
            <color rgb="FF000000"/>
            <rFont val="Arial"/>
            <family val="2"/>
          </rPr>
          <t xml:space="preserve">Christian Latour :
</t>
        </r>
        <r>
          <rPr>
            <b/>
            <sz val="9"/>
            <color rgb="FF000000"/>
            <rFont val="Arial"/>
            <family val="2"/>
          </rPr>
          <t xml:space="preserve">7996 - Matériel roulant
</t>
        </r>
        <r>
          <rPr>
            <b/>
            <sz val="9"/>
            <color rgb="FF000000"/>
            <rFont val="Arial"/>
            <family val="2"/>
          </rPr>
          <t>Montant payé pour assurer l’entretien et les réparations des voitures, camions et autres engins roulants utilisés par l’entreprise.</t>
        </r>
      </text>
    </comment>
    <comment ref="C28" authorId="0" shapeId="0" xr:uid="{C49E1CBC-39CD-7F43-8F3D-408EA41331EE}">
      <text>
        <r>
          <rPr>
            <b/>
            <sz val="9"/>
            <color rgb="FF000000"/>
            <rFont val="Arial"/>
            <family val="2"/>
          </rPr>
          <t xml:space="preserve">Christian Latour :
</t>
        </r>
        <r>
          <rPr>
            <b/>
            <sz val="9"/>
            <color rgb="FF000000"/>
            <rFont val="Arial"/>
            <family val="2"/>
          </rPr>
          <t xml:space="preserve">7998 — Équipements et fournitures
</t>
        </r>
        <r>
          <rPr>
            <b/>
            <sz val="9"/>
            <color rgb="FF000000"/>
            <rFont val="Arial"/>
            <family val="2"/>
          </rPr>
          <t>Montant payé notamment pour assurer l’entretien et les réparations des rideaux, draperies, tapisseries, et, etc.</t>
        </r>
      </text>
    </comment>
    <comment ref="C29" authorId="0" shapeId="0" xr:uid="{6E0DCFB9-6FEF-134A-A6FA-F158EFBEC762}">
      <text>
        <r>
          <rPr>
            <b/>
            <sz val="9"/>
            <color rgb="FF000000"/>
            <rFont val="Arial"/>
            <family val="2"/>
          </rPr>
          <t xml:space="preserve">Christian Latour :
</t>
        </r>
        <r>
          <rPr>
            <b/>
            <sz val="9"/>
            <color rgb="FF000000"/>
            <rFont val="Arial"/>
            <family val="2"/>
          </rPr>
          <t xml:space="preserve">7999 — Autres
</t>
        </r>
        <r>
          <rPr>
            <b/>
            <sz val="9"/>
            <color rgb="FF000000"/>
            <rFont val="Arial"/>
            <family val="2"/>
          </rPr>
          <t>Autres montants payés pour l’entretien et les réparations et qui ne sont pas comptabilisés dans l’un des comptes précédents.</t>
        </r>
      </text>
    </comment>
    <comment ref="C31" authorId="0" shapeId="0" xr:uid="{C5FB9A01-636D-2149-8F8A-D73A30C463EF}">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7900 — Entretien et réparations
</t>
        </r>
        <r>
          <rPr>
            <b/>
            <sz val="10"/>
            <color rgb="FF000000"/>
            <rFont val="Arial"/>
            <family val="2"/>
          </rPr>
          <t>Il s’agit du compte de contrôle dans lequel on additionne le total des coûts entretien et réparation.</t>
        </r>
      </text>
    </comment>
  </commentList>
</comments>
</file>

<file path=xl/sharedStrings.xml><?xml version="1.0" encoding="utf-8"?>
<sst xmlns="http://schemas.openxmlformats.org/spreadsheetml/2006/main" count="2946" uniqueCount="524">
  <si>
    <t>Semaine 1</t>
  </si>
  <si>
    <t xml:space="preserve"> </t>
  </si>
  <si>
    <t>6 h à 9 h 30</t>
  </si>
  <si>
    <t>9 h 30 à 11 h 30</t>
  </si>
  <si>
    <t>11 h 30 à 14 h 30</t>
  </si>
  <si>
    <t>14 h 30 à 17 h</t>
  </si>
  <si>
    <t>17 h à 19 h</t>
  </si>
  <si>
    <t>19 h à 23 h</t>
  </si>
  <si>
    <t>23 h à 6 h</t>
  </si>
  <si>
    <t>Total</t>
  </si>
  <si>
    <t>Semaine 2</t>
  </si>
  <si>
    <t>Semaine 3</t>
  </si>
  <si>
    <t>Semaine 4</t>
  </si>
  <si>
    <t>(A)  / année</t>
  </si>
  <si>
    <t>(A) / Période</t>
  </si>
  <si>
    <t>Février</t>
  </si>
  <si>
    <t>Mars</t>
  </si>
  <si>
    <t>Avril</t>
  </si>
  <si>
    <t>Juin</t>
  </si>
  <si>
    <t>Juillet</t>
  </si>
  <si>
    <t>Août</t>
  </si>
  <si>
    <t>Septembre</t>
  </si>
  <si>
    <t>Octobre</t>
  </si>
  <si>
    <t>Janvier</t>
  </si>
  <si>
    <t>Mai</t>
  </si>
  <si>
    <t>Nb de jours</t>
  </si>
  <si>
    <t>Nb de places</t>
  </si>
  <si>
    <t>Lundi</t>
  </si>
  <si>
    <t>Mardi</t>
  </si>
  <si>
    <t>Mercredi</t>
  </si>
  <si>
    <t>Jeudi</t>
  </si>
  <si>
    <t>Vendredi</t>
  </si>
  <si>
    <t>Samedi</t>
  </si>
  <si>
    <t>Dimanche</t>
  </si>
  <si>
    <t>État de l'achalandage (A)</t>
  </si>
  <si>
    <t>Votre entreprise inc.</t>
  </si>
  <si>
    <t>Année</t>
  </si>
  <si>
    <t>NB de jour / Exploitation</t>
  </si>
  <si>
    <t>Courbe de vente</t>
  </si>
  <si>
    <t>Achalandage  Mois et Année</t>
  </si>
  <si>
    <t>NB de client par place par jour</t>
  </si>
  <si>
    <t>Taux d'occupation en %</t>
  </si>
  <si>
    <t>NB de jours</t>
  </si>
  <si>
    <t xml:space="preserve"> (A) / Places / jour</t>
  </si>
  <si>
    <t>(A) / Places / Jour</t>
  </si>
  <si>
    <t>[</t>
  </si>
  <si>
    <t>]</t>
  </si>
  <si>
    <t>Demande mensuelle</t>
  </si>
  <si>
    <t>=</t>
  </si>
  <si>
    <t>Achalandage mensuel</t>
  </si>
  <si>
    <t>x</t>
  </si>
  <si>
    <t>(</t>
  </si>
  <si>
    <t>Um/A</t>
  </si>
  <si>
    <t>PmO</t>
  </si>
  <si>
    <t>)</t>
  </si>
  <si>
    <t>Coût mensuel</t>
  </si>
  <si>
    <t>CmO</t>
  </si>
  <si>
    <t>Bénéfice mensuel</t>
  </si>
  <si>
    <t>BmO</t>
  </si>
  <si>
    <t>D</t>
  </si>
  <si>
    <t>A</t>
  </si>
  <si>
    <t xml:space="preserve">C </t>
  </si>
  <si>
    <t xml:space="preserve">B </t>
  </si>
  <si>
    <t>T</t>
  </si>
  <si>
    <t>Achalandage annuelle</t>
  </si>
  <si>
    <t>Coût annuel</t>
  </si>
  <si>
    <t>Bénéfice annuel</t>
  </si>
  <si>
    <t>Dm/A</t>
  </si>
  <si>
    <t>Cm/A</t>
  </si>
  <si>
    <t>Bm/A</t>
  </si>
  <si>
    <t>D = la demande totale des acheteurs pour une période donnée, ce qui correspond aux revenus d’une entreprise de restauration alimentaire pour une période donnée</t>
  </si>
  <si>
    <t>A = le nombre d’acheteurs durant cette période (l’achalandage) </t>
  </si>
  <si>
    <t>Um/A = le nombre moyen d’unités de produits achetés par les acheteurs durant cette période </t>
  </si>
  <si>
    <t>PmO = le prix moyen des produits offerts sur la carte de l’entreprise durant cette période</t>
  </si>
  <si>
    <t>Dm/A = la demande moyenne par acheteur [la demande moyenne par acheteur (Dm/A) est souvent nommée par les différends utilisateurs, la facture moyenne par client (Fm/C)]</t>
  </si>
  <si>
    <t>En utilisant la formule de base on comprend que : D ÷ A = (Um/A x PmO) et D ÷ A = Dm/A</t>
  </si>
  <si>
    <t>Demande boisson</t>
  </si>
  <si>
    <t>Demande nourriture</t>
  </si>
  <si>
    <t>Achalandage (A)</t>
  </si>
  <si>
    <t xml:space="preserve">Nombre d’unités moyen acheté par acheteur (Um/A)
</t>
  </si>
  <si>
    <t>LISTE DE PRODUITS ET DE PRIX (ANNÉE 1)</t>
  </si>
  <si>
    <t>LISTE DE PRODUITS ET DE PRIX (Période 13)</t>
  </si>
  <si>
    <t>LISTE DE PRODUITS ET DE PRIX (Période 12)</t>
  </si>
  <si>
    <t>LISTE DE PRODUITS ET DE PRIX (Période 11)</t>
  </si>
  <si>
    <t>LISTE DE PRODUITS ET DE PRIX (Période 10)</t>
  </si>
  <si>
    <t>LISTE DE PRODUITS ET DE PRIX (Période 9)</t>
  </si>
  <si>
    <t>LISTE DE PRODUITS ET DE PRIX (Période 8)</t>
  </si>
  <si>
    <t>LISTE DE PRODUITS ET DE PRIX (Période 7)</t>
  </si>
  <si>
    <t>2e semestre</t>
  </si>
  <si>
    <t>LISTE DE PRODUITS ET DE PRIX (Période 6)</t>
  </si>
  <si>
    <t>LISTE DE PRODUITS ET DE PRIX (Période 5)</t>
  </si>
  <si>
    <t>LISTE DE PRODUITS ET DE PRIX (Période 4)</t>
  </si>
  <si>
    <t>LISTE DE PRODUITS ET DE PRIX (Période 3)</t>
  </si>
  <si>
    <t>LISTE DE PRODUITS ET DE PRIX (Période 2)</t>
  </si>
  <si>
    <t>CmO—PmO—F&amp;B cost moyen offert—Marge brute</t>
  </si>
  <si>
    <t>OFFRE TOTALE AVEC LES GÂTERIES ET LES CAFÉS GÂTERIES</t>
  </si>
  <si>
    <t>F&amp;BCmO</t>
  </si>
  <si>
    <t>CmO—PmO—Beverage Cost—Marge brute</t>
  </si>
  <si>
    <t>Boisson spécial numéro 12</t>
  </si>
  <si>
    <t>Boisson spécial numéro 11</t>
  </si>
  <si>
    <t>Boisson spécial numéro 10</t>
  </si>
  <si>
    <t>Boisson spécial numéro 9</t>
  </si>
  <si>
    <t>Boisson spécial numéro 8</t>
  </si>
  <si>
    <t>Boisson spécial numéro 7</t>
  </si>
  <si>
    <t>Boisson spécial numéro 6</t>
  </si>
  <si>
    <t>Boisson spécial numéro 5</t>
  </si>
  <si>
    <t>Boisson spécial numéro 4</t>
  </si>
  <si>
    <t>Boisson spécial numéro 3</t>
  </si>
  <si>
    <t>Boisson spécial numéro 2</t>
  </si>
  <si>
    <t>Boisson spécial numéro 1</t>
  </si>
  <si>
    <t>Les Boissons  Gâteries</t>
  </si>
  <si>
    <t>CmO—PmO—Food Cost—BmO</t>
  </si>
  <si>
    <t>Petite Gâterie 12</t>
  </si>
  <si>
    <t>Petite Gâterie 11</t>
  </si>
  <si>
    <t>Petite Gâterie 10</t>
  </si>
  <si>
    <t>Petite Gâterie 9</t>
  </si>
  <si>
    <t>Petite Gâterie 8</t>
  </si>
  <si>
    <t>Petite Gâterie 7</t>
  </si>
  <si>
    <t>Petite Gâterie 6</t>
  </si>
  <si>
    <t>Petite Gâterie 5</t>
  </si>
  <si>
    <t>Petite Gâterie 4</t>
  </si>
  <si>
    <t>Petite Gâterie 3</t>
  </si>
  <si>
    <t>Petite Gâterie 2</t>
  </si>
  <si>
    <t>Petite Gâterie 1</t>
  </si>
  <si>
    <t>Les Petite Gâteries</t>
  </si>
  <si>
    <t>Marge brute gagnée sur la vente de chaque produit offert</t>
  </si>
  <si>
    <t xml:space="preserve">« Food &amp; Beverage Cost » </t>
  </si>
  <si>
    <t>Prix de vente par produit offert</t>
  </si>
  <si>
    <t>Coûts des ressources alimentaires pour chaque produit offert (voir recettes standardisées)</t>
  </si>
  <si>
    <t>LISTE DE PRODUITS ET DE PRIX (Période 1)</t>
  </si>
  <si>
    <t>1er semestre</t>
  </si>
  <si>
    <t>Revenus totaux</t>
  </si>
  <si>
    <t>Revenus nourritures</t>
  </si>
  <si>
    <t>Revenus boissons</t>
  </si>
  <si>
    <t>Revenus produits et services complémentaires</t>
  </si>
  <si>
    <t>Coûts totaux</t>
  </si>
  <si>
    <t>Bénéfices nets avant impôts</t>
  </si>
  <si>
    <t>Résultats comparatifs</t>
  </si>
  <si>
    <t xml:space="preserve">États des résultats </t>
  </si>
  <si>
    <t>Rev. / place / jour</t>
  </si>
  <si>
    <t>Revenus annuels par place</t>
  </si>
  <si>
    <t>(%)</t>
  </si>
  <si>
    <t>Revenus</t>
  </si>
  <si>
    <t xml:space="preserve"> Nourriture</t>
  </si>
  <si>
    <t xml:space="preserve"> </t>
    <phoneticPr fontId="0" type="noConversion"/>
  </si>
  <si>
    <t xml:space="preserve"> Boisson</t>
  </si>
  <si>
    <t xml:space="preserve"> Autres revenus</t>
  </si>
  <si>
    <t xml:space="preserve">   Total des revenus</t>
  </si>
  <si>
    <t xml:space="preserve">Novembre </t>
  </si>
  <si>
    <t>Décembre</t>
  </si>
  <si>
    <t>Moyenne</t>
  </si>
  <si>
    <t>364 jours</t>
  </si>
  <si>
    <t>SCIAN 722511</t>
  </si>
  <si>
    <t>TYPES D’ENTREPRISES : RESTAURANTS À SERVICE COMPLET</t>
  </si>
  <si>
    <t>LISTE DE PRODUIT ET DE PRIX</t>
  </si>
  <si>
    <t xml:space="preserve">Coûts des produits vendus </t>
  </si>
  <si>
    <t xml:space="preserve">Prix de vente </t>
  </si>
  <si>
    <t>Coût en %</t>
  </si>
  <si>
    <t>Marge brute gagnée sur la vente de chaque produit</t>
  </si>
  <si>
    <t>PRODUITS ET SERVICES COMPLÉMENTAIRES</t>
  </si>
  <si>
    <t>CmO — PmO — Coût en % — Marge brute</t>
  </si>
  <si>
    <t>Marge brute</t>
  </si>
  <si>
    <t xml:space="preserve">OFFRE TOTALE </t>
  </si>
  <si>
    <t>CmO — PmO — coût en % — Marge brute</t>
  </si>
  <si>
    <t>Tablier collection</t>
  </si>
  <si>
    <t>Sac collection</t>
  </si>
  <si>
    <t>Parapluie collection</t>
  </si>
  <si>
    <t>Casquette</t>
  </si>
  <si>
    <t>Couverture</t>
  </si>
  <si>
    <t>Verre à Vin</t>
  </si>
  <si>
    <t>Veste pour femme</t>
  </si>
  <si>
    <t>Veste pour homme</t>
  </si>
  <si>
    <t>Porte-clés</t>
  </si>
  <si>
    <t>Tee-Shirt 100 5 coton</t>
  </si>
  <si>
    <t>Coût / place / jour</t>
  </si>
  <si>
    <t>Coût annuel par place</t>
  </si>
  <si>
    <t>Recherche Marketing</t>
  </si>
  <si>
    <t>Recherche &amp; Développement (exploitation et exploration)</t>
  </si>
  <si>
    <t>Publicités</t>
  </si>
  <si>
    <t>Relations publiques</t>
  </si>
  <si>
    <t>Ventes directes</t>
  </si>
  <si>
    <t>Promotion</t>
  </si>
  <si>
    <t>Marketing direct</t>
  </si>
  <si>
    <t>Commandite</t>
  </si>
  <si>
    <t>Placement de produit</t>
  </si>
  <si>
    <t>Communication événementielle</t>
  </si>
  <si>
    <t>Autres coûts</t>
  </si>
  <si>
    <t>Total des coûts Marketing &amp; Communication marketing</t>
  </si>
  <si>
    <t>Calendrier du 2janvier 2023 au 30 décembre 2023</t>
  </si>
  <si>
    <t>Pér.01</t>
    <phoneticPr fontId="0" type="noConversion"/>
  </si>
  <si>
    <t>Pér.02</t>
    <phoneticPr fontId="0" type="noConversion"/>
  </si>
  <si>
    <t>Pér.03</t>
    <phoneticPr fontId="0" type="noConversion"/>
  </si>
  <si>
    <t>Pér.04</t>
  </si>
  <si>
    <t>Pér.05</t>
    <phoneticPr fontId="0" type="noConversion"/>
  </si>
  <si>
    <t>Pér.06</t>
    <phoneticPr fontId="0" type="noConversion"/>
  </si>
  <si>
    <t>Pér.07</t>
    <phoneticPr fontId="0" type="noConversion"/>
  </si>
  <si>
    <t>Pér.08</t>
    <phoneticPr fontId="0" type="noConversion"/>
  </si>
  <si>
    <t>Pér.09</t>
    <phoneticPr fontId="0" type="noConversion"/>
  </si>
  <si>
    <t>Pér.10</t>
    <phoneticPr fontId="0" type="noConversion"/>
  </si>
  <si>
    <t>Pér.11</t>
    <phoneticPr fontId="0" type="noConversion"/>
  </si>
  <si>
    <t>Pér.12</t>
    <phoneticPr fontId="0" type="noConversion"/>
  </si>
  <si>
    <t>Pér.13</t>
  </si>
  <si>
    <t>NB de place</t>
  </si>
  <si>
    <t>NB de jour</t>
  </si>
  <si>
    <t>Calendrier du 2 janvier 2023 au 31 décembre 2023</t>
  </si>
  <si>
    <t>Loyer — minimum et fixe</t>
  </si>
  <si>
    <t>Loyer — variable (%)</t>
  </si>
  <si>
    <t>Location — terrain</t>
  </si>
  <si>
    <t>Location d’équipement</t>
  </si>
  <si>
    <t>Taxes foncières</t>
  </si>
  <si>
    <t>Taxes d’usage de la propriété (eau, ordures)</t>
  </si>
  <si>
    <t>Autres taxes municipales (surtaxes non résidentielles)</t>
  </si>
  <si>
    <t>Redevance ou droit d’occupation</t>
  </si>
  <si>
    <t>Contribution pour la gestion d’une copropriété</t>
  </si>
  <si>
    <t>Association ou frais d’adhésion</t>
  </si>
  <si>
    <t>Assurances — bâtiments et contenus</t>
  </si>
  <si>
    <t>Autres coûts d’occupation</t>
  </si>
  <si>
    <t>Total des coûts d’occupation</t>
  </si>
  <si>
    <t>Coût d'occupation annuel par place</t>
  </si>
  <si>
    <t>Coût direct d’exploitation annuel par place</t>
  </si>
  <si>
    <t xml:space="preserve">Uniformes </t>
  </si>
  <si>
    <t xml:space="preserve">Buanderie et nettoyage à sec </t>
  </si>
  <si>
    <t>Location — Lingeries/tissus</t>
  </si>
  <si>
    <t xml:space="preserve">Achat — Lingeries/tissus </t>
  </si>
  <si>
    <t xml:space="preserve">Accessoires de tables </t>
  </si>
  <si>
    <t xml:space="preserve">Accessoires de service </t>
  </si>
  <si>
    <t xml:space="preserve">Accessoires de cuisine </t>
  </si>
  <si>
    <t>Dépenses — véhicules (livraison)</t>
  </si>
  <si>
    <t xml:space="preserve">Fournitures d’entretien </t>
  </si>
  <si>
    <t>Fournitures de papiers + Take Out</t>
  </si>
  <si>
    <t xml:space="preserve">Fournitures pour les invités/clients </t>
  </si>
  <si>
    <t xml:space="preserve">Fournitures de bar </t>
  </si>
  <si>
    <t xml:space="preserve">Menus et cartes </t>
  </si>
  <si>
    <t xml:space="preserve">Contrat d’entretien/nettoyage ménager </t>
  </si>
  <si>
    <t xml:space="preserve">Services hygiène et salubrité </t>
  </si>
  <si>
    <t xml:space="preserve">Décorations intérieures </t>
  </si>
  <si>
    <t>Stationnement — véhicules des clients</t>
  </si>
  <si>
    <t xml:space="preserve">Droits (permis) d’exploitations </t>
  </si>
  <si>
    <t>Frais de banquet</t>
  </si>
  <si>
    <t>Autres dépenses d’exploitation</t>
  </si>
  <si>
    <t>Total des coûts directs d’exploitation</t>
  </si>
  <si>
    <t>Pour la période du 2 janvier 2023 au 31 décembre 2023</t>
  </si>
  <si>
    <t>Coût musique &amp; divertissement annuel par place</t>
  </si>
  <si>
    <t>Musiciens et animateur</t>
  </si>
  <si>
    <t>Divertisseurs professionnel</t>
  </si>
  <si>
    <t>Musique d'ambiance (avec gestion à l'interne )</t>
  </si>
  <si>
    <t>Service de musique câblée</t>
  </si>
  <si>
    <t>Location de piano et réglage (tuning)</t>
    <phoneticPr fontId="0" type="noConversion"/>
  </si>
  <si>
    <t>Soutien matériel aux musiciens</t>
  </si>
  <si>
    <t>Redevances à la SOCAN</t>
    <phoneticPr fontId="0" type="noConversion"/>
  </si>
  <si>
    <t>Frais d’agent d’artiste</t>
  </si>
  <si>
    <t>Repas des musiciens et des animateurs</t>
  </si>
  <si>
    <t>Autres coûts associés à Musique &amp; Divertissement</t>
  </si>
  <si>
    <t>Total des coûts de musique &amp; divertissement</t>
  </si>
  <si>
    <t>Coût des services public</t>
  </si>
  <si>
    <t xml:space="preserve">Électricité </t>
  </si>
  <si>
    <t xml:space="preserve">Accessoires électriques </t>
  </si>
  <si>
    <t xml:space="preserve">Eau et glace </t>
  </si>
  <si>
    <t>Enlèvement des ordures</t>
  </si>
  <si>
    <t xml:space="preserve">Autres énergies </t>
  </si>
  <si>
    <t xml:space="preserve">Fournitures de mécanique et d’électricité </t>
  </si>
  <si>
    <t xml:space="preserve">Revenus de recyclage </t>
  </si>
  <si>
    <t xml:space="preserve">Reventes de services utilitaires </t>
  </si>
  <si>
    <t>Autres coûts associés aux services publics</t>
  </si>
  <si>
    <t>Total des coûts de services publics</t>
  </si>
  <si>
    <t xml:space="preserve">364 jours </t>
  </si>
  <si>
    <t>Pour la période du 2 janvier 2023 au 31 décembre 2023</t>
  </si>
  <si>
    <t>Fournitures de bureau</t>
  </si>
  <si>
    <t xml:space="preserve">Traitement de données </t>
  </si>
  <si>
    <t>Poste et messagerie</t>
  </si>
  <si>
    <t>Télécommunications</t>
  </si>
  <si>
    <t>Associations, droits et cotisations (ARQ et autres)</t>
  </si>
  <si>
    <t>Déplacements (gérant et staff)</t>
  </si>
  <si>
    <t>Assurances générales</t>
  </si>
  <si>
    <t>Frais d’escomptes sur carte de crédit</t>
  </si>
  <si>
    <t>Provision pour mauvaises créances</t>
  </si>
  <si>
    <t>Court et surplus de caisse</t>
  </si>
  <si>
    <t>Honoraires professionnels</t>
  </si>
  <si>
    <t>Service de protection/sécurité</t>
  </si>
  <si>
    <t>Intérêts et frais bancaires</t>
  </si>
  <si>
    <t>Redevances/droits de franchises</t>
  </si>
  <si>
    <t>Autres</t>
  </si>
  <si>
    <t>Total des coûts Administration &amp; Frais généraux</t>
  </si>
  <si>
    <t>='État des Résultats'!C6</t>
  </si>
  <si>
    <t>364 jpurs</t>
  </si>
  <si>
    <t>Ameublement et agencement</t>
  </si>
  <si>
    <t>Équipement de cuisine</t>
  </si>
  <si>
    <t>Équipement de bureau</t>
  </si>
  <si>
    <t>Réfrigération</t>
  </si>
  <si>
    <t>Air conditionné</t>
  </si>
  <si>
    <t>Plomberie et chauffage</t>
  </si>
  <si>
    <t>Électricité et mécanique</t>
  </si>
  <si>
    <t>Plancher et tapis</t>
  </si>
  <si>
    <t>Immeubles/Bâtisses</t>
  </si>
  <si>
    <t>Stationnement</t>
  </si>
  <si>
    <t>Terrassements et entretien paysager</t>
  </si>
  <si>
    <t>Altération Immobilière / Bâtisse</t>
  </si>
  <si>
    <t>Peinture, recouvrement et décorations</t>
  </si>
  <si>
    <t xml:space="preserve">Contrat de services d’entretien </t>
  </si>
  <si>
    <t>Matériel roulant (auto et camions)</t>
  </si>
  <si>
    <t>Équipements et fournitures</t>
  </si>
  <si>
    <t xml:space="preserve">Autres </t>
  </si>
  <si>
    <t>Total des coûts d’entretien et réparations</t>
  </si>
  <si>
    <t>Emprunt hypothécaire 2</t>
  </si>
  <si>
    <t>Emprunt hypothécaire 3</t>
  </si>
  <si>
    <t>Emprunt hypothécaire 4</t>
  </si>
  <si>
    <t>Emprunt hypothécaire 5</t>
  </si>
  <si>
    <t>Emprunt hypothécaire 6</t>
  </si>
  <si>
    <t>Emprunt hypothécaire 7</t>
  </si>
  <si>
    <t>Emprunt hypothécaire 8</t>
  </si>
  <si>
    <t>Emprunt hypothécaire 9</t>
  </si>
  <si>
    <t>Total des frais financier</t>
  </si>
  <si>
    <t xml:space="preserve">Amortissement - Immobilisations corporelles </t>
  </si>
  <si>
    <t>Amortissement - Immobilisation incorporelles</t>
  </si>
  <si>
    <t>Amortissement - Achalandage (Goodwill)</t>
  </si>
  <si>
    <t>Amortissement numéro 1</t>
  </si>
  <si>
    <t>Total des frais d'amortissement</t>
  </si>
  <si>
    <t>O</t>
  </si>
  <si>
    <t>Coût des produits vendus par place</t>
  </si>
  <si>
    <t>Coût des ressources nourritures et boissons utilisées</t>
  </si>
  <si>
    <t xml:space="preserve"> . Coût de la nourritures utilisées « Food Cost »</t>
  </si>
  <si>
    <t xml:space="preserve"> . Coût de la boissons utilisées « Beverage Cost »</t>
  </si>
  <si>
    <t>Revenus - Coût des produits vendus</t>
  </si>
  <si>
    <t xml:space="preserve"> Nourritures</t>
  </si>
  <si>
    <t xml:space="preserve"> Boissons</t>
  </si>
  <si>
    <t>Coût des produits vendus</t>
  </si>
  <si>
    <t xml:space="preserve"> Produits et services coomplémentaires</t>
  </si>
  <si>
    <t>Coût de la main d'oeuvre par place</t>
  </si>
  <si>
    <t>Total des salaires Management</t>
  </si>
  <si>
    <t>Total des salaires Production</t>
  </si>
  <si>
    <t>Total des salaires Vente &amp; Service</t>
  </si>
  <si>
    <t>Total des salaires Approvisionnement</t>
  </si>
  <si>
    <t>Total des salaires Finance &amp; Comptabilité</t>
  </si>
  <si>
    <t>Total des salaires Marketing &amp; Communication</t>
  </si>
  <si>
    <t>Total des salaires Théâtralisation</t>
  </si>
  <si>
    <t>Total des salaires R&amp;D</t>
  </si>
  <si>
    <t>Total des salaires Autres</t>
  </si>
  <si>
    <t>Total des salaires et bénéfices gouvernementaux</t>
  </si>
  <si>
    <t>CSST et CNT</t>
  </si>
  <si>
    <t>Avantages sociaux (employés avec pourboires) :</t>
  </si>
  <si>
    <t>Avantages sociaux (employés sans pourboires) :</t>
  </si>
  <si>
    <t>Coût de la main d'œuvre par place</t>
  </si>
  <si>
    <t>Salaires</t>
  </si>
  <si>
    <t>Salaires "Management"</t>
  </si>
  <si>
    <t>Salaire "Production"</t>
  </si>
  <si>
    <t>Salaire "Vente et service"</t>
  </si>
  <si>
    <t>Salaire "Approvisionnement"</t>
  </si>
  <si>
    <t>Salaire "Finance &amp; Comptabilité"</t>
  </si>
  <si>
    <t>Salaire "Marketing &amp; Communication"</t>
  </si>
  <si>
    <t>Salaire "Théâtralisation"</t>
  </si>
  <si>
    <t>Salaire "R&amp;D"</t>
  </si>
  <si>
    <t>Salaire "Autres"</t>
  </si>
  <si>
    <t>Total des salaires</t>
  </si>
  <si>
    <t>Bénéfices aux employés</t>
  </si>
  <si>
    <t>Bénéfices gouvernementaux</t>
  </si>
  <si>
    <t xml:space="preserve">Crédit d'impôt pourboires </t>
  </si>
  <si>
    <t>Assurance groupe</t>
  </si>
  <si>
    <t>Plan de pension</t>
  </si>
  <si>
    <t xml:space="preserve">Repas aux employés </t>
  </si>
  <si>
    <t>Formation</t>
  </si>
  <si>
    <t>Bien-être des employés</t>
  </si>
  <si>
    <t>6270 à 6295</t>
  </si>
  <si>
    <t>Total des bénéfices aux employés</t>
  </si>
  <si>
    <t>Total des bénéfices gouvernementaux + (CSST et CNT)</t>
  </si>
  <si>
    <t xml:space="preserve">Total des bénéfices aux employés </t>
  </si>
  <si>
    <t>Coût de la main-d’œuvre </t>
  </si>
  <si>
    <t>   </t>
  </si>
  <si>
    <t> Total des salaires</t>
  </si>
  <si>
    <t> Total des bénéfices aux employées</t>
  </si>
  <si>
    <t>   Total des coûts de la main-d’œuvre</t>
  </si>
  <si>
    <t>   « Prime Cost »</t>
  </si>
  <si>
    <t>   Marge bénéficiaire brute</t>
  </si>
  <si>
    <t> Coût d’occupation </t>
  </si>
  <si>
    <t> $                          -   </t>
  </si>
  <si>
    <t> Coût direct d’exploitation </t>
  </si>
  <si>
    <t> Musique &amp; Divertissement </t>
  </si>
  <si>
    <t> Marketing &amp; Communication marketing</t>
  </si>
  <si>
    <t> Services publics </t>
  </si>
  <si>
    <t> Administration &amp; Frais généraux </t>
  </si>
  <si>
    <t> Entretien &amp; Réparations </t>
  </si>
  <si>
    <t>   Total des coûts d’exploitation</t>
  </si>
  <si>
    <t> $             5 985,74 </t>
  </si>
  <si>
    <t> $             5 455,24 </t>
  </si>
  <si>
    <t> $             7 368,65 </t>
  </si>
  <si>
    <t> $             8 292,55 </t>
  </si>
  <si>
    <t> $             9 793,08 </t>
  </si>
  <si>
    <t> $           10 376,36 </t>
  </si>
  <si>
    <t> $      11 981,46 </t>
  </si>
  <si>
    <t> $           12 288,50 </t>
  </si>
  <si>
    <t> $           10 270,82 </t>
  </si>
  <si>
    <t> $           11 041,56 </t>
  </si>
  <si>
    <t> $             9 468,04 </t>
  </si>
  <si>
    <t> $           11 777,89 </t>
  </si>
  <si>
    <t> $         114 099,90 </t>
  </si>
  <si>
    <t> $         104 288,30 </t>
  </si>
  <si>
    <t> Frais financiers</t>
  </si>
  <si>
    <t> Amortissement</t>
  </si>
  <si>
    <t>BÉNÉFICE NET AVANT IMPÔT </t>
  </si>
  <si>
    <t> Impôts </t>
  </si>
  <si>
    <t>BÉNÉFICE NET </t>
  </si>
  <si>
    <t>Taux d'imposition</t>
  </si>
  <si>
    <t xml:space="preserve">Moyenne (A) / jour </t>
  </si>
  <si>
    <t xml:space="preserve">(A) / Places </t>
  </si>
  <si>
    <t xml:space="preserve"> (A) / Places </t>
  </si>
  <si>
    <t>Moyenne (A) / jour pour l'année</t>
  </si>
  <si>
    <t>Demande nourriturtes &amp; boissons</t>
  </si>
  <si>
    <t>   Bénéfice net avant frais financiers, amort. et impôt (BAIIA)</t>
  </si>
  <si>
    <t>Bilan au 2 janvier 2023</t>
  </si>
  <si>
    <t>Bilan au 31 décembre 2023</t>
  </si>
  <si>
    <t>Actifs / Place</t>
  </si>
  <si>
    <t>Total des actifs par place</t>
  </si>
  <si>
    <t>Bilan</t>
  </si>
  <si>
    <t>Début</t>
  </si>
  <si>
    <t>Fin</t>
  </si>
  <si>
    <t>ACTIF</t>
  </si>
  <si>
    <t>Actif courant</t>
  </si>
  <si>
    <t xml:space="preserve"> Trésorerie et équivalent de trésorerie</t>
  </si>
  <si>
    <t xml:space="preserve"> Clients et autres débiteurs</t>
  </si>
  <si>
    <t xml:space="preserve"> Stocks</t>
  </si>
  <si>
    <t xml:space="preserve"> Autres actifs courants</t>
  </si>
  <si>
    <t>Total des actifs courants</t>
  </si>
  <si>
    <t>Actif non courant</t>
  </si>
  <si>
    <t xml:space="preserve"> Placements</t>
  </si>
  <si>
    <t xml:space="preserve"> Immobilisations corporelles </t>
  </si>
  <si>
    <t xml:space="preserve"> Immobilisations incorporelles</t>
  </si>
  <si>
    <t xml:space="preserve"> Achalandage (Goodwill)</t>
  </si>
  <si>
    <t>Total des actifs non courant</t>
  </si>
  <si>
    <t>TOTAL DES ACTIFS</t>
  </si>
  <si>
    <t>PASSIF</t>
  </si>
  <si>
    <t>Passif courant</t>
  </si>
  <si>
    <t xml:space="preserve"> Découverts bancaires</t>
  </si>
  <si>
    <t xml:space="preserve"> Emprunts bancaires</t>
  </si>
  <si>
    <t xml:space="preserve"> Fournisseurs et autres créditeurs </t>
  </si>
  <si>
    <t xml:space="preserve"> Produits différés</t>
  </si>
  <si>
    <t xml:space="preserve"> Provisions pour risques et charges</t>
  </si>
  <si>
    <t xml:space="preserve"> Partie courante de la dette</t>
  </si>
  <si>
    <t>Total des passifs courants</t>
  </si>
  <si>
    <t>Passif non courant</t>
  </si>
  <si>
    <t xml:space="preserve"> Emprunts hypothécaires </t>
  </si>
  <si>
    <t xml:space="preserve"> Emprunts obligataires</t>
  </si>
  <si>
    <t xml:space="preserve"> Obligations découlant de contrats de location-financement</t>
  </si>
  <si>
    <t xml:space="preserve"> Impôts différés</t>
  </si>
  <si>
    <t>Total des passifs non courant</t>
  </si>
  <si>
    <t>TOTAL DES PASSIFS</t>
  </si>
  <si>
    <t>CAPITAUX PROPRES</t>
  </si>
  <si>
    <t xml:space="preserve"> Capital actions</t>
  </si>
  <si>
    <t xml:space="preserve"> Surplus d’apports</t>
  </si>
  <si>
    <t xml:space="preserve"> Résultats non distribués</t>
  </si>
  <si>
    <t xml:space="preserve"> Cumul des autres éléments du résultat global</t>
  </si>
  <si>
    <t xml:space="preserve"> Participation ne donnant pas le contrôle</t>
  </si>
  <si>
    <t>Total des capitaux propres</t>
  </si>
  <si>
    <t>TOTAL DES PASSIFS ET DES CAPITAUX PROPRES</t>
  </si>
  <si>
    <t>Total des passifs + TOTAL des Capitaux propres - Total des actifs</t>
  </si>
  <si>
    <t>TABLEAU DES FLUX DE TRÉSORERIE</t>
  </si>
  <si>
    <t>Hébergement</t>
  </si>
  <si>
    <t>Nourriture</t>
  </si>
  <si>
    <t>Boissons</t>
  </si>
  <si>
    <t>Autres revenus</t>
  </si>
  <si>
    <t xml:space="preserve">« Prime Cost » </t>
  </si>
  <si>
    <t>Total des coûts de main-d’œuvre</t>
  </si>
  <si>
    <t>Coût d’exploitation</t>
  </si>
  <si>
    <t>Coût d’occupation</t>
  </si>
  <si>
    <t>Coût direct d’exploitation</t>
  </si>
  <si>
    <t>Musique et divertissement</t>
  </si>
  <si>
    <t>Marketing &amp; Communication marketing</t>
  </si>
  <si>
    <t>Services publics</t>
  </si>
  <si>
    <t>Administration &amp; Frais généraux</t>
  </si>
  <si>
    <t>Entretien &amp; Réparation</t>
  </si>
  <si>
    <t xml:space="preserve">   Total des coûts d’exploitation</t>
  </si>
  <si>
    <t>Bénéfice avant intérêts, amortissement et impôt (BAIIA)</t>
  </si>
  <si>
    <t xml:space="preserve">Intérêts &amp; frais financiers </t>
  </si>
  <si>
    <t>Amortissements</t>
  </si>
  <si>
    <t xml:space="preserve">   Total des intérêts, frais financiers et amortissements</t>
  </si>
  <si>
    <t>Impôts</t>
  </si>
  <si>
    <t>Impôts sur les bénéfices</t>
  </si>
  <si>
    <t>ACTIVITÉS OPÉRATIONNELLES</t>
  </si>
  <si>
    <t>Résultat net de la période</t>
  </si>
  <si>
    <t>Amortissement</t>
  </si>
  <si>
    <t>Variation nette de la trésorerie des éléments liés aux résultats d’exploitation</t>
  </si>
  <si>
    <t>Variation</t>
  </si>
  <si>
    <t>Clients et autres débiteurs</t>
  </si>
  <si>
    <t>Stocks</t>
  </si>
  <si>
    <t>Autres actifs courants</t>
  </si>
  <si>
    <t>Découverts bancaires</t>
  </si>
  <si>
    <t>Emprunts bancaires</t>
  </si>
  <si>
    <t>Fournisseurs et autres créditeurs</t>
  </si>
  <si>
    <t>Produits différés</t>
  </si>
  <si>
    <t>Provisions pour risques et charges</t>
  </si>
  <si>
    <t>Partie courante de la dette à long terme</t>
  </si>
  <si>
    <t>Variation nette des éléments du fonds de roulement hors trésorerie liés aux activités opérationnelles</t>
  </si>
  <si>
    <t>Flux de trésorerie générés par les activités opérationnelles</t>
  </si>
  <si>
    <t>ACTIVITÉS DE FINANCEMENT</t>
  </si>
  <si>
    <t>Emprunts hypothécaires</t>
  </si>
  <si>
    <t>Emprunts obligataires</t>
  </si>
  <si>
    <t>Obligations découlant de contrats de location-financement</t>
  </si>
  <si>
    <t>Impôts différés</t>
  </si>
  <si>
    <t>Capitaux propres</t>
  </si>
  <si>
    <t>Capital actions</t>
  </si>
  <si>
    <t>Surplus d’apports</t>
  </si>
  <si>
    <t>Résultats non distribués</t>
  </si>
  <si>
    <t>Cumul des autres éléments du résultat global</t>
  </si>
  <si>
    <t>Participation ne donnant pas le contrôle</t>
  </si>
  <si>
    <t>Flux de trésorerie générés par les activités de financement</t>
  </si>
  <si>
    <t>ACTIVITÉS D’INVESTISSEMENT</t>
  </si>
  <si>
    <t>Placements</t>
  </si>
  <si>
    <t>Immobilisations corporelles</t>
  </si>
  <si>
    <t>Amortissements. Acc. Immobilisations corporelles</t>
  </si>
  <si>
    <t xml:space="preserve">Immobilisations incorporelles </t>
  </si>
  <si>
    <t>Amortissements. Acc. Immobilisations incorporelles</t>
  </si>
  <si>
    <t>Achalandages (goodwill)</t>
  </si>
  <si>
    <t>Amortissements. Acc. Goodwill</t>
  </si>
  <si>
    <t>Flux de trésorerie générés par les activités d’investissement</t>
  </si>
  <si>
    <t>Augmentation (diminution) de la trésorerie durant l’exercice financier</t>
  </si>
  <si>
    <t>Trésorerie et équivalent de trésorerie au début de l’exercice financier</t>
  </si>
  <si>
    <t>Trésorerie et équivalent de trésorerie à la fin de l’exercice financier</t>
  </si>
  <si>
    <t>Trésorerie et équivalent de trésorerie à la fin de l’exercice (la preuve)</t>
  </si>
  <si>
    <t>Compte de contrôle</t>
  </si>
  <si>
    <t xml:space="preserve">  </t>
  </si>
  <si>
    <t>Remboursement sur 5 ans</t>
  </si>
  <si>
    <t>Emprunt hypothécaire (167 400 $ au taux de 4,75 % / années)</t>
  </si>
  <si>
    <t>Amortissement sur 10 ans</t>
  </si>
  <si>
    <t>Trésorerie plus que 10 % de la valeur de l’actif</t>
  </si>
  <si>
    <t>28 jours d’inventaire</t>
  </si>
  <si>
    <t>Frais de banque (Frais fixe mensuel 100 $ par période + frais d'ouverture du dossier)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</si>
</sst>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_(&quot;$&quot;* #,##0.00_);_(&quot;$&quot;* \(#,##0.00\);_(&quot;$&quot;* &quot;-&quot;??_);_(@_)"/>
    <numFmt numFmtId="165" formatCode="&quot;$&quot;#,##0.00_);\(&quot;$&quot;#,##0.00\)"/>
    <numFmt numFmtId="166" formatCode="_(&quot;$&quot;* #,##0_);_(&quot;$&quot;* \(#,##0\);_(&quot;$&quot;* &quot;-&quot;_);_(@_)"/>
    <numFmt numFmtId="167" formatCode="[$-C0C]d\ mmm\ yyyy;@"/>
    <numFmt numFmtId="168" formatCode="[$-C0C]d\ mmmm\,\ yyyy;@"/>
    <numFmt numFmtId="169" formatCode="_ * #,##0_)\ _$_ ;_ * \(#,##0\)\ _$_ ;_ * &quot;-&quot;_)\ _$_ ;_ @_ "/>
    <numFmt numFmtId="170" formatCode="0.0%"/>
    <numFmt numFmtId="171" formatCode="#,##0.00000\ &quot;$&quot;_);\(#,##0.00000\ &quot;$&quot;\)"/>
    <numFmt numFmtId="172" formatCode="#,##0.00\ &quot;$&quot;"/>
    <numFmt numFmtId="173" formatCode="#,##0.00000\ &quot;$&quot;"/>
    <numFmt numFmtId="174" formatCode="0.000"/>
    <numFmt numFmtId="175" formatCode="&quot;$&quot;#,##0_);\(&quot;$&quot;#,##0\)"/>
    <numFmt numFmtId="176" formatCode="_ * #,##0.00000_)\ &quot;$&quot;_ ;_ * \(#,##0.00000\)\ &quot;$&quot;_ ;_ * &quot;-&quot;?????_)\ &quot;$&quot;_ ;_ @_ "/>
    <numFmt numFmtId="177" formatCode="0.00000%"/>
    <numFmt numFmtId="178" formatCode="0.0000"/>
    <numFmt numFmtId="179" formatCode="_ * #,##0.0000_)\ &quot;$&quot;_ ;_ * \(#,##0.0000\)\ &quot;$&quot;_ ;_ * &quot;-&quot;????_)\ &quot;$&quot;_ ;_ @_ "/>
    <numFmt numFmtId="180" formatCode="0.0000%"/>
    <numFmt numFmtId="181" formatCode="#,##0.00&quot;$&quot;"/>
    <numFmt numFmtId="182" formatCode="_ * #,##0_)\ &quot;$&quot;_ ;_ * \(#,##0\)\ &quot;$&quot;_ ;_ * &quot;-&quot;??_)\ &quot;$&quot;_ ;_ @_ "/>
    <numFmt numFmtId="183" formatCode="_-* #,##0.00&quot;$&quot;_-;\-* #,##0.00&quot;$&quot;_-;_-* &quot;-&quot;??&quot;$&quot;_-;_-@_-"/>
    <numFmt numFmtId="184" formatCode="_ * #,##0.00_)\ _$_ ;_ * \(#,##0.00\)\ _$_ ;_ * &quot;-&quot;??_)\ _$_ ;_ @_ "/>
    <numFmt numFmtId="185" formatCode="_ * #,##0.00_)\ _$_ ;_ * \(#,##0.00\)\ _$_ ;_ * &quot;-&quot;_)\ _$_ ;_ @_ "/>
  </numFmts>
  <fonts count="159" x14ac:knownFonts="1">
    <font>
      <sz val="10"/>
      <name val="Arial"/>
      <family val="2"/>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8"/>
      <name val="Arial"/>
      <family val="2"/>
    </font>
    <font>
      <b/>
      <sz val="10"/>
      <color theme="0" tint="-0.249977111117893"/>
      <name val="Arial"/>
      <family val="2"/>
    </font>
    <font>
      <sz val="10"/>
      <color theme="0" tint="-0.249977111117893"/>
      <name val="Arial"/>
      <family val="2"/>
    </font>
    <font>
      <b/>
      <sz val="10"/>
      <name val="Arial"/>
      <family val="2"/>
      <charset val="204"/>
    </font>
    <font>
      <sz val="10"/>
      <color rgb="FFD9D9D9"/>
      <name val="Arial"/>
      <family val="2"/>
    </font>
    <font>
      <b/>
      <sz val="10"/>
      <color rgb="FFD9D9D9"/>
      <name val="Arial"/>
      <family val="2"/>
    </font>
    <font>
      <b/>
      <sz val="8"/>
      <color theme="1"/>
      <name val="Arial"/>
      <family val="2"/>
    </font>
    <font>
      <b/>
      <sz val="10"/>
      <color rgb="FF0000FF"/>
      <name val="Arial"/>
      <family val="2"/>
    </font>
    <font>
      <b/>
      <u/>
      <sz val="10"/>
      <name val="Arial"/>
      <family val="2"/>
    </font>
    <font>
      <b/>
      <u/>
      <sz val="10"/>
      <name val="Arial"/>
      <family val="2"/>
      <charset val="204"/>
    </font>
    <font>
      <b/>
      <sz val="10"/>
      <color theme="1"/>
      <name val="Arial"/>
      <family val="2"/>
    </font>
    <font>
      <sz val="11"/>
      <name val="Arial"/>
      <family val="2"/>
      <charset val="204"/>
    </font>
    <font>
      <b/>
      <sz val="10"/>
      <name val="Arial"/>
      <family val="2"/>
    </font>
    <font>
      <b/>
      <sz val="10"/>
      <color rgb="FF0070C0"/>
      <name val="Arial"/>
      <family val="2"/>
    </font>
    <font>
      <sz val="10"/>
      <color rgb="FF0070C0"/>
      <name val="Arial"/>
      <family val="2"/>
    </font>
    <font>
      <sz val="8"/>
      <name val="Arial"/>
      <family val="2"/>
    </font>
    <font>
      <b/>
      <u val="double"/>
      <sz val="10"/>
      <color theme="1"/>
      <name val="Arial"/>
      <family val="2"/>
    </font>
    <font>
      <b/>
      <sz val="10"/>
      <color theme="0"/>
      <name val="Arial"/>
      <family val="2"/>
    </font>
    <font>
      <b/>
      <sz val="11"/>
      <name val="Arial"/>
      <family val="2"/>
    </font>
    <font>
      <b/>
      <u val="double"/>
      <sz val="10"/>
      <color theme="0"/>
      <name val="Arial"/>
      <family val="2"/>
    </font>
    <font>
      <b/>
      <u/>
      <sz val="10"/>
      <color theme="1"/>
      <name val="Arial"/>
      <family val="2"/>
    </font>
    <font>
      <sz val="10"/>
      <color theme="1"/>
      <name val="Arial"/>
      <family val="2"/>
    </font>
    <font>
      <b/>
      <sz val="10"/>
      <color theme="0" tint="-0.14999847407452621"/>
      <name val="Arial"/>
      <family val="2"/>
    </font>
    <font>
      <sz val="10"/>
      <color theme="0"/>
      <name val="Arial"/>
      <family val="2"/>
    </font>
    <font>
      <b/>
      <sz val="10"/>
      <color theme="0" tint="-4.9989318521683403E-2"/>
      <name val="Arial"/>
      <family val="2"/>
    </font>
    <font>
      <sz val="10"/>
      <color theme="0" tint="-4.9989318521683403E-2"/>
      <name val="Arial"/>
      <family val="2"/>
    </font>
    <font>
      <b/>
      <u/>
      <sz val="10"/>
      <color theme="0" tint="-4.9989318521683403E-2"/>
      <name val="Arial"/>
      <family val="2"/>
    </font>
    <font>
      <b/>
      <u val="double"/>
      <sz val="10"/>
      <color rgb="FFD9D9D9"/>
      <name val="Arial"/>
      <family val="2"/>
    </font>
    <font>
      <b/>
      <sz val="10"/>
      <color rgb="FFFFFFFF"/>
      <name val="Arial"/>
      <family val="2"/>
    </font>
    <font>
      <b/>
      <sz val="12"/>
      <color rgb="FF0070C0"/>
      <name val="Arial"/>
      <family val="2"/>
    </font>
    <font>
      <sz val="12"/>
      <color rgb="FF0070C0"/>
      <name val="Arial"/>
      <family val="2"/>
    </font>
    <font>
      <b/>
      <sz val="12"/>
      <color theme="1"/>
      <name val="Calibri"/>
      <family val="2"/>
      <scheme val="minor"/>
    </font>
    <font>
      <sz val="12"/>
      <color theme="0"/>
      <name val="Calibri"/>
      <family val="2"/>
      <scheme val="minor"/>
    </font>
    <font>
      <b/>
      <sz val="20"/>
      <color theme="0"/>
      <name val="Arial"/>
      <family val="2"/>
    </font>
    <font>
      <sz val="48"/>
      <name val="Arial"/>
      <family val="2"/>
    </font>
    <font>
      <b/>
      <sz val="12"/>
      <name val="Arial"/>
      <family val="2"/>
    </font>
    <font>
      <b/>
      <sz val="80"/>
      <color theme="1"/>
      <name val="Calibri"/>
      <family val="2"/>
      <scheme val="minor"/>
    </font>
    <font>
      <b/>
      <sz val="20"/>
      <name val="Arial"/>
      <family val="2"/>
    </font>
    <font>
      <b/>
      <sz val="16"/>
      <color theme="1"/>
      <name val="Calibri"/>
      <family val="2"/>
      <scheme val="minor"/>
    </font>
    <font>
      <sz val="14"/>
      <color theme="1"/>
      <name val="Calibri"/>
      <family val="2"/>
      <scheme val="minor"/>
    </font>
    <font>
      <b/>
      <sz val="20"/>
      <color theme="1"/>
      <name val="Calibri"/>
      <family val="2"/>
      <scheme val="minor"/>
    </font>
    <font>
      <b/>
      <sz val="12"/>
      <color rgb="FF0000FF"/>
      <name val="Calibri"/>
      <family val="2"/>
      <scheme val="minor"/>
    </font>
    <font>
      <sz val="14"/>
      <color rgb="FF333333"/>
      <name val="Verdana"/>
      <family val="2"/>
    </font>
    <font>
      <sz val="12"/>
      <name val="Arial"/>
      <family val="2"/>
    </font>
    <font>
      <sz val="48"/>
      <color theme="1"/>
      <name val="Arial"/>
      <family val="2"/>
    </font>
    <font>
      <b/>
      <sz val="12"/>
      <color theme="1"/>
      <name val="Arial"/>
      <family val="2"/>
    </font>
    <font>
      <sz val="48"/>
      <color theme="0"/>
      <name val="Arial"/>
      <family val="2"/>
    </font>
    <font>
      <b/>
      <sz val="14"/>
      <color theme="1"/>
      <name val="Arial"/>
      <family val="2"/>
    </font>
    <font>
      <b/>
      <sz val="80"/>
      <color theme="0"/>
      <name val="Calibri"/>
      <family val="2"/>
      <scheme val="minor"/>
    </font>
    <font>
      <b/>
      <sz val="16"/>
      <color theme="0"/>
      <name val="Calibri"/>
      <family val="2"/>
      <scheme val="minor"/>
    </font>
    <font>
      <sz val="14"/>
      <color theme="0"/>
      <name val="Calibri"/>
      <family val="2"/>
      <scheme val="minor"/>
    </font>
    <font>
      <b/>
      <sz val="20"/>
      <color theme="0"/>
      <name val="Calibri"/>
      <family val="2"/>
      <scheme val="minor"/>
    </font>
    <font>
      <b/>
      <sz val="14"/>
      <name val="Verdana"/>
      <family val="2"/>
    </font>
    <font>
      <b/>
      <sz val="12"/>
      <color theme="0"/>
      <name val="Calibri"/>
      <family val="2"/>
      <scheme val="minor"/>
    </font>
    <font>
      <sz val="80"/>
      <color theme="1"/>
      <name val="Calibri"/>
      <family val="2"/>
      <scheme val="minor"/>
    </font>
    <font>
      <b/>
      <u val="singleAccounting"/>
      <sz val="10"/>
      <name val="Arial"/>
      <family val="2"/>
    </font>
    <font>
      <b/>
      <sz val="20"/>
      <color theme="1"/>
      <name val="Arial"/>
      <family val="2"/>
    </font>
    <font>
      <b/>
      <sz val="24"/>
      <name val="Arial"/>
      <family val="2"/>
    </font>
    <font>
      <b/>
      <u val="singleAccounting"/>
      <sz val="10"/>
      <color theme="1"/>
      <name val="Verdana"/>
      <family val="2"/>
    </font>
    <font>
      <b/>
      <u/>
      <sz val="10"/>
      <name val="Verdana"/>
      <family val="2"/>
    </font>
    <font>
      <b/>
      <u/>
      <sz val="12"/>
      <name val="Arial"/>
      <family val="2"/>
    </font>
    <font>
      <b/>
      <u val="singleAccounting"/>
      <sz val="12"/>
      <name val="Arial"/>
      <family val="2"/>
    </font>
    <font>
      <b/>
      <sz val="10"/>
      <name val="Verdana"/>
      <family val="2"/>
    </font>
    <font>
      <sz val="10"/>
      <name val="Verdana"/>
      <family val="2"/>
    </font>
    <font>
      <b/>
      <sz val="12"/>
      <name val="Verdana"/>
      <family val="2"/>
    </font>
    <font>
      <sz val="12"/>
      <name val="Verdana"/>
      <family val="2"/>
    </font>
    <font>
      <b/>
      <sz val="17"/>
      <name val="Arial"/>
      <family val="2"/>
    </font>
    <font>
      <b/>
      <sz val="12"/>
      <name val="Arial"/>
      <family val="2"/>
      <charset val="204"/>
    </font>
    <font>
      <b/>
      <sz val="17"/>
      <color theme="0"/>
      <name val="Arial"/>
      <family val="2"/>
    </font>
    <font>
      <b/>
      <u val="singleAccounting"/>
      <sz val="10"/>
      <name val="Verdana"/>
      <family val="2"/>
    </font>
    <font>
      <b/>
      <u val="singleAccounting"/>
      <sz val="12"/>
      <color rgb="FF0070C0"/>
      <name val="Arial"/>
      <family val="2"/>
    </font>
    <font>
      <b/>
      <u val="singleAccounting"/>
      <sz val="10"/>
      <color theme="1"/>
      <name val="Arial"/>
      <family val="2"/>
    </font>
    <font>
      <b/>
      <sz val="10"/>
      <color theme="1"/>
      <name val="Verdana"/>
      <family val="2"/>
    </font>
    <font>
      <b/>
      <u/>
      <sz val="10"/>
      <color rgb="FF0070C0"/>
      <name val="Verdana"/>
      <family val="2"/>
    </font>
    <font>
      <b/>
      <sz val="9"/>
      <color rgb="FF000000"/>
      <name val="Verdana"/>
      <family val="2"/>
    </font>
    <font>
      <sz val="9"/>
      <color rgb="FF000000"/>
      <name val="Verdana"/>
      <family val="2"/>
    </font>
    <font>
      <b/>
      <sz val="9"/>
      <color indexed="8"/>
      <name val="Verdana"/>
      <family val="2"/>
    </font>
    <font>
      <sz val="9"/>
      <color indexed="8"/>
      <name val="Verdana"/>
      <family val="2"/>
    </font>
    <font>
      <b/>
      <sz val="14"/>
      <color theme="0"/>
      <name val="Arial"/>
      <family val="2"/>
    </font>
    <font>
      <b/>
      <sz val="80"/>
      <color theme="7" tint="0.59999389629810485"/>
      <name val="Calibri"/>
      <family val="2"/>
      <scheme val="minor"/>
    </font>
    <font>
      <sz val="12"/>
      <color theme="7" tint="0.59999389629810485"/>
      <name val="Calibri"/>
      <family val="2"/>
      <scheme val="minor"/>
    </font>
    <font>
      <b/>
      <u val="singleAccounting"/>
      <sz val="10"/>
      <color theme="0"/>
      <name val="Arial"/>
      <family val="2"/>
    </font>
    <font>
      <sz val="14"/>
      <color theme="0"/>
      <name val="Arial"/>
      <family val="2"/>
    </font>
    <font>
      <sz val="10"/>
      <color rgb="FF0000FF"/>
      <name val="Arial"/>
      <family val="2"/>
    </font>
    <font>
      <b/>
      <sz val="10"/>
      <color rgb="FF272AD5"/>
      <name val="Arial"/>
      <family val="2"/>
    </font>
    <font>
      <b/>
      <sz val="10"/>
      <color rgb="FF0003FF"/>
      <name val="Arial"/>
      <family val="2"/>
    </font>
    <font>
      <b/>
      <sz val="10"/>
      <color indexed="9"/>
      <name val="Arial"/>
      <family val="2"/>
      <charset val="204"/>
    </font>
    <font>
      <sz val="10"/>
      <color indexed="9"/>
      <name val="Arial"/>
      <family val="2"/>
    </font>
    <font>
      <u/>
      <sz val="10"/>
      <color theme="10"/>
      <name val="Arial"/>
      <family val="2"/>
    </font>
    <font>
      <b/>
      <u/>
      <sz val="12"/>
      <color theme="10"/>
      <name val="Calibri"/>
      <family val="2"/>
      <scheme val="minor"/>
    </font>
    <font>
      <b/>
      <sz val="14"/>
      <color theme="1"/>
      <name val="Calibri"/>
      <family val="2"/>
      <scheme val="minor"/>
    </font>
    <font>
      <b/>
      <u val="doubleAccounting"/>
      <sz val="12"/>
      <color theme="1"/>
      <name val="Calibri"/>
      <family val="2"/>
      <scheme val="minor"/>
    </font>
    <font>
      <b/>
      <sz val="14"/>
      <name val="Arial"/>
      <family val="2"/>
    </font>
    <font>
      <b/>
      <u/>
      <sz val="14"/>
      <name val="Arial"/>
      <family val="2"/>
    </font>
    <font>
      <b/>
      <u val="singleAccounting"/>
      <sz val="12"/>
      <name val="Verdana"/>
      <family val="2"/>
    </font>
    <font>
      <b/>
      <sz val="9"/>
      <color rgb="FF000000"/>
      <name val="Arial"/>
      <family val="2"/>
    </font>
    <font>
      <sz val="9"/>
      <color rgb="FF000000"/>
      <name val="Arial"/>
      <family val="2"/>
    </font>
    <font>
      <b/>
      <sz val="9"/>
      <color indexed="81"/>
      <name val="Arial"/>
      <family val="2"/>
    </font>
    <font>
      <sz val="10"/>
      <color theme="0" tint="-0.14999847407452621"/>
      <name val="Arial"/>
      <family val="2"/>
    </font>
    <font>
      <b/>
      <u/>
      <sz val="14"/>
      <color theme="1"/>
      <name val="Arial"/>
      <family val="2"/>
    </font>
    <font>
      <sz val="10"/>
      <color rgb="FF000000"/>
      <name val="Arial"/>
      <family val="2"/>
    </font>
    <font>
      <b/>
      <sz val="10"/>
      <color rgb="FF000000"/>
      <name val="Arial"/>
      <family val="2"/>
    </font>
    <font>
      <sz val="9"/>
      <color indexed="81"/>
      <name val="Arial"/>
      <family val="2"/>
    </font>
    <font>
      <b/>
      <sz val="80"/>
      <color theme="7" tint="0.79998168889431442"/>
      <name val="Calibri"/>
      <family val="2"/>
      <scheme val="minor"/>
    </font>
    <font>
      <sz val="12"/>
      <color theme="7" tint="0.79998168889431442"/>
      <name val="Calibri"/>
      <family val="2"/>
      <scheme val="minor"/>
    </font>
    <font>
      <b/>
      <u/>
      <sz val="12"/>
      <color theme="1"/>
      <name val="Arial"/>
      <family val="2"/>
    </font>
    <font>
      <b/>
      <sz val="12"/>
      <color theme="0"/>
      <name val="Arial"/>
      <family val="2"/>
    </font>
    <font>
      <b/>
      <sz val="8"/>
      <color theme="0"/>
      <name val="Arial"/>
      <family val="2"/>
    </font>
    <font>
      <b/>
      <sz val="10"/>
      <color theme="1"/>
      <name val="Arial"/>
      <family val="2"/>
      <charset val="204"/>
    </font>
    <font>
      <sz val="12"/>
      <color theme="0"/>
      <name val="Arial"/>
      <family val="2"/>
    </font>
    <font>
      <sz val="10"/>
      <name val="Arial"/>
      <family val="2"/>
    </font>
    <font>
      <b/>
      <sz val="12"/>
      <color indexed="9"/>
      <name val="Arial"/>
      <family val="2"/>
      <charset val="204"/>
    </font>
    <font>
      <sz val="12"/>
      <color theme="1"/>
      <name val="Arial"/>
      <family val="2"/>
    </font>
    <font>
      <sz val="10"/>
      <name val="Arial"/>
      <family val="2"/>
    </font>
    <font>
      <sz val="10"/>
      <color indexed="14"/>
      <name val="Arial"/>
      <family val="2"/>
    </font>
    <font>
      <sz val="10"/>
      <color theme="7" tint="0.79998168889431442"/>
      <name val="Arial"/>
      <family val="2"/>
    </font>
    <font>
      <b/>
      <sz val="10"/>
      <color theme="0"/>
      <name val="Arial"/>
      <family val="2"/>
      <charset val="204"/>
    </font>
    <font>
      <b/>
      <sz val="13"/>
      <color theme="1"/>
      <name val="Arial"/>
      <family val="2"/>
    </font>
    <font>
      <sz val="13"/>
      <color theme="1"/>
      <name val="Arial"/>
      <family val="2"/>
    </font>
    <font>
      <b/>
      <sz val="10"/>
      <color indexed="14"/>
      <name val="Arial"/>
      <family val="2"/>
    </font>
    <font>
      <sz val="10"/>
      <color indexed="10"/>
      <name val="Arial"/>
      <family val="2"/>
    </font>
    <font>
      <b/>
      <sz val="10"/>
      <color indexed="9"/>
      <name val="Arial"/>
      <family val="2"/>
    </font>
    <font>
      <sz val="10"/>
      <color rgb="FFFF0000"/>
      <name val="Arial"/>
      <family val="2"/>
    </font>
    <font>
      <sz val="10"/>
      <color rgb="FFFFFFFF"/>
      <name val="Arial"/>
      <family val="2"/>
    </font>
    <font>
      <b/>
      <u/>
      <sz val="11"/>
      <name val="Arial"/>
      <family val="2"/>
    </font>
    <font>
      <u/>
      <sz val="10"/>
      <name val="Arial"/>
      <family val="2"/>
    </font>
    <font>
      <b/>
      <u/>
      <sz val="10"/>
      <color theme="0"/>
      <name val="Arial"/>
      <family val="2"/>
    </font>
    <font>
      <b/>
      <u/>
      <sz val="10"/>
      <color theme="0"/>
      <name val="Arial"/>
      <family val="2"/>
      <charset val="204"/>
    </font>
    <font>
      <b/>
      <u/>
      <sz val="10"/>
      <color indexed="9"/>
      <name val="Arial"/>
      <family val="2"/>
      <charset val="204"/>
    </font>
    <font>
      <b/>
      <u val="double"/>
      <sz val="10"/>
      <color theme="0"/>
      <name val="Arial"/>
      <family val="2"/>
      <charset val="204"/>
    </font>
    <font>
      <sz val="12"/>
      <color theme="1"/>
      <name val="Calibri"/>
      <family val="2"/>
      <charset val="134"/>
      <scheme val="minor"/>
    </font>
    <font>
      <b/>
      <sz val="12"/>
      <color theme="1"/>
      <name val="Calibri"/>
      <family val="2"/>
      <charset val="238"/>
      <scheme val="minor"/>
    </font>
    <font>
      <b/>
      <sz val="12"/>
      <color rgb="FF0070C0"/>
      <name val="Arial"/>
      <family val="2"/>
      <charset val="204"/>
    </font>
    <font>
      <sz val="12"/>
      <name val="Arial Black"/>
      <family val="2"/>
    </font>
    <font>
      <b/>
      <u/>
      <sz val="12"/>
      <name val="Arial Black"/>
      <family val="2"/>
    </font>
    <font>
      <b/>
      <u/>
      <sz val="12"/>
      <name val="Arial"/>
      <family val="2"/>
      <charset val="204"/>
    </font>
    <font>
      <b/>
      <u val="singleAccounting"/>
      <sz val="12"/>
      <color theme="1"/>
      <name val="Arial"/>
      <family val="2"/>
    </font>
    <font>
      <b/>
      <sz val="12"/>
      <name val="Arial Black"/>
      <family val="2"/>
    </font>
    <font>
      <b/>
      <u/>
      <sz val="12"/>
      <color theme="0"/>
      <name val="Arial"/>
      <family val="2"/>
    </font>
    <font>
      <u/>
      <sz val="12"/>
      <color theme="0"/>
      <name val="Arial"/>
      <family val="2"/>
    </font>
    <font>
      <b/>
      <u val="singleAccounting"/>
      <sz val="12"/>
      <color theme="0"/>
      <name val="Arial"/>
      <family val="2"/>
    </font>
    <font>
      <b/>
      <i/>
      <sz val="12"/>
      <name val="Arial"/>
      <family val="2"/>
    </font>
    <font>
      <b/>
      <u/>
      <sz val="12"/>
      <color rgb="FF0070C0"/>
      <name val="Arial"/>
      <family val="2"/>
    </font>
    <font>
      <b/>
      <sz val="12"/>
      <name val="Zapf Dingbats"/>
      <charset val="2"/>
    </font>
    <font>
      <b/>
      <u val="doubleAccounting"/>
      <sz val="12"/>
      <name val="Arial"/>
      <family val="2"/>
    </font>
    <font>
      <b/>
      <sz val="12"/>
      <color rgb="FF0000FF"/>
      <name val="Calibri"/>
      <family val="2"/>
    </font>
  </fonts>
  <fills count="29">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
      <patternFill patternType="solid">
        <fgColor theme="1"/>
        <bgColor rgb="FF000000"/>
      </patternFill>
    </fill>
    <fill>
      <patternFill patternType="solid">
        <fgColor theme="4" tint="0.59999389629810485"/>
        <bgColor indexed="64"/>
      </patternFill>
    </fill>
    <fill>
      <patternFill patternType="solid">
        <fgColor theme="1"/>
        <bgColor indexed="64"/>
      </patternFill>
    </fill>
    <fill>
      <patternFill patternType="solid">
        <fgColor theme="0" tint="-0.14999847407452621"/>
        <bgColor rgb="FF000000"/>
      </patternFill>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7" tint="0.59999389629810485"/>
        <bgColor indexed="64"/>
      </patternFill>
    </fill>
    <fill>
      <patternFill patternType="solid">
        <fgColor indexed="8"/>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rgb="FFC0C0C0"/>
        <bgColor rgb="FF000000"/>
      </patternFill>
    </fill>
    <fill>
      <patternFill patternType="solid">
        <fgColor theme="8"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FFC000"/>
        <bgColor indexed="64"/>
      </patternFill>
    </fill>
    <fill>
      <patternFill patternType="solid">
        <fgColor rgb="FFFFFF00"/>
        <bgColor rgb="FF000000"/>
      </patternFill>
    </fill>
  </fills>
  <borders count="9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indexed="64"/>
      </left>
      <right/>
      <top/>
      <bottom style="thick">
        <color indexed="64"/>
      </bottom>
      <diagonal/>
    </border>
    <border>
      <left/>
      <right/>
      <top/>
      <bottom style="thick">
        <color auto="1"/>
      </bottom>
      <diagonal/>
    </border>
    <border>
      <left/>
      <right style="thick">
        <color indexed="64"/>
      </right>
      <top/>
      <bottom style="thick">
        <color indexed="64"/>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style="thin">
        <color rgb="FF000000"/>
      </right>
      <top style="thick">
        <color auto="1"/>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bottom style="thick">
        <color auto="1"/>
      </bottom>
      <diagonal/>
    </border>
    <border>
      <left/>
      <right style="thin">
        <color auto="1"/>
      </right>
      <top style="thin">
        <color auto="1"/>
      </top>
      <bottom style="thick">
        <color auto="1"/>
      </bottom>
      <diagonal/>
    </border>
    <border>
      <left style="thin">
        <color auto="1"/>
      </left>
      <right style="thick">
        <color auto="1"/>
      </right>
      <top style="thick">
        <color auto="1"/>
      </top>
      <bottom style="thin">
        <color auto="1"/>
      </bottom>
      <diagonal/>
    </border>
    <border>
      <left/>
      <right/>
      <top style="thick">
        <color auto="1"/>
      </top>
      <bottom style="thick">
        <color auto="1"/>
      </bottom>
      <diagonal/>
    </border>
    <border>
      <left style="thin">
        <color auto="1"/>
      </left>
      <right/>
      <top style="thin">
        <color auto="1"/>
      </top>
      <bottom style="thick">
        <color auto="1"/>
      </bottom>
      <diagonal/>
    </border>
    <border>
      <left/>
      <right style="thin">
        <color rgb="FF000000"/>
      </right>
      <top/>
      <bottom/>
      <diagonal/>
    </border>
    <border>
      <left style="thick">
        <color auto="1"/>
      </left>
      <right style="thick">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style="thick">
        <color auto="1"/>
      </top>
      <bottom/>
      <diagonal/>
    </border>
    <border>
      <left style="thin">
        <color auto="1"/>
      </left>
      <right style="thick">
        <color auto="1"/>
      </right>
      <top/>
      <bottom style="thin">
        <color auto="1"/>
      </bottom>
      <diagonal/>
    </border>
    <border>
      <left style="thin">
        <color auto="1"/>
      </left>
      <right style="thin">
        <color auto="1"/>
      </right>
      <top/>
      <bottom/>
      <diagonal/>
    </border>
    <border>
      <left style="thin">
        <color auto="1"/>
      </left>
      <right style="thick">
        <color auto="1"/>
      </right>
      <top/>
      <bottom/>
      <diagonal/>
    </border>
    <border>
      <left style="thick">
        <color auto="1"/>
      </left>
      <right style="thick">
        <color auto="1"/>
      </right>
      <top style="thick">
        <color auto="1"/>
      </top>
      <bottom style="thin">
        <color auto="1"/>
      </bottom>
      <diagonal/>
    </border>
    <border>
      <left style="thick">
        <color auto="1"/>
      </left>
      <right style="thick">
        <color auto="1"/>
      </right>
      <top/>
      <bottom style="thick">
        <color auto="1"/>
      </bottom>
      <diagonal/>
    </border>
    <border>
      <left/>
      <right style="thin">
        <color rgb="FF000000"/>
      </right>
      <top style="thick">
        <color auto="1"/>
      </top>
      <bottom/>
      <diagonal/>
    </border>
    <border>
      <left/>
      <right style="thin">
        <color auto="1"/>
      </right>
      <top/>
      <bottom style="thick">
        <color auto="1"/>
      </bottom>
      <diagonal/>
    </border>
    <border>
      <left style="thick">
        <color auto="1"/>
      </left>
      <right style="thick">
        <color auto="1"/>
      </right>
      <top style="thick">
        <color auto="1"/>
      </top>
      <bottom/>
      <diagonal/>
    </border>
    <border>
      <left style="thin">
        <color auto="1"/>
      </left>
      <right style="thick">
        <color auto="1"/>
      </right>
      <top style="thin">
        <color auto="1"/>
      </top>
      <bottom style="thin">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n">
        <color auto="1"/>
      </left>
      <right/>
      <top/>
      <bottom style="thick">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n">
        <color auto="1"/>
      </bottom>
      <diagonal/>
    </border>
    <border>
      <left style="thick">
        <color auto="1"/>
      </left>
      <right style="dashed">
        <color auto="1"/>
      </right>
      <top style="thick">
        <color auto="1"/>
      </top>
      <bottom style="dashed">
        <color auto="1"/>
      </bottom>
      <diagonal/>
    </border>
    <border>
      <left style="dashed">
        <color auto="1"/>
      </left>
      <right style="thick">
        <color auto="1"/>
      </right>
      <top style="thick">
        <color auto="1"/>
      </top>
      <bottom style="dashed">
        <color auto="1"/>
      </bottom>
      <diagonal/>
    </border>
    <border>
      <left style="thick">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mediumDashed">
        <color auto="1"/>
      </left>
      <right/>
      <top/>
      <bottom/>
      <diagonal/>
    </border>
    <border>
      <left style="thick">
        <color auto="1"/>
      </left>
      <right style="thick">
        <color auto="1"/>
      </right>
      <top/>
      <bottom/>
      <diagonal/>
    </border>
    <border>
      <left/>
      <right/>
      <top style="mediumDashed">
        <color auto="1"/>
      </top>
      <bottom/>
      <diagonal/>
    </border>
    <border>
      <left/>
      <right/>
      <top/>
      <bottom style="mediumDashed">
        <color auto="1"/>
      </bottom>
      <diagonal/>
    </border>
    <border>
      <left style="thick">
        <color auto="1"/>
      </left>
      <right style="thick">
        <color auto="1"/>
      </right>
      <top style="hair">
        <color auto="1"/>
      </top>
      <bottom/>
      <diagonal/>
    </border>
    <border>
      <left style="hair">
        <color auto="1"/>
      </left>
      <right style="thick">
        <color auto="1"/>
      </right>
      <top style="hair">
        <color auto="1"/>
      </top>
      <bottom style="hair">
        <color auto="1"/>
      </bottom>
      <diagonal/>
    </border>
    <border>
      <left/>
      <right style="thick">
        <color auto="1"/>
      </right>
      <top style="thick">
        <color auto="1"/>
      </top>
      <bottom style="thin">
        <color auto="1"/>
      </bottom>
      <diagonal/>
    </border>
    <border>
      <left style="thin">
        <color auto="1"/>
      </left>
      <right style="thick">
        <color auto="1"/>
      </right>
      <top/>
      <bottom style="thick">
        <color auto="1"/>
      </bottom>
      <diagonal/>
    </border>
    <border>
      <left/>
      <right style="thin">
        <color auto="1"/>
      </right>
      <top style="thick">
        <color auto="1"/>
      </top>
      <bottom style="thin">
        <color auto="1"/>
      </bottom>
      <diagonal/>
    </border>
    <border>
      <left/>
      <right/>
      <top style="thick">
        <color auto="1"/>
      </top>
      <bottom style="thin">
        <color auto="1"/>
      </bottom>
      <diagonal/>
    </border>
    <border>
      <left/>
      <right style="thin">
        <color auto="1"/>
      </right>
      <top/>
      <bottom style="thin">
        <color auto="1"/>
      </bottom>
      <diagonal/>
    </border>
    <border>
      <left/>
      <right/>
      <top/>
      <bottom style="thin">
        <color auto="1"/>
      </bottom>
      <diagonal/>
    </border>
    <border>
      <left style="thick">
        <color auto="1"/>
      </left>
      <right style="thin">
        <color auto="1"/>
      </right>
      <top/>
      <bottom style="thick">
        <color auto="1"/>
      </bottom>
      <diagonal/>
    </border>
    <border>
      <left/>
      <right style="thin">
        <color auto="1"/>
      </right>
      <top style="thin">
        <color auto="1"/>
      </top>
      <bottom/>
      <diagonal/>
    </border>
    <border>
      <left style="hair">
        <color auto="1"/>
      </left>
      <right style="thick">
        <color auto="1"/>
      </right>
      <top/>
      <bottom style="hair">
        <color auto="1"/>
      </bottom>
      <diagonal/>
    </border>
    <border>
      <left style="thick">
        <color rgb="FF000000"/>
      </left>
      <right style="thick">
        <color rgb="FF000000"/>
      </right>
      <top style="thick">
        <color auto="1"/>
      </top>
      <bottom style="thick">
        <color rgb="FF000000"/>
      </bottom>
      <diagonal/>
    </border>
    <border>
      <left style="thick">
        <color auto="1"/>
      </left>
      <right style="thick">
        <color auto="1"/>
      </right>
      <top style="thick">
        <color auto="1"/>
      </top>
      <bottom style="medium">
        <color auto="1"/>
      </bottom>
      <diagonal/>
    </border>
    <border>
      <left style="thick">
        <color auto="1"/>
      </left>
      <right style="thick">
        <color auto="1"/>
      </right>
      <top style="medium">
        <color auto="1"/>
      </top>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style="thick">
        <color auto="1"/>
      </right>
      <top/>
      <bottom style="medium">
        <color auto="1"/>
      </bottom>
      <diagonal/>
    </border>
    <border>
      <left style="medium">
        <color auto="1"/>
      </left>
      <right style="thick">
        <color auto="1"/>
      </right>
      <top style="thick">
        <color auto="1"/>
      </top>
      <bottom style="thick">
        <color auto="1"/>
      </bottom>
      <diagonal/>
    </border>
    <border>
      <left/>
      <right/>
      <top style="medium">
        <color auto="1"/>
      </top>
      <bottom/>
      <diagonal/>
    </border>
    <border>
      <left style="thick">
        <color auto="1"/>
      </left>
      <right style="thick">
        <color auto="1"/>
      </right>
      <top/>
      <bottom style="mediumDashed">
        <color auto="1"/>
      </bottom>
      <diagonal/>
    </border>
    <border>
      <left style="thick">
        <color auto="1"/>
      </left>
      <right/>
      <top/>
      <bottom style="mediumDashed">
        <color auto="1"/>
      </bottom>
      <diagonal/>
    </border>
    <border>
      <left/>
      <right style="thick">
        <color auto="1"/>
      </right>
      <top/>
      <bottom style="mediumDashed">
        <color auto="1"/>
      </bottom>
      <diagonal/>
    </border>
    <border>
      <left style="hair">
        <color auto="1"/>
      </left>
      <right style="hair">
        <color auto="1"/>
      </right>
      <top style="hair">
        <color auto="1"/>
      </top>
      <bottom style="hair">
        <color auto="1"/>
      </bottom>
      <diagonal/>
    </border>
  </borders>
  <cellStyleXfs count="24">
    <xf numFmtId="0" fontId="0" fillId="0" borderId="0"/>
    <xf numFmtId="0" fontId="12" fillId="0" borderId="0"/>
    <xf numFmtId="0" fontId="11" fillId="0" borderId="0"/>
    <xf numFmtId="0" fontId="9" fillId="0" borderId="0"/>
    <xf numFmtId="0" fontId="76" fillId="0" borderId="0"/>
    <xf numFmtId="0" fontId="8" fillId="0" borderId="0"/>
    <xf numFmtId="164" fontId="12" fillId="0" borderId="0" applyFont="0" applyFill="0" applyBorder="0" applyAlignment="0" applyProtection="0"/>
    <xf numFmtId="0" fontId="101" fillId="0" borderId="0" applyNumberForma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0" fontId="6" fillId="0" borderId="0"/>
    <xf numFmtId="164" fontId="12" fillId="0" borderId="0" applyFont="0" applyFill="0" applyBorder="0" applyAlignment="0" applyProtection="0"/>
    <xf numFmtId="9" fontId="12" fillId="0" borderId="0" applyFont="0" applyFill="0" applyBorder="0" applyAlignment="0" applyProtection="0"/>
    <xf numFmtId="0" fontId="5" fillId="0" borderId="0"/>
    <xf numFmtId="164" fontId="12" fillId="0" borderId="0" applyFont="0" applyFill="0" applyBorder="0" applyAlignment="0" applyProtection="0"/>
    <xf numFmtId="0" fontId="4" fillId="0" borderId="0"/>
    <xf numFmtId="0" fontId="123" fillId="0" borderId="0"/>
    <xf numFmtId="164" fontId="12" fillId="0" borderId="0" applyFont="0" applyFill="0" applyBorder="0" applyAlignment="0" applyProtection="0"/>
    <xf numFmtId="0" fontId="3" fillId="0" borderId="0"/>
    <xf numFmtId="0" fontId="2" fillId="0" borderId="0"/>
    <xf numFmtId="0" fontId="126" fillId="0" borderId="0"/>
    <xf numFmtId="184" fontId="12" fillId="0" borderId="0" applyFont="0" applyFill="0" applyBorder="0" applyAlignment="0" applyProtection="0"/>
    <xf numFmtId="164" fontId="12" fillId="0" borderId="0" applyFont="0" applyFill="0" applyBorder="0" applyAlignment="0" applyProtection="0"/>
    <xf numFmtId="0" fontId="143" fillId="0" borderId="0"/>
  </cellStyleXfs>
  <cellXfs count="1581">
    <xf numFmtId="0" fontId="0" fillId="0" borderId="0" xfId="0"/>
    <xf numFmtId="0" fontId="14" fillId="2" borderId="1" xfId="0" applyFont="1" applyFill="1" applyBorder="1" applyAlignment="1">
      <alignment horizontal="center"/>
    </xf>
    <xf numFmtId="0" fontId="15" fillId="2" borderId="2" xfId="0" applyFont="1" applyFill="1" applyBorder="1" applyAlignment="1">
      <alignment horizontal="center"/>
    </xf>
    <xf numFmtId="0" fontId="16" fillId="2" borderId="9" xfId="0" applyFont="1" applyFill="1" applyBorder="1" applyAlignment="1">
      <alignment horizontal="center"/>
    </xf>
    <xf numFmtId="14" fontId="15" fillId="2" borderId="6" xfId="0" applyNumberFormat="1" applyFont="1" applyFill="1" applyBorder="1"/>
    <xf numFmtId="14" fontId="15" fillId="2" borderId="7" xfId="0" applyNumberFormat="1" applyFont="1" applyFill="1" applyBorder="1"/>
    <xf numFmtId="1" fontId="16" fillId="5" borderId="12" xfId="0" applyNumberFormat="1" applyFont="1" applyFill="1" applyBorder="1" applyAlignment="1">
      <alignment horizontal="center"/>
    </xf>
    <xf numFmtId="167" fontId="16" fillId="5" borderId="17" xfId="0" applyNumberFormat="1" applyFont="1" applyFill="1" applyBorder="1" applyAlignment="1">
      <alignment horizontal="center"/>
    </xf>
    <xf numFmtId="167" fontId="16" fillId="5" borderId="18" xfId="0" applyNumberFormat="1" applyFont="1" applyFill="1" applyBorder="1" applyAlignment="1">
      <alignment horizontal="center"/>
    </xf>
    <xf numFmtId="0" fontId="17" fillId="3" borderId="19" xfId="0" applyFont="1" applyFill="1" applyBorder="1" applyAlignment="1">
      <alignment horizontal="center" wrapText="1"/>
    </xf>
    <xf numFmtId="0" fontId="19" fillId="0" borderId="20" xfId="0" applyFont="1" applyBorder="1" applyAlignment="1">
      <alignment horizontal="center" wrapText="1"/>
    </xf>
    <xf numFmtId="1" fontId="20" fillId="0" borderId="9" xfId="0" applyNumberFormat="1" applyFont="1" applyBorder="1" applyAlignment="1" applyProtection="1">
      <alignment horizontal="center"/>
      <protection locked="0"/>
    </xf>
    <xf numFmtId="0" fontId="17" fillId="3" borderId="21" xfId="0" applyFont="1" applyFill="1" applyBorder="1" applyAlignment="1">
      <alignment horizontal="center" wrapText="1"/>
    </xf>
    <xf numFmtId="0" fontId="19" fillId="0" borderId="22" xfId="0" applyFont="1" applyBorder="1" applyAlignment="1">
      <alignment horizontal="center" wrapText="1"/>
    </xf>
    <xf numFmtId="1" fontId="20" fillId="0" borderId="22" xfId="0" applyNumberFormat="1" applyFont="1" applyBorder="1" applyAlignment="1" applyProtection="1">
      <alignment horizontal="center"/>
      <protection locked="0"/>
    </xf>
    <xf numFmtId="0" fontId="17" fillId="3" borderId="23" xfId="0" applyFont="1" applyFill="1" applyBorder="1" applyAlignment="1">
      <alignment horizontal="center" wrapText="1"/>
    </xf>
    <xf numFmtId="0" fontId="13" fillId="0" borderId="10" xfId="0" applyFont="1" applyBorder="1" applyAlignment="1">
      <alignment horizontal="center" wrapText="1"/>
    </xf>
    <xf numFmtId="1" fontId="21" fillId="0" borderId="24" xfId="0" applyNumberFormat="1" applyFont="1" applyBorder="1" applyAlignment="1">
      <alignment horizontal="center"/>
    </xf>
    <xf numFmtId="1" fontId="21" fillId="0" borderId="10" xfId="0" applyNumberFormat="1" applyFont="1" applyBorder="1" applyAlignment="1">
      <alignment horizontal="center"/>
    </xf>
    <xf numFmtId="167" fontId="16" fillId="2" borderId="12" xfId="0" applyNumberFormat="1" applyFont="1" applyFill="1" applyBorder="1" applyAlignment="1">
      <alignment horizontal="center"/>
    </xf>
    <xf numFmtId="167" fontId="16" fillId="2" borderId="16" xfId="0" applyNumberFormat="1" applyFont="1" applyFill="1" applyBorder="1" applyAlignment="1">
      <alignment horizontal="center"/>
    </xf>
    <xf numFmtId="167" fontId="16" fillId="2" borderId="17" xfId="0" applyNumberFormat="1" applyFont="1" applyFill="1" applyBorder="1" applyAlignment="1">
      <alignment horizontal="center"/>
    </xf>
    <xf numFmtId="167" fontId="16" fillId="2" borderId="18" xfId="0" applyNumberFormat="1" applyFont="1" applyFill="1" applyBorder="1" applyAlignment="1">
      <alignment horizontal="center"/>
    </xf>
    <xf numFmtId="0" fontId="17" fillId="3" borderId="6" xfId="0" applyFont="1" applyFill="1" applyBorder="1" applyAlignment="1">
      <alignment horizontal="center" wrapText="1"/>
    </xf>
    <xf numFmtId="0" fontId="17" fillId="3" borderId="12" xfId="0" applyFont="1" applyFill="1" applyBorder="1" applyAlignment="1">
      <alignment horizontal="center" wrapText="1"/>
    </xf>
    <xf numFmtId="0" fontId="17" fillId="3" borderId="4" xfId="0" applyFont="1" applyFill="1" applyBorder="1" applyAlignment="1">
      <alignment horizontal="center" wrapText="1"/>
    </xf>
    <xf numFmtId="0" fontId="13" fillId="0" borderId="25" xfId="0" applyFont="1" applyBorder="1" applyAlignment="1">
      <alignment horizontal="center" wrapText="1"/>
    </xf>
    <xf numFmtId="1" fontId="22" fillId="0" borderId="24" xfId="0" applyNumberFormat="1" applyFont="1" applyBorder="1" applyAlignment="1">
      <alignment horizontal="center"/>
    </xf>
    <xf numFmtId="1" fontId="22" fillId="0" borderId="10" xfId="0" applyNumberFormat="1" applyFont="1" applyBorder="1" applyAlignment="1">
      <alignment horizontal="center"/>
    </xf>
    <xf numFmtId="168" fontId="16" fillId="2" borderId="12" xfId="0" applyNumberFormat="1" applyFont="1" applyFill="1" applyBorder="1" applyAlignment="1">
      <alignment horizontal="center"/>
    </xf>
    <xf numFmtId="168" fontId="16" fillId="2" borderId="16" xfId="0" applyNumberFormat="1" applyFont="1" applyFill="1" applyBorder="1" applyAlignment="1">
      <alignment horizontal="center"/>
    </xf>
    <xf numFmtId="169" fontId="16" fillId="2" borderId="17" xfId="0" applyNumberFormat="1" applyFont="1" applyFill="1" applyBorder="1" applyAlignment="1">
      <alignment horizontal="center"/>
    </xf>
    <xf numFmtId="0" fontId="19" fillId="0" borderId="25" xfId="0" applyFont="1" applyBorder="1" applyAlignment="1">
      <alignment horizontal="center" wrapText="1"/>
    </xf>
    <xf numFmtId="168" fontId="23" fillId="2" borderId="16" xfId="0" applyNumberFormat="1" applyFont="1" applyFill="1" applyBorder="1" applyAlignment="1">
      <alignment horizontal="center"/>
    </xf>
    <xf numFmtId="0" fontId="19" fillId="0" borderId="20" xfId="0" applyFont="1" applyBorder="1" applyAlignment="1" applyProtection="1">
      <alignment horizontal="center" wrapText="1"/>
      <protection locked="0"/>
    </xf>
    <xf numFmtId="168" fontId="16" fillId="5" borderId="16" xfId="0" applyNumberFormat="1" applyFont="1" applyFill="1" applyBorder="1" applyAlignment="1">
      <alignment horizontal="center"/>
    </xf>
    <xf numFmtId="0" fontId="19" fillId="0" borderId="10" xfId="0" applyFont="1" applyBorder="1" applyAlignment="1">
      <alignment horizontal="center" wrapText="1"/>
    </xf>
    <xf numFmtId="1" fontId="20" fillId="0" borderId="20" xfId="0" applyNumberFormat="1" applyFont="1" applyBorder="1" applyAlignment="1" applyProtection="1">
      <alignment horizontal="center"/>
      <protection locked="0"/>
    </xf>
    <xf numFmtId="3" fontId="16" fillId="2" borderId="2" xfId="0" applyNumberFormat="1" applyFont="1" applyFill="1" applyBorder="1" applyAlignment="1">
      <alignment horizontal="center"/>
    </xf>
    <xf numFmtId="0" fontId="0" fillId="2" borderId="3" xfId="0" applyFill="1" applyBorder="1"/>
    <xf numFmtId="4" fontId="16" fillId="2" borderId="7" xfId="0" applyNumberFormat="1" applyFont="1" applyFill="1" applyBorder="1" applyAlignment="1">
      <alignment horizontal="center"/>
    </xf>
    <xf numFmtId="0" fontId="12" fillId="0" borderId="0" xfId="0" applyFont="1"/>
    <xf numFmtId="10" fontId="24" fillId="0" borderId="0" xfId="0" applyNumberFormat="1" applyFont="1"/>
    <xf numFmtId="3" fontId="0" fillId="0" borderId="0" xfId="0" applyNumberFormat="1"/>
    <xf numFmtId="0" fontId="0" fillId="0" borderId="0" xfId="0" applyBorder="1" applyAlignment="1">
      <alignment wrapText="1"/>
    </xf>
    <xf numFmtId="1" fontId="20" fillId="0" borderId="0" xfId="0" applyNumberFormat="1" applyFont="1" applyBorder="1" applyAlignment="1" applyProtection="1">
      <alignment horizontal="center"/>
      <protection locked="0"/>
    </xf>
    <xf numFmtId="1" fontId="21" fillId="0" borderId="0" xfId="0" applyNumberFormat="1" applyFont="1" applyBorder="1" applyAlignment="1">
      <alignment horizontal="center"/>
    </xf>
    <xf numFmtId="1" fontId="22" fillId="0" borderId="0" xfId="0" applyNumberFormat="1" applyFont="1" applyBorder="1" applyAlignment="1">
      <alignment horizontal="center"/>
    </xf>
    <xf numFmtId="0" fontId="16" fillId="0" borderId="0" xfId="0" applyFont="1" applyFill="1" applyBorder="1" applyAlignment="1">
      <alignment horizontal="center"/>
    </xf>
    <xf numFmtId="1" fontId="17" fillId="0" borderId="0" xfId="0" applyNumberFormat="1" applyFont="1" applyFill="1" applyBorder="1" applyAlignment="1">
      <alignment horizontal="center"/>
    </xf>
    <xf numFmtId="0" fontId="0" fillId="0" borderId="0" xfId="0" applyFill="1" applyBorder="1" applyAlignment="1">
      <alignment wrapText="1"/>
    </xf>
    <xf numFmtId="167" fontId="16" fillId="0" borderId="0" xfId="0" applyNumberFormat="1" applyFont="1" applyFill="1" applyBorder="1" applyAlignment="1">
      <alignment horizontal="center"/>
    </xf>
    <xf numFmtId="0" fontId="0" fillId="0" borderId="0" xfId="0" applyFill="1"/>
    <xf numFmtId="168" fontId="19" fillId="0" borderId="22" xfId="0" applyNumberFormat="1" applyFont="1" applyBorder="1" applyAlignment="1">
      <alignment horizontal="center" wrapText="1"/>
    </xf>
    <xf numFmtId="168" fontId="19" fillId="0" borderId="25" xfId="0" applyNumberFormat="1" applyFont="1" applyBorder="1" applyAlignment="1">
      <alignment horizontal="center" wrapText="1"/>
    </xf>
    <xf numFmtId="0" fontId="16" fillId="2" borderId="26" xfId="0" applyFont="1" applyFill="1" applyBorder="1" applyAlignment="1">
      <alignment horizontal="center"/>
    </xf>
    <xf numFmtId="0" fontId="27" fillId="0" borderId="0" xfId="0" applyFont="1" applyBorder="1" applyAlignment="1" applyProtection="1">
      <alignment wrapText="1"/>
      <protection locked="0"/>
    </xf>
    <xf numFmtId="1" fontId="20" fillId="0" borderId="0" xfId="0" applyNumberFormat="1" applyFont="1" applyFill="1" applyBorder="1" applyAlignment="1" applyProtection="1">
      <alignment horizontal="center"/>
      <protection locked="0"/>
    </xf>
    <xf numFmtId="1" fontId="21" fillId="0" borderId="0" xfId="0" applyNumberFormat="1" applyFont="1" applyFill="1" applyBorder="1" applyAlignment="1">
      <alignment horizontal="center"/>
    </xf>
    <xf numFmtId="1" fontId="22" fillId="0" borderId="0" xfId="0" applyNumberFormat="1" applyFont="1" applyFill="1" applyBorder="1" applyAlignment="1">
      <alignment horizontal="center"/>
    </xf>
    <xf numFmtId="0" fontId="12" fillId="0" borderId="0" xfId="0" applyFont="1" applyFill="1"/>
    <xf numFmtId="3" fontId="0" fillId="0" borderId="0" xfId="0" applyNumberFormat="1" applyFill="1"/>
    <xf numFmtId="1" fontId="30" fillId="6" borderId="12" xfId="0" applyNumberFormat="1" applyFont="1" applyFill="1" applyBorder="1" applyAlignment="1">
      <alignment horizontal="center"/>
    </xf>
    <xf numFmtId="0" fontId="30" fillId="6" borderId="18" xfId="0" applyFont="1" applyFill="1" applyBorder="1" applyAlignment="1">
      <alignment horizontal="center"/>
    </xf>
    <xf numFmtId="0" fontId="30" fillId="0" borderId="0" xfId="0" applyFont="1" applyFill="1" applyBorder="1"/>
    <xf numFmtId="1" fontId="25" fillId="0" borderId="4" xfId="0" applyNumberFormat="1" applyFont="1" applyFill="1" applyBorder="1" applyAlignment="1">
      <alignment horizontal="center"/>
    </xf>
    <xf numFmtId="10" fontId="32" fillId="6" borderId="12" xfId="0" applyNumberFormat="1" applyFont="1" applyFill="1" applyBorder="1" applyAlignment="1" applyProtection="1">
      <alignment horizontal="center"/>
    </xf>
    <xf numFmtId="2" fontId="31" fillId="2" borderId="2" xfId="0" applyNumberFormat="1" applyFont="1" applyFill="1" applyBorder="1" applyAlignment="1">
      <alignment horizontal="center"/>
    </xf>
    <xf numFmtId="2" fontId="31" fillId="2" borderId="7" xfId="0" applyNumberFormat="1" applyFont="1" applyFill="1" applyBorder="1" applyAlignment="1">
      <alignment horizontal="center"/>
    </xf>
    <xf numFmtId="167" fontId="16" fillId="5" borderId="12" xfId="0" applyNumberFormat="1" applyFont="1" applyFill="1" applyBorder="1" applyAlignment="1">
      <alignment horizontal="center"/>
    </xf>
    <xf numFmtId="0" fontId="0" fillId="2" borderId="11" xfId="0" applyFill="1" applyBorder="1" applyAlignment="1">
      <alignment horizontal="center"/>
    </xf>
    <xf numFmtId="1" fontId="35" fillId="3" borderId="16" xfId="0" applyNumberFormat="1" applyFont="1" applyFill="1" applyBorder="1" applyAlignment="1">
      <alignment horizontal="center"/>
    </xf>
    <xf numFmtId="1" fontId="18" fillId="3" borderId="16" xfId="0" applyNumberFormat="1" applyFont="1" applyFill="1" applyBorder="1" applyAlignment="1">
      <alignment horizontal="center"/>
    </xf>
    <xf numFmtId="1" fontId="18" fillId="3" borderId="18" xfId="0" applyNumberFormat="1" applyFont="1" applyFill="1" applyBorder="1" applyAlignment="1">
      <alignment horizontal="center"/>
    </xf>
    <xf numFmtId="1" fontId="36" fillId="3" borderId="15" xfId="0" applyNumberFormat="1" applyFont="1" applyFill="1" applyBorder="1" applyAlignment="1">
      <alignment horizontal="center"/>
    </xf>
    <xf numFmtId="1" fontId="23" fillId="2" borderId="30" xfId="0" applyNumberFormat="1" applyFont="1" applyFill="1" applyBorder="1" applyAlignment="1">
      <alignment horizontal="center"/>
    </xf>
    <xf numFmtId="1" fontId="37" fillId="6" borderId="12" xfId="0" applyNumberFormat="1" applyFont="1" applyFill="1" applyBorder="1" applyAlignment="1">
      <alignment horizontal="center"/>
    </xf>
    <xf numFmtId="10" fontId="37" fillId="6" borderId="16" xfId="0" applyNumberFormat="1" applyFont="1" applyFill="1" applyBorder="1" applyAlignment="1">
      <alignment horizontal="center"/>
    </xf>
    <xf numFmtId="10" fontId="37" fillId="6" borderId="17" xfId="0" applyNumberFormat="1" applyFont="1" applyFill="1" applyBorder="1" applyAlignment="1">
      <alignment horizontal="center"/>
    </xf>
    <xf numFmtId="10" fontId="37" fillId="6" borderId="31" xfId="0" applyNumberFormat="1" applyFont="1" applyFill="1" applyBorder="1" applyAlignment="1">
      <alignment horizontal="center"/>
    </xf>
    <xf numFmtId="1" fontId="23" fillId="0" borderId="32" xfId="0" applyNumberFormat="1" applyFont="1" applyBorder="1" applyAlignment="1">
      <alignment horizontal="center"/>
    </xf>
    <xf numFmtId="1" fontId="16" fillId="0" borderId="26" xfId="0" applyNumberFormat="1" applyFont="1" applyBorder="1" applyAlignment="1">
      <alignment horizontal="center"/>
    </xf>
    <xf numFmtId="1" fontId="23" fillId="0" borderId="22" xfId="0" applyNumberFormat="1" applyFont="1" applyBorder="1" applyAlignment="1">
      <alignment horizontal="center"/>
    </xf>
    <xf numFmtId="1" fontId="16" fillId="0" borderId="33" xfId="0" applyNumberFormat="1" applyFont="1" applyBorder="1" applyAlignment="1">
      <alignment horizontal="center"/>
    </xf>
    <xf numFmtId="0" fontId="19" fillId="0" borderId="15" xfId="0" applyFont="1" applyBorder="1" applyAlignment="1">
      <alignment horizontal="center" wrapText="1"/>
    </xf>
    <xf numFmtId="1" fontId="23" fillId="0" borderId="34" xfId="0" applyNumberFormat="1" applyFont="1" applyBorder="1" applyAlignment="1">
      <alignment horizontal="center"/>
    </xf>
    <xf numFmtId="1" fontId="23" fillId="0" borderId="35" xfId="0" applyNumberFormat="1" applyFont="1" applyBorder="1" applyAlignment="1">
      <alignment horizontal="center"/>
    </xf>
    <xf numFmtId="1" fontId="39" fillId="6" borderId="17" xfId="0" applyNumberFormat="1" applyFont="1" applyFill="1" applyBorder="1" applyAlignment="1">
      <alignment horizontal="center"/>
    </xf>
    <xf numFmtId="1" fontId="39" fillId="6" borderId="31" xfId="0" applyNumberFormat="1" applyFont="1" applyFill="1" applyBorder="1" applyAlignment="1">
      <alignment horizontal="center"/>
    </xf>
    <xf numFmtId="170" fontId="37" fillId="6" borderId="27" xfId="0" applyNumberFormat="1" applyFont="1" applyFill="1" applyBorder="1" applyAlignment="1">
      <alignment horizontal="center"/>
    </xf>
    <xf numFmtId="170" fontId="37" fillId="6" borderId="18" xfId="0" applyNumberFormat="1" applyFont="1" applyFill="1" applyBorder="1" applyAlignment="1">
      <alignment horizontal="center"/>
    </xf>
    <xf numFmtId="1" fontId="23" fillId="7" borderId="30" xfId="0" applyNumberFormat="1" applyFont="1" applyFill="1" applyBorder="1" applyAlignment="1">
      <alignment horizontal="center"/>
    </xf>
    <xf numFmtId="1" fontId="23" fillId="0" borderId="9" xfId="0" applyNumberFormat="1" applyFont="1" applyBorder="1" applyAlignment="1">
      <alignment horizontal="center"/>
    </xf>
    <xf numFmtId="1" fontId="23" fillId="0" borderId="20" xfId="0" applyNumberFormat="1" applyFont="1" applyBorder="1" applyAlignment="1">
      <alignment horizontal="center"/>
    </xf>
    <xf numFmtId="1" fontId="32" fillId="4" borderId="16" xfId="0" applyNumberFormat="1" applyFont="1" applyFill="1" applyBorder="1" applyAlignment="1">
      <alignment horizontal="center"/>
    </xf>
    <xf numFmtId="1" fontId="40" fillId="3" borderId="5" xfId="0" applyNumberFormat="1" applyFont="1" applyFill="1" applyBorder="1" applyAlignment="1">
      <alignment horizontal="center"/>
    </xf>
    <xf numFmtId="1" fontId="40" fillId="3" borderId="18" xfId="0" applyNumberFormat="1" applyFont="1" applyFill="1" applyBorder="1" applyAlignment="1">
      <alignment horizontal="center"/>
    </xf>
    <xf numFmtId="2" fontId="37" fillId="6" borderId="27" xfId="0" applyNumberFormat="1" applyFont="1" applyFill="1" applyBorder="1" applyAlignment="1">
      <alignment horizontal="center"/>
    </xf>
    <xf numFmtId="2" fontId="37" fillId="6" borderId="18" xfId="0" applyNumberFormat="1" applyFont="1" applyFill="1" applyBorder="1" applyAlignment="1">
      <alignment horizontal="center"/>
    </xf>
    <xf numFmtId="0" fontId="35" fillId="2" borderId="1" xfId="0" applyFont="1" applyFill="1" applyBorder="1" applyAlignment="1">
      <alignment horizontal="center"/>
    </xf>
    <xf numFmtId="0" fontId="35" fillId="2" borderId="3" xfId="0" applyFont="1" applyFill="1" applyBorder="1" applyAlignment="1">
      <alignment horizontal="center"/>
    </xf>
    <xf numFmtId="0" fontId="27" fillId="0" borderId="0" xfId="0" applyFont="1"/>
    <xf numFmtId="1" fontId="16" fillId="5" borderId="6" xfId="0" applyNumberFormat="1" applyFont="1" applyFill="1" applyBorder="1" applyAlignment="1">
      <alignment horizontal="center"/>
    </xf>
    <xf numFmtId="167" fontId="16" fillId="5" borderId="39" xfId="0" applyNumberFormat="1" applyFont="1" applyFill="1" applyBorder="1" applyAlignment="1">
      <alignment horizontal="center"/>
    </xf>
    <xf numFmtId="167" fontId="16" fillId="5" borderId="24" xfId="0" applyNumberFormat="1" applyFont="1" applyFill="1" applyBorder="1" applyAlignment="1">
      <alignment horizontal="center"/>
    </xf>
    <xf numFmtId="1" fontId="21" fillId="0" borderId="11" xfId="0" applyNumberFormat="1" applyFont="1" applyBorder="1" applyAlignment="1">
      <alignment horizontal="center"/>
    </xf>
    <xf numFmtId="1" fontId="20" fillId="0" borderId="42" xfId="0" applyNumberFormat="1" applyFont="1" applyBorder="1" applyAlignment="1" applyProtection="1">
      <alignment horizontal="center"/>
      <protection locked="0"/>
    </xf>
    <xf numFmtId="1" fontId="20" fillId="0" borderId="43" xfId="0" applyNumberFormat="1" applyFont="1" applyBorder="1" applyAlignment="1" applyProtection="1">
      <alignment horizontal="center"/>
      <protection locked="0"/>
    </xf>
    <xf numFmtId="1" fontId="22" fillId="0" borderId="28" xfId="0" applyNumberFormat="1" applyFont="1" applyBorder="1" applyAlignment="1">
      <alignment horizontal="center"/>
    </xf>
    <xf numFmtId="167" fontId="16" fillId="2" borderId="27" xfId="0" applyNumberFormat="1" applyFont="1" applyFill="1" applyBorder="1" applyAlignment="1">
      <alignment horizontal="center"/>
    </xf>
    <xf numFmtId="167" fontId="16" fillId="2" borderId="31" xfId="0" applyNumberFormat="1" applyFont="1" applyFill="1" applyBorder="1" applyAlignment="1">
      <alignment horizontal="center"/>
    </xf>
    <xf numFmtId="1" fontId="22" fillId="0" borderId="44" xfId="0" applyNumberFormat="1" applyFont="1" applyBorder="1" applyAlignment="1">
      <alignment horizontal="center"/>
    </xf>
    <xf numFmtId="167" fontId="16" fillId="5" borderId="27" xfId="0" applyNumberFormat="1" applyFont="1" applyFill="1" applyBorder="1" applyAlignment="1">
      <alignment horizontal="center"/>
    </xf>
    <xf numFmtId="167" fontId="16" fillId="5" borderId="31" xfId="0" applyNumberFormat="1" applyFont="1" applyFill="1" applyBorder="1" applyAlignment="1">
      <alignment horizontal="center"/>
    </xf>
    <xf numFmtId="0" fontId="13" fillId="0" borderId="45" xfId="0" applyFont="1" applyBorder="1" applyAlignment="1">
      <alignment horizontal="center" wrapText="1"/>
    </xf>
    <xf numFmtId="1" fontId="22" fillId="0" borderId="34" xfId="0" applyNumberFormat="1" applyFont="1" applyBorder="1" applyAlignment="1">
      <alignment horizontal="center"/>
    </xf>
    <xf numFmtId="168" fontId="16" fillId="5" borderId="39" xfId="0" applyNumberFormat="1" applyFont="1" applyFill="1" applyBorder="1" applyAlignment="1">
      <alignment horizontal="center"/>
    </xf>
    <xf numFmtId="167" fontId="16" fillId="5" borderId="7" xfId="0" applyNumberFormat="1" applyFont="1" applyFill="1" applyBorder="1" applyAlignment="1">
      <alignment horizontal="center"/>
    </xf>
    <xf numFmtId="1" fontId="23" fillId="0" borderId="26" xfId="0" applyNumberFormat="1" applyFont="1" applyBorder="1" applyAlignment="1" applyProtection="1">
      <alignment horizontal="center"/>
    </xf>
    <xf numFmtId="1" fontId="23" fillId="0" borderId="41" xfId="0" applyNumberFormat="1" applyFont="1" applyBorder="1" applyAlignment="1" applyProtection="1">
      <alignment horizontal="center"/>
    </xf>
    <xf numFmtId="1" fontId="25" fillId="0" borderId="0" xfId="0" applyNumberFormat="1" applyFont="1" applyFill="1" applyBorder="1" applyAlignment="1">
      <alignment horizontal="center"/>
    </xf>
    <xf numFmtId="0" fontId="30" fillId="0" borderId="0" xfId="0" applyFont="1" applyFill="1" applyBorder="1" applyAlignment="1">
      <alignment wrapText="1"/>
    </xf>
    <xf numFmtId="10" fontId="23" fillId="0" borderId="46" xfId="0" applyNumberFormat="1" applyFont="1" applyFill="1" applyBorder="1" applyAlignment="1" applyProtection="1">
      <alignment horizontal="center"/>
    </xf>
    <xf numFmtId="10" fontId="20" fillId="0" borderId="26" xfId="0" applyNumberFormat="1" applyFont="1" applyFill="1" applyBorder="1" applyAlignment="1" applyProtection="1">
      <alignment horizontal="center"/>
      <protection locked="0"/>
    </xf>
    <xf numFmtId="10" fontId="23" fillId="0" borderId="21" xfId="0" applyNumberFormat="1" applyFont="1" applyFill="1" applyBorder="1" applyAlignment="1" applyProtection="1">
      <alignment horizontal="center"/>
    </xf>
    <xf numFmtId="10" fontId="20" fillId="0" borderId="41" xfId="0" applyNumberFormat="1" applyFont="1" applyFill="1" applyBorder="1" applyAlignment="1" applyProtection="1">
      <alignment horizontal="center"/>
      <protection locked="0"/>
    </xf>
    <xf numFmtId="1" fontId="23" fillId="0" borderId="23" xfId="0" applyNumberFormat="1" applyFont="1" applyFill="1" applyBorder="1" applyAlignment="1" applyProtection="1">
      <alignment horizontal="center"/>
    </xf>
    <xf numFmtId="10" fontId="33" fillId="0" borderId="11" xfId="0" applyNumberFormat="1" applyFont="1" applyFill="1" applyBorder="1" applyAlignment="1" applyProtection="1">
      <alignment horizontal="center"/>
    </xf>
    <xf numFmtId="10" fontId="29" fillId="0" borderId="26" xfId="0" applyNumberFormat="1" applyFont="1" applyFill="1" applyBorder="1" applyAlignment="1" applyProtection="1">
      <alignment horizontal="center"/>
    </xf>
    <xf numFmtId="10" fontId="29" fillId="0" borderId="41" xfId="0" applyNumberFormat="1" applyFont="1" applyFill="1" applyBorder="1" applyAlignment="1" applyProtection="1">
      <alignment horizontal="center"/>
    </xf>
    <xf numFmtId="10" fontId="29" fillId="0" borderId="11" xfId="0" applyNumberFormat="1" applyFont="1" applyFill="1" applyBorder="1" applyAlignment="1" applyProtection="1">
      <alignment horizontal="center"/>
    </xf>
    <xf numFmtId="10" fontId="23" fillId="0" borderId="47" xfId="0" applyNumberFormat="1" applyFont="1" applyFill="1" applyBorder="1" applyAlignment="1" applyProtection="1">
      <alignment horizontal="center"/>
    </xf>
    <xf numFmtId="10" fontId="29" fillId="0" borderId="48" xfId="0" applyNumberFormat="1" applyFont="1" applyFill="1" applyBorder="1" applyAlignment="1" applyProtection="1">
      <alignment horizontal="center"/>
    </xf>
    <xf numFmtId="10" fontId="23" fillId="0" borderId="49" xfId="0" applyNumberFormat="1" applyFont="1" applyFill="1" applyBorder="1" applyAlignment="1" applyProtection="1">
      <alignment horizontal="center"/>
    </xf>
    <xf numFmtId="10" fontId="29" fillId="0" borderId="50" xfId="0" applyNumberFormat="1" applyFont="1" applyFill="1" applyBorder="1" applyAlignment="1" applyProtection="1">
      <alignment horizontal="center"/>
    </xf>
    <xf numFmtId="1" fontId="23" fillId="0" borderId="51" xfId="0" applyNumberFormat="1" applyFont="1" applyFill="1" applyBorder="1" applyAlignment="1" applyProtection="1">
      <alignment horizontal="center"/>
    </xf>
    <xf numFmtId="10" fontId="33" fillId="0" borderId="52" xfId="0" applyNumberFormat="1" applyFont="1" applyFill="1" applyBorder="1" applyAlignment="1" applyProtection="1">
      <alignment horizontal="center"/>
    </xf>
    <xf numFmtId="10" fontId="32" fillId="6" borderId="18" xfId="0" applyNumberFormat="1" applyFont="1" applyFill="1" applyBorder="1" applyAlignment="1" applyProtection="1">
      <alignment horizontal="center"/>
    </xf>
    <xf numFmtId="0" fontId="12" fillId="0" borderId="0" xfId="1"/>
    <xf numFmtId="0" fontId="12" fillId="8" borderId="0" xfId="1" applyFill="1"/>
    <xf numFmtId="0" fontId="11" fillId="2" borderId="2" xfId="2" applyFill="1" applyBorder="1"/>
    <xf numFmtId="0" fontId="11" fillId="2" borderId="0" xfId="2" applyFill="1"/>
    <xf numFmtId="0" fontId="51" fillId="2" borderId="0" xfId="2" applyFont="1" applyFill="1" applyAlignment="1">
      <alignment horizontal="center"/>
    </xf>
    <xf numFmtId="0" fontId="52" fillId="2" borderId="0" xfId="2" applyFont="1" applyFill="1" applyAlignment="1">
      <alignment horizontal="center"/>
    </xf>
    <xf numFmtId="0" fontId="12" fillId="2" borderId="0" xfId="1" applyFill="1"/>
    <xf numFmtId="0" fontId="53" fillId="2" borderId="0" xfId="2" applyFont="1" applyFill="1" applyAlignment="1">
      <alignment horizontal="center"/>
    </xf>
    <xf numFmtId="0" fontId="11" fillId="2" borderId="0" xfId="2" applyFill="1" applyAlignment="1">
      <alignment horizontal="center"/>
    </xf>
    <xf numFmtId="165" fontId="44" fillId="9" borderId="0" xfId="2" applyNumberFormat="1" applyFont="1" applyFill="1" applyAlignment="1">
      <alignment horizontal="center"/>
    </xf>
    <xf numFmtId="3" fontId="44" fillId="9" borderId="0" xfId="2" applyNumberFormat="1" applyFont="1" applyFill="1" applyAlignment="1">
      <alignment horizontal="center"/>
    </xf>
    <xf numFmtId="39" fontId="44" fillId="9" borderId="0" xfId="2" applyNumberFormat="1" applyFont="1" applyFill="1" applyAlignment="1">
      <alignment horizontal="center"/>
    </xf>
    <xf numFmtId="39" fontId="54" fillId="9" borderId="0" xfId="2" applyNumberFormat="1" applyFont="1" applyFill="1" applyAlignment="1" applyProtection="1">
      <alignment horizontal="center"/>
      <protection locked="0"/>
    </xf>
    <xf numFmtId="171" fontId="44" fillId="9" borderId="0" xfId="2" applyNumberFormat="1" applyFont="1" applyFill="1" applyAlignment="1">
      <alignment horizontal="center"/>
    </xf>
    <xf numFmtId="0" fontId="11" fillId="2" borderId="7" xfId="2" applyFill="1" applyBorder="1" applyAlignment="1">
      <alignment horizontal="center"/>
    </xf>
    <xf numFmtId="0" fontId="55" fillId="0" borderId="0" xfId="1" applyFont="1"/>
    <xf numFmtId="0" fontId="11" fillId="10" borderId="2" xfId="2" applyFill="1" applyBorder="1"/>
    <xf numFmtId="0" fontId="11" fillId="10" borderId="0" xfId="2" applyFill="1"/>
    <xf numFmtId="0" fontId="51" fillId="10" borderId="0" xfId="2" applyFont="1" applyFill="1" applyAlignment="1">
      <alignment horizontal="center"/>
    </xf>
    <xf numFmtId="0" fontId="52" fillId="10" borderId="0" xfId="2" applyFont="1" applyFill="1" applyAlignment="1">
      <alignment horizontal="center"/>
    </xf>
    <xf numFmtId="0" fontId="12" fillId="10" borderId="0" xfId="1" applyFill="1"/>
    <xf numFmtId="0" fontId="53" fillId="10" borderId="0" xfId="2" applyFont="1" applyFill="1" applyAlignment="1">
      <alignment horizontal="center"/>
    </xf>
    <xf numFmtId="0" fontId="11" fillId="10" borderId="0" xfId="2" applyFill="1" applyAlignment="1">
      <alignment horizontal="center"/>
    </xf>
    <xf numFmtId="0" fontId="11" fillId="10" borderId="7" xfId="2" applyFill="1" applyBorder="1" applyAlignment="1">
      <alignment horizontal="center"/>
    </xf>
    <xf numFmtId="0" fontId="11" fillId="11" borderId="2" xfId="2" applyFill="1" applyBorder="1"/>
    <xf numFmtId="0" fontId="11" fillId="11" borderId="0" xfId="2" applyFill="1"/>
    <xf numFmtId="0" fontId="51" fillId="11" borderId="0" xfId="2" applyFont="1" applyFill="1" applyAlignment="1">
      <alignment horizontal="center"/>
    </xf>
    <xf numFmtId="0" fontId="52" fillId="11" borderId="0" xfId="2" applyFont="1" applyFill="1" applyAlignment="1">
      <alignment horizontal="center"/>
    </xf>
    <xf numFmtId="0" fontId="12" fillId="11" borderId="0" xfId="1" applyFill="1"/>
    <xf numFmtId="0" fontId="53" fillId="11" borderId="0" xfId="2" applyFont="1" applyFill="1" applyAlignment="1">
      <alignment horizontal="center"/>
    </xf>
    <xf numFmtId="0" fontId="11" fillId="11" borderId="0" xfId="2" applyFill="1" applyAlignment="1">
      <alignment horizontal="center"/>
    </xf>
    <xf numFmtId="0" fontId="11" fillId="11" borderId="7" xfId="2" applyFill="1" applyBorder="1" applyAlignment="1">
      <alignment horizontal="center"/>
    </xf>
    <xf numFmtId="0" fontId="56" fillId="8" borderId="0" xfId="1" applyFont="1" applyFill="1"/>
    <xf numFmtId="0" fontId="56" fillId="0" borderId="0" xfId="1" applyFont="1"/>
    <xf numFmtId="0" fontId="11" fillId="12" borderId="2" xfId="2" applyFill="1" applyBorder="1"/>
    <xf numFmtId="0" fontId="11" fillId="12" borderId="0" xfId="2" applyFill="1"/>
    <xf numFmtId="0" fontId="51" fillId="12" borderId="0" xfId="2" applyFont="1" applyFill="1" applyAlignment="1">
      <alignment horizontal="center"/>
    </xf>
    <xf numFmtId="0" fontId="52" fillId="12" borderId="0" xfId="2" applyFont="1" applyFill="1" applyAlignment="1">
      <alignment horizontal="center"/>
    </xf>
    <xf numFmtId="0" fontId="12" fillId="12" borderId="0" xfId="1" applyFill="1"/>
    <xf numFmtId="0" fontId="53" fillId="12" borderId="0" xfId="2" applyFont="1" applyFill="1" applyAlignment="1">
      <alignment horizontal="center"/>
    </xf>
    <xf numFmtId="0" fontId="11" fillId="12" borderId="0" xfId="2" applyFill="1" applyAlignment="1">
      <alignment horizontal="center"/>
    </xf>
    <xf numFmtId="0" fontId="11" fillId="12" borderId="7" xfId="2" applyFill="1" applyBorder="1" applyAlignment="1">
      <alignment horizontal="center"/>
    </xf>
    <xf numFmtId="0" fontId="45" fillId="6" borderId="2" xfId="2" applyFont="1" applyFill="1" applyBorder="1"/>
    <xf numFmtId="0" fontId="45" fillId="6" borderId="0" xfId="2" applyFont="1" applyFill="1"/>
    <xf numFmtId="0" fontId="62" fillId="6" borderId="0" xfId="2" applyFont="1" applyFill="1" applyAlignment="1">
      <alignment horizontal="center"/>
    </xf>
    <xf numFmtId="0" fontId="63" fillId="6" borderId="0" xfId="2" applyFont="1" applyFill="1" applyAlignment="1">
      <alignment horizontal="center"/>
    </xf>
    <xf numFmtId="0" fontId="36" fillId="6" borderId="0" xfId="1" applyFont="1" applyFill="1"/>
    <xf numFmtId="0" fontId="64" fillId="6" borderId="0" xfId="2" applyFont="1" applyFill="1" applyAlignment="1">
      <alignment horizontal="center"/>
    </xf>
    <xf numFmtId="0" fontId="45" fillId="6" borderId="0" xfId="2" applyFont="1" applyFill="1" applyAlignment="1">
      <alignment horizontal="center"/>
    </xf>
    <xf numFmtId="172" fontId="44" fillId="9" borderId="0" xfId="2" applyNumberFormat="1" applyFont="1" applyFill="1" applyAlignment="1">
      <alignment horizontal="center"/>
    </xf>
    <xf numFmtId="0" fontId="45" fillId="6" borderId="7" xfId="2" applyFont="1" applyFill="1" applyBorder="1" applyAlignment="1">
      <alignment horizontal="center"/>
    </xf>
    <xf numFmtId="0" fontId="65" fillId="0" borderId="0" xfId="1" applyFont="1"/>
    <xf numFmtId="0" fontId="25" fillId="0" borderId="0" xfId="1" applyFont="1"/>
    <xf numFmtId="0" fontId="58" fillId="0" borderId="0" xfId="0" applyFont="1" applyFill="1" applyBorder="1" applyAlignment="1">
      <alignment horizontal="center" vertical="center" wrapText="1"/>
    </xf>
    <xf numFmtId="0" fontId="11" fillId="0" borderId="0" xfId="2" applyFill="1" applyBorder="1" applyAlignment="1">
      <alignment horizontal="center" vertical="center" wrapText="1"/>
    </xf>
    <xf numFmtId="0" fontId="11" fillId="0" borderId="0" xfId="2" applyFill="1" applyBorder="1" applyAlignment="1">
      <alignment horizontal="center"/>
    </xf>
    <xf numFmtId="0" fontId="12" fillId="0" borderId="0" xfId="1" applyFill="1"/>
    <xf numFmtId="0" fontId="12" fillId="0" borderId="0" xfId="1" applyAlignment="1"/>
    <xf numFmtId="0" fontId="0" fillId="0" borderId="0" xfId="0" applyAlignment="1"/>
    <xf numFmtId="171" fontId="54" fillId="9" borderId="0" xfId="2" applyNumberFormat="1" applyFont="1" applyFill="1" applyAlignment="1" applyProtection="1">
      <alignment horizontal="center"/>
      <protection locked="0"/>
    </xf>
    <xf numFmtId="0" fontId="10" fillId="10" borderId="0" xfId="2" applyFont="1" applyFill="1"/>
    <xf numFmtId="0" fontId="44" fillId="2" borderId="2" xfId="2" applyFont="1" applyFill="1" applyBorder="1" applyAlignment="1">
      <alignment horizontal="center"/>
    </xf>
    <xf numFmtId="0" fontId="44" fillId="10" borderId="2" xfId="2" applyFont="1" applyFill="1" applyBorder="1" applyAlignment="1">
      <alignment horizontal="center"/>
    </xf>
    <xf numFmtId="0" fontId="44" fillId="11" borderId="2" xfId="2" applyFont="1" applyFill="1" applyBorder="1" applyAlignment="1">
      <alignment horizontal="center"/>
    </xf>
    <xf numFmtId="0" fontId="11" fillId="12" borderId="2" xfId="2" applyFill="1" applyBorder="1" applyAlignment="1">
      <alignment horizontal="center"/>
    </xf>
    <xf numFmtId="0" fontId="44" fillId="12" borderId="2" xfId="2" applyFont="1" applyFill="1" applyBorder="1" applyAlignment="1">
      <alignment horizontal="center"/>
    </xf>
    <xf numFmtId="0" fontId="44" fillId="11" borderId="0" xfId="2" applyFont="1" applyFill="1" applyAlignment="1">
      <alignment horizontal="center"/>
    </xf>
    <xf numFmtId="0" fontId="66" fillId="6" borderId="2" xfId="2" applyFont="1" applyFill="1" applyBorder="1" applyAlignment="1">
      <alignment horizontal="center"/>
    </xf>
    <xf numFmtId="0" fontId="9" fillId="0" borderId="0" xfId="3"/>
    <xf numFmtId="1" fontId="68" fillId="0" borderId="0" xfId="1" applyNumberFormat="1" applyFont="1" applyAlignment="1">
      <alignment horizontal="center"/>
    </xf>
    <xf numFmtId="2" fontId="12" fillId="0" borderId="0" xfId="1" applyNumberFormat="1" applyAlignment="1">
      <alignment horizontal="center"/>
    </xf>
    <xf numFmtId="2" fontId="21" fillId="0" borderId="0" xfId="1" applyNumberFormat="1" applyFont="1" applyAlignment="1">
      <alignment horizontal="center"/>
    </xf>
    <xf numFmtId="0" fontId="50" fillId="0" borderId="12" xfId="1" applyFont="1" applyBorder="1" applyAlignment="1">
      <alignment horizontal="center"/>
    </xf>
    <xf numFmtId="0" fontId="50" fillId="0" borderId="0" xfId="1" applyFont="1" applyAlignment="1">
      <alignment horizontal="center"/>
    </xf>
    <xf numFmtId="171" fontId="50" fillId="0" borderId="30" xfId="1" applyNumberFormat="1" applyFont="1" applyBorder="1" applyAlignment="1">
      <alignment horizontal="center"/>
    </xf>
    <xf numFmtId="174" fontId="69" fillId="0" borderId="30" xfId="1" applyNumberFormat="1" applyFont="1" applyBorder="1" applyAlignment="1">
      <alignment horizontal="center"/>
    </xf>
    <xf numFmtId="1" fontId="69" fillId="0" borderId="30" xfId="1" applyNumberFormat="1" applyFont="1" applyBorder="1" applyAlignment="1">
      <alignment horizontal="center"/>
    </xf>
    <xf numFmtId="175" fontId="50" fillId="0" borderId="30" xfId="1" applyNumberFormat="1" applyFont="1" applyBorder="1" applyAlignment="1">
      <alignment horizontal="center"/>
    </xf>
    <xf numFmtId="0" fontId="70" fillId="0" borderId="0" xfId="1" applyFont="1" applyAlignment="1">
      <alignment horizontal="center"/>
    </xf>
    <xf numFmtId="2" fontId="25" fillId="0" borderId="0" xfId="1" applyNumberFormat="1" applyFont="1" applyAlignment="1">
      <alignment horizontal="center"/>
    </xf>
    <xf numFmtId="2" fontId="69" fillId="0" borderId="30" xfId="1" applyNumberFormat="1" applyFont="1" applyBorder="1" applyAlignment="1">
      <alignment horizontal="center"/>
    </xf>
    <xf numFmtId="1" fontId="71" fillId="0" borderId="37" xfId="1" applyNumberFormat="1" applyFont="1" applyBorder="1" applyAlignment="1">
      <alignment horizontal="center"/>
    </xf>
    <xf numFmtId="2" fontId="72" fillId="0" borderId="37" xfId="1" applyNumberFormat="1" applyFont="1" applyBorder="1" applyAlignment="1">
      <alignment horizontal="center"/>
    </xf>
    <xf numFmtId="0" fontId="48" fillId="0" borderId="8" xfId="1" applyFont="1" applyBorder="1" applyAlignment="1">
      <alignment horizontal="center"/>
    </xf>
    <xf numFmtId="0" fontId="48" fillId="0" borderId="7" xfId="1" applyFont="1" applyBorder="1" applyAlignment="1">
      <alignment horizontal="center"/>
    </xf>
    <xf numFmtId="10" fontId="48" fillId="0" borderId="7" xfId="1" applyNumberFormat="1" applyFont="1" applyBorder="1" applyAlignment="1">
      <alignment horizontal="center"/>
    </xf>
    <xf numFmtId="164" fontId="48" fillId="0" borderId="7" xfId="1" applyNumberFormat="1" applyFont="1" applyBorder="1" applyAlignment="1">
      <alignment horizontal="center"/>
    </xf>
    <xf numFmtId="0" fontId="73" fillId="0" borderId="7" xfId="1" applyFont="1" applyBorder="1"/>
    <xf numFmtId="0" fontId="56" fillId="0" borderId="6" xfId="1" applyFont="1" applyBorder="1"/>
    <xf numFmtId="1" fontId="71" fillId="0" borderId="57" xfId="1" applyNumberFormat="1" applyFont="1" applyBorder="1" applyAlignment="1">
      <alignment horizontal="center"/>
    </xf>
    <xf numFmtId="2" fontId="72" fillId="0" borderId="57" xfId="1" applyNumberFormat="1" applyFont="1" applyBorder="1" applyAlignment="1">
      <alignment horizontal="center"/>
    </xf>
    <xf numFmtId="0" fontId="48" fillId="0" borderId="5" xfId="1" applyFont="1" applyBorder="1" applyAlignment="1">
      <alignment horizontal="center"/>
    </xf>
    <xf numFmtId="0" fontId="48" fillId="0" borderId="0" xfId="1" applyFont="1" applyAlignment="1">
      <alignment horizontal="center"/>
    </xf>
    <xf numFmtId="10" fontId="48" fillId="0" borderId="0" xfId="1" applyNumberFormat="1" applyFont="1" applyAlignment="1">
      <alignment horizontal="center"/>
    </xf>
    <xf numFmtId="164" fontId="48" fillId="0" borderId="0" xfId="1" applyNumberFormat="1" applyFont="1" applyAlignment="1">
      <alignment horizontal="center"/>
    </xf>
    <xf numFmtId="0" fontId="56" fillId="0" borderId="4" xfId="1" applyFont="1" applyBorder="1"/>
    <xf numFmtId="164" fontId="74" fillId="0" borderId="5" xfId="1" applyNumberFormat="1" applyFont="1" applyBorder="1" applyAlignment="1">
      <alignment horizontal="center"/>
    </xf>
    <xf numFmtId="176" fontId="74" fillId="0" borderId="0" xfId="1" applyNumberFormat="1" applyFont="1" applyAlignment="1">
      <alignment horizontal="right"/>
    </xf>
    <xf numFmtId="177" fontId="73" fillId="0" borderId="0" xfId="1" applyNumberFormat="1" applyFont="1" applyAlignment="1">
      <alignment horizontal="center"/>
    </xf>
    <xf numFmtId="176" fontId="74" fillId="0" borderId="0" xfId="1" applyNumberFormat="1" applyFont="1" applyAlignment="1">
      <alignment horizontal="center"/>
    </xf>
    <xf numFmtId="0" fontId="48" fillId="0" borderId="0" xfId="1" applyFont="1"/>
    <xf numFmtId="0" fontId="56" fillId="0" borderId="5" xfId="1" applyFont="1" applyBorder="1"/>
    <xf numFmtId="0" fontId="56" fillId="0" borderId="0" xfId="1" applyFont="1" applyAlignment="1">
      <alignment horizontal="right"/>
    </xf>
    <xf numFmtId="10" fontId="56" fillId="0" borderId="0" xfId="1" applyNumberFormat="1" applyFont="1"/>
    <xf numFmtId="164" fontId="56" fillId="0" borderId="0" xfId="1" applyNumberFormat="1" applyFont="1" applyAlignment="1">
      <alignment horizontal="center"/>
    </xf>
    <xf numFmtId="0" fontId="73" fillId="0" borderId="0" xfId="1" applyFont="1"/>
    <xf numFmtId="164" fontId="48" fillId="0" borderId="5" xfId="1" applyNumberFormat="1" applyFont="1" applyBorder="1" applyAlignment="1">
      <alignment horizontal="center"/>
    </xf>
    <xf numFmtId="164" fontId="48" fillId="0" borderId="18" xfId="1" applyNumberFormat="1" applyFont="1" applyBorder="1" applyAlignment="1">
      <alignment horizontal="center"/>
    </xf>
    <xf numFmtId="10" fontId="48" fillId="0" borderId="30" xfId="1" applyNumberFormat="1" applyFont="1" applyBorder="1" applyAlignment="1">
      <alignment horizontal="center"/>
    </xf>
    <xf numFmtId="164" fontId="48" fillId="0" borderId="30" xfId="1" applyNumberFormat="1" applyFont="1" applyBorder="1" applyAlignment="1">
      <alignment horizontal="center"/>
    </xf>
    <xf numFmtId="164" fontId="74" fillId="0" borderId="3" xfId="1" applyNumberFormat="1" applyFont="1" applyBorder="1"/>
    <xf numFmtId="164" fontId="74" fillId="0" borderId="2" xfId="1" applyNumberFormat="1" applyFont="1" applyBorder="1" applyAlignment="1">
      <alignment horizontal="right"/>
    </xf>
    <xf numFmtId="10" fontId="73" fillId="0" borderId="2" xfId="1" applyNumberFormat="1" applyFont="1" applyBorder="1"/>
    <xf numFmtId="164" fontId="74" fillId="0" borderId="2" xfId="1" applyNumberFormat="1" applyFont="1" applyBorder="1" applyAlignment="1">
      <alignment horizontal="center"/>
    </xf>
    <xf numFmtId="0" fontId="48" fillId="0" borderId="2" xfId="1" applyFont="1" applyBorder="1"/>
    <xf numFmtId="0" fontId="56" fillId="0" borderId="1" xfId="1" applyFont="1" applyBorder="1"/>
    <xf numFmtId="178" fontId="56" fillId="0" borderId="0" xfId="1" applyNumberFormat="1" applyFont="1"/>
    <xf numFmtId="2" fontId="74" fillId="0" borderId="57" xfId="1" applyNumberFormat="1" applyFont="1" applyBorder="1" applyAlignment="1">
      <alignment horizontal="center"/>
    </xf>
    <xf numFmtId="164" fontId="74" fillId="0" borderId="0" xfId="1" applyNumberFormat="1" applyFont="1"/>
    <xf numFmtId="179" fontId="74" fillId="0" borderId="0" xfId="1" applyNumberFormat="1" applyFont="1" applyAlignment="1">
      <alignment horizontal="right"/>
    </xf>
    <xf numFmtId="180" fontId="73" fillId="0" borderId="0" xfId="1" applyNumberFormat="1" applyFont="1" applyAlignment="1">
      <alignment horizontal="center"/>
    </xf>
    <xf numFmtId="179" fontId="74" fillId="0" borderId="0" xfId="1" applyNumberFormat="1" applyFont="1" applyAlignment="1">
      <alignment horizontal="center"/>
    </xf>
    <xf numFmtId="9" fontId="12" fillId="0" borderId="0" xfId="1" applyNumberFormat="1" applyAlignment="1">
      <alignment horizontal="center" vertical="center" wrapText="1"/>
    </xf>
    <xf numFmtId="164" fontId="56" fillId="0" borderId="0" xfId="1" applyNumberFormat="1" applyFont="1"/>
    <xf numFmtId="164" fontId="56" fillId="0" borderId="0" xfId="1" applyNumberFormat="1" applyFont="1" applyAlignment="1">
      <alignment horizontal="right"/>
    </xf>
    <xf numFmtId="10" fontId="56" fillId="0" borderId="0" xfId="1" applyNumberFormat="1" applyFont="1" applyAlignment="1">
      <alignment horizontal="center"/>
    </xf>
    <xf numFmtId="164" fontId="42" fillId="0" borderId="0" xfId="1" applyNumberFormat="1" applyFont="1" applyAlignment="1">
      <alignment horizontal="center"/>
    </xf>
    <xf numFmtId="164" fontId="43" fillId="0" borderId="0" xfId="1" applyNumberFormat="1" applyFont="1" applyAlignment="1">
      <alignment horizontal="center"/>
    </xf>
    <xf numFmtId="9" fontId="56" fillId="0" borderId="0" xfId="1" applyNumberFormat="1" applyFont="1" applyAlignment="1">
      <alignment horizontal="center" vertical="center" wrapText="1"/>
    </xf>
    <xf numFmtId="164" fontId="56" fillId="0" borderId="59" xfId="1" applyNumberFormat="1" applyFont="1" applyBorder="1"/>
    <xf numFmtId="164" fontId="56" fillId="0" borderId="59" xfId="1" applyNumberFormat="1" applyFont="1" applyBorder="1" applyAlignment="1">
      <alignment horizontal="right"/>
    </xf>
    <xf numFmtId="10" fontId="56" fillId="0" borderId="59" xfId="1" applyNumberFormat="1" applyFont="1" applyBorder="1" applyAlignment="1">
      <alignment horizontal="center"/>
    </xf>
    <xf numFmtId="164" fontId="42" fillId="0" borderId="59" xfId="1" applyNumberFormat="1" applyFont="1" applyBorder="1" applyAlignment="1">
      <alignment horizontal="center"/>
    </xf>
    <xf numFmtId="164" fontId="43" fillId="0" borderId="59" xfId="1" applyNumberFormat="1" applyFont="1" applyBorder="1" applyAlignment="1">
      <alignment horizontal="center"/>
    </xf>
    <xf numFmtId="0" fontId="56" fillId="0" borderId="59" xfId="1" applyFont="1" applyBorder="1"/>
    <xf numFmtId="164" fontId="42" fillId="8" borderId="0" xfId="1" applyNumberFormat="1" applyFont="1" applyFill="1" applyAlignment="1">
      <alignment horizontal="center"/>
    </xf>
    <xf numFmtId="180" fontId="74" fillId="0" borderId="0" xfId="1" applyNumberFormat="1" applyFont="1" applyAlignment="1">
      <alignment horizontal="center"/>
    </xf>
    <xf numFmtId="164" fontId="42" fillId="8" borderId="59" xfId="1" applyNumberFormat="1" applyFont="1" applyFill="1" applyBorder="1" applyAlignment="1">
      <alignment horizontal="center"/>
    </xf>
    <xf numFmtId="2" fontId="72" fillId="0" borderId="60" xfId="1" applyNumberFormat="1" applyFont="1" applyBorder="1" applyAlignment="1">
      <alignment horizontal="center"/>
    </xf>
    <xf numFmtId="1" fontId="71" fillId="0" borderId="40" xfId="1" applyNumberFormat="1" applyFont="1" applyBorder="1" applyAlignment="1">
      <alignment horizontal="center"/>
    </xf>
    <xf numFmtId="2" fontId="72" fillId="0" borderId="40" xfId="1" applyNumberFormat="1" applyFont="1" applyBorder="1" applyAlignment="1">
      <alignment horizontal="center"/>
    </xf>
    <xf numFmtId="10" fontId="12" fillId="0" borderId="0" xfId="1" applyNumberFormat="1"/>
    <xf numFmtId="164" fontId="12" fillId="0" borderId="0" xfId="1" applyNumberFormat="1"/>
    <xf numFmtId="0" fontId="75" fillId="0" borderId="0" xfId="4" applyFont="1" applyAlignment="1">
      <alignment horizontal="center" vertical="center" wrapText="1"/>
    </xf>
    <xf numFmtId="0" fontId="79" fillId="0" borderId="0" xfId="1" applyFont="1" applyAlignment="1">
      <alignment horizontal="center"/>
    </xf>
    <xf numFmtId="0" fontId="16" fillId="0" borderId="0" xfId="1" applyFont="1" applyAlignment="1">
      <alignment horizontal="center" vertical="center" wrapText="1"/>
    </xf>
    <xf numFmtId="0" fontId="81" fillId="6" borderId="0" xfId="1" applyFont="1" applyFill="1" applyAlignment="1">
      <alignment horizontal="center"/>
    </xf>
    <xf numFmtId="1" fontId="82" fillId="0" borderId="0" xfId="1" applyNumberFormat="1" applyFont="1" applyAlignment="1">
      <alignment horizontal="center"/>
    </xf>
    <xf numFmtId="2" fontId="72" fillId="0" borderId="0" xfId="1" applyNumberFormat="1" applyFont="1" applyAlignment="1">
      <alignment horizontal="center"/>
    </xf>
    <xf numFmtId="0" fontId="76" fillId="0" borderId="0" xfId="4" applyAlignment="1">
      <alignment wrapText="1"/>
    </xf>
    <xf numFmtId="1" fontId="84" fillId="0" borderId="0" xfId="1" applyNumberFormat="1" applyFont="1" applyAlignment="1">
      <alignment horizontal="center"/>
    </xf>
    <xf numFmtId="164" fontId="56" fillId="8" borderId="0" xfId="1" applyNumberFormat="1" applyFont="1" applyFill="1" applyAlignment="1">
      <alignment horizontal="center"/>
    </xf>
    <xf numFmtId="176" fontId="74" fillId="8" borderId="0" xfId="1" applyNumberFormat="1" applyFont="1" applyFill="1" applyAlignment="1">
      <alignment horizontal="center"/>
    </xf>
    <xf numFmtId="0" fontId="76" fillId="0" borderId="0" xfId="4"/>
    <xf numFmtId="1" fontId="82" fillId="0" borderId="37" xfId="1" applyNumberFormat="1" applyFont="1" applyBorder="1" applyAlignment="1">
      <alignment horizontal="center"/>
    </xf>
    <xf numFmtId="1" fontId="82" fillId="0" borderId="57" xfId="1" applyNumberFormat="1" applyFont="1" applyBorder="1" applyAlignment="1">
      <alignment horizontal="center"/>
    </xf>
    <xf numFmtId="1" fontId="82" fillId="0" borderId="40" xfId="1" applyNumberFormat="1" applyFont="1" applyBorder="1" applyAlignment="1">
      <alignment horizontal="center"/>
    </xf>
    <xf numFmtId="1" fontId="71" fillId="0" borderId="57" xfId="1" applyNumberFormat="1" applyFont="1" applyBorder="1" applyAlignment="1" applyProtection="1">
      <alignment horizontal="center"/>
    </xf>
    <xf numFmtId="39" fontId="44" fillId="9" borderId="0" xfId="2" applyNumberFormat="1" applyFont="1" applyFill="1" applyAlignment="1" applyProtection="1">
      <alignment horizontal="center"/>
    </xf>
    <xf numFmtId="171" fontId="44" fillId="9" borderId="0" xfId="2" applyNumberFormat="1" applyFont="1" applyFill="1" applyAlignment="1" applyProtection="1">
      <alignment horizontal="center"/>
    </xf>
    <xf numFmtId="0" fontId="53" fillId="2" borderId="0" xfId="2" applyFont="1" applyFill="1" applyAlignment="1" applyProtection="1">
      <alignment horizontal="center"/>
    </xf>
    <xf numFmtId="0" fontId="51" fillId="2" borderId="0" xfId="2" applyFont="1" applyFill="1" applyAlignment="1" applyProtection="1">
      <alignment horizontal="center"/>
    </xf>
    <xf numFmtId="0" fontId="9" fillId="2" borderId="0" xfId="2" applyFont="1" applyFill="1" applyAlignment="1" applyProtection="1">
      <alignment horizontal="center"/>
    </xf>
    <xf numFmtId="0" fontId="9" fillId="2" borderId="7" xfId="2" applyFont="1" applyFill="1" applyBorder="1" applyAlignment="1" applyProtection="1">
      <alignment horizontal="center"/>
    </xf>
    <xf numFmtId="0" fontId="34" fillId="0" borderId="0" xfId="1" applyFont="1" applyProtection="1"/>
    <xf numFmtId="0" fontId="9" fillId="2" borderId="2" xfId="2" applyFont="1" applyFill="1" applyBorder="1" applyProtection="1"/>
    <xf numFmtId="0" fontId="9" fillId="2" borderId="0" xfId="2" applyFont="1" applyFill="1" applyProtection="1"/>
    <xf numFmtId="0" fontId="34" fillId="2" borderId="0" xfId="1" applyFont="1" applyFill="1" applyProtection="1"/>
    <xf numFmtId="0" fontId="51" fillId="10" borderId="0" xfId="2" applyFont="1" applyFill="1" applyAlignment="1" applyProtection="1">
      <alignment horizontal="center"/>
    </xf>
    <xf numFmtId="0" fontId="53" fillId="10" borderId="0" xfId="2" applyFont="1" applyFill="1" applyAlignment="1" applyProtection="1">
      <alignment horizontal="center"/>
    </xf>
    <xf numFmtId="0" fontId="51" fillId="11" borderId="0" xfId="2" applyFont="1" applyFill="1" applyAlignment="1" applyProtection="1">
      <alignment horizontal="center"/>
    </xf>
    <xf numFmtId="0" fontId="53" fillId="11" borderId="0" xfId="2" applyFont="1" applyFill="1" applyAlignment="1" applyProtection="1">
      <alignment horizontal="center"/>
    </xf>
    <xf numFmtId="0" fontId="51" fillId="12" borderId="0" xfId="2" applyFont="1" applyFill="1" applyAlignment="1" applyProtection="1">
      <alignment horizontal="center"/>
    </xf>
    <xf numFmtId="0" fontId="53" fillId="12" borderId="0" xfId="2" applyFont="1" applyFill="1" applyAlignment="1" applyProtection="1">
      <alignment horizontal="center"/>
    </xf>
    <xf numFmtId="0" fontId="34" fillId="10" borderId="0" xfId="1" applyFont="1" applyFill="1" applyProtection="1"/>
    <xf numFmtId="0" fontId="9" fillId="10" borderId="0" xfId="2" applyFont="1" applyFill="1" applyAlignment="1" applyProtection="1">
      <alignment horizontal="center"/>
    </xf>
    <xf numFmtId="0" fontId="9" fillId="10" borderId="7" xfId="2" applyFont="1" applyFill="1" applyBorder="1" applyAlignment="1" applyProtection="1">
      <alignment horizontal="center"/>
    </xf>
    <xf numFmtId="0" fontId="9" fillId="10" borderId="2" xfId="2" applyFont="1" applyFill="1" applyBorder="1" applyProtection="1"/>
    <xf numFmtId="0" fontId="9" fillId="10" borderId="0" xfId="2" applyFont="1" applyFill="1" applyProtection="1"/>
    <xf numFmtId="0" fontId="9" fillId="11" borderId="0" xfId="2" applyFont="1" applyFill="1" applyProtection="1"/>
    <xf numFmtId="0" fontId="34" fillId="11" borderId="0" xfId="1" applyFont="1" applyFill="1" applyProtection="1"/>
    <xf numFmtId="0" fontId="9" fillId="11" borderId="0" xfId="2" applyFont="1" applyFill="1" applyAlignment="1" applyProtection="1">
      <alignment horizontal="center"/>
    </xf>
    <xf numFmtId="0" fontId="9" fillId="11" borderId="2" xfId="2" applyFont="1" applyFill="1" applyBorder="1" applyProtection="1"/>
    <xf numFmtId="0" fontId="9" fillId="11" borderId="7" xfId="2" applyFont="1" applyFill="1" applyBorder="1" applyAlignment="1" applyProtection="1">
      <alignment horizontal="center"/>
    </xf>
    <xf numFmtId="0" fontId="9" fillId="12" borderId="2" xfId="2" applyFont="1" applyFill="1" applyBorder="1" applyProtection="1"/>
    <xf numFmtId="0" fontId="9" fillId="12" borderId="0" xfId="2" applyFont="1" applyFill="1" applyProtection="1"/>
    <xf numFmtId="0" fontId="34" fillId="12" borderId="0" xfId="1" applyFont="1" applyFill="1" applyProtection="1"/>
    <xf numFmtId="0" fontId="9" fillId="12" borderId="0" xfId="2" applyFont="1" applyFill="1" applyAlignment="1" applyProtection="1">
      <alignment horizontal="center"/>
    </xf>
    <xf numFmtId="0" fontId="9" fillId="12" borderId="7" xfId="2" applyFont="1" applyFill="1" applyBorder="1" applyAlignment="1" applyProtection="1">
      <alignment horizontal="center"/>
    </xf>
    <xf numFmtId="0" fontId="9" fillId="0" borderId="0" xfId="2" applyFont="1" applyFill="1" applyBorder="1" applyAlignment="1" applyProtection="1">
      <alignment horizontal="center"/>
    </xf>
    <xf numFmtId="0" fontId="45" fillId="6" borderId="2" xfId="5" applyFont="1" applyFill="1" applyBorder="1"/>
    <xf numFmtId="0" fontId="45" fillId="6" borderId="0" xfId="5" applyFont="1" applyFill="1"/>
    <xf numFmtId="0" fontId="62" fillId="6" borderId="0" xfId="5" applyFont="1" applyFill="1" applyAlignment="1">
      <alignment horizontal="center"/>
    </xf>
    <xf numFmtId="0" fontId="16" fillId="0" borderId="0" xfId="1" applyFont="1" applyAlignment="1">
      <alignment horizontal="left"/>
    </xf>
    <xf numFmtId="0" fontId="63" fillId="6" borderId="0" xfId="5" applyFont="1" applyFill="1" applyAlignment="1">
      <alignment horizontal="center"/>
    </xf>
    <xf numFmtId="49" fontId="25" fillId="14" borderId="40" xfId="1" applyNumberFormat="1" applyFont="1" applyFill="1" applyBorder="1" applyAlignment="1">
      <alignment horizontal="center"/>
    </xf>
    <xf numFmtId="167" fontId="25" fillId="14" borderId="1" xfId="1" applyNumberFormat="1" applyFont="1" applyFill="1" applyBorder="1" applyAlignment="1">
      <alignment horizontal="center"/>
    </xf>
    <xf numFmtId="181" fontId="68" fillId="14" borderId="3" xfId="6" applyNumberFormat="1" applyFont="1" applyFill="1" applyBorder="1" applyAlignment="1">
      <alignment horizontal="center"/>
    </xf>
    <xf numFmtId="167" fontId="12" fillId="0" borderId="0" xfId="1" applyNumberFormat="1"/>
    <xf numFmtId="167" fontId="12" fillId="14" borderId="1" xfId="1" applyNumberFormat="1" applyFill="1" applyBorder="1" applyAlignment="1">
      <alignment horizontal="center"/>
    </xf>
    <xf numFmtId="167" fontId="12" fillId="15" borderId="0" xfId="1" applyNumberFormat="1" applyFill="1"/>
    <xf numFmtId="167" fontId="30" fillId="6" borderId="1" xfId="1" applyNumberFormat="1" applyFont="1" applyFill="1" applyBorder="1" applyAlignment="1">
      <alignment horizontal="center"/>
    </xf>
    <xf numFmtId="181" fontId="94" fillId="6" borderId="3" xfId="6" applyNumberFormat="1" applyFont="1" applyFill="1" applyBorder="1" applyAlignment="1">
      <alignment horizontal="center"/>
    </xf>
    <xf numFmtId="0" fontId="64" fillId="6" borderId="0" xfId="5" applyFont="1" applyFill="1" applyAlignment="1">
      <alignment horizontal="center"/>
    </xf>
    <xf numFmtId="0" fontId="45" fillId="6" borderId="0" xfId="5" applyFont="1" applyFill="1" applyAlignment="1">
      <alignment horizontal="center"/>
    </xf>
    <xf numFmtId="10" fontId="23" fillId="14" borderId="4" xfId="1" applyNumberFormat="1" applyFont="1" applyFill="1" applyBorder="1" applyAlignment="1">
      <alignment horizontal="center"/>
    </xf>
    <xf numFmtId="167" fontId="23" fillId="14" borderId="5" xfId="1" applyNumberFormat="1" applyFont="1" applyFill="1" applyBorder="1"/>
    <xf numFmtId="167" fontId="34" fillId="0" borderId="0" xfId="1" applyNumberFormat="1" applyFont="1"/>
    <xf numFmtId="10" fontId="34" fillId="14" borderId="4" xfId="1" applyNumberFormat="1" applyFont="1" applyFill="1" applyBorder="1" applyAlignment="1">
      <alignment horizontal="center"/>
    </xf>
    <xf numFmtId="167" fontId="34" fillId="14" borderId="5" xfId="1" applyNumberFormat="1" applyFont="1" applyFill="1" applyBorder="1"/>
    <xf numFmtId="167" fontId="34" fillId="15" borderId="0" xfId="1" applyNumberFormat="1" applyFont="1" applyFill="1"/>
    <xf numFmtId="167" fontId="25" fillId="14" borderId="5" xfId="1" applyNumberFormat="1" applyFont="1" applyFill="1" applyBorder="1"/>
    <xf numFmtId="10" fontId="30" fillId="6" borderId="4" xfId="1" applyNumberFormat="1" applyFont="1" applyFill="1" applyBorder="1" applyAlignment="1">
      <alignment horizontal="center"/>
    </xf>
    <xf numFmtId="167" fontId="30" fillId="6" borderId="5" xfId="1" applyNumberFormat="1" applyFont="1" applyFill="1" applyBorder="1" applyAlignment="1">
      <alignment horizontal="center"/>
    </xf>
    <xf numFmtId="0" fontId="16" fillId="14" borderId="57" xfId="1" applyFont="1" applyFill="1" applyBorder="1" applyAlignment="1">
      <alignment horizontal="center"/>
    </xf>
    <xf numFmtId="0" fontId="25" fillId="14" borderId="4" xfId="1" applyFont="1" applyFill="1" applyBorder="1" applyAlignment="1">
      <alignment horizontal="center"/>
    </xf>
    <xf numFmtId="0" fontId="25" fillId="14" borderId="5" xfId="1" applyFont="1" applyFill="1" applyBorder="1" applyAlignment="1">
      <alignment horizontal="center"/>
    </xf>
    <xf numFmtId="10" fontId="16" fillId="0" borderId="0" xfId="1" applyNumberFormat="1" applyFont="1"/>
    <xf numFmtId="10" fontId="25" fillId="14" borderId="5" xfId="1" applyNumberFormat="1" applyFont="1" applyFill="1" applyBorder="1" applyAlignment="1">
      <alignment horizontal="center"/>
    </xf>
    <xf numFmtId="0" fontId="16" fillId="14" borderId="4" xfId="1" applyFont="1" applyFill="1" applyBorder="1" applyAlignment="1">
      <alignment horizontal="center"/>
    </xf>
    <xf numFmtId="10" fontId="16" fillId="14" borderId="5" xfId="1" applyNumberFormat="1" applyFont="1" applyFill="1" applyBorder="1" applyAlignment="1">
      <alignment horizontal="center"/>
    </xf>
    <xf numFmtId="10" fontId="16" fillId="15" borderId="0" xfId="1" applyNumberFormat="1" applyFont="1" applyFill="1"/>
    <xf numFmtId="10" fontId="25" fillId="13" borderId="4" xfId="1" applyNumberFormat="1" applyFont="1" applyFill="1" applyBorder="1" applyAlignment="1">
      <alignment horizontal="center"/>
    </xf>
    <xf numFmtId="10" fontId="25" fillId="13" borderId="5" xfId="1" applyNumberFormat="1" applyFont="1" applyFill="1" applyBorder="1" applyAlignment="1">
      <alignment horizontal="center"/>
    </xf>
    <xf numFmtId="10" fontId="30" fillId="6" borderId="5" xfId="1" applyNumberFormat="1" applyFont="1" applyFill="1" applyBorder="1" applyAlignment="1">
      <alignment horizontal="center"/>
    </xf>
    <xf numFmtId="0" fontId="45" fillId="6" borderId="7" xfId="5" applyFont="1" applyFill="1" applyBorder="1" applyAlignment="1">
      <alignment horizontal="center"/>
    </xf>
    <xf numFmtId="181" fontId="16" fillId="14" borderId="37" xfId="1" applyNumberFormat="1" applyFont="1" applyFill="1" applyBorder="1" applyAlignment="1">
      <alignment horizontal="center"/>
    </xf>
    <xf numFmtId="0" fontId="25" fillId="14" borderId="8" xfId="1" applyFont="1" applyFill="1" applyBorder="1" applyAlignment="1">
      <alignment horizontal="center"/>
    </xf>
    <xf numFmtId="0" fontId="12" fillId="0" borderId="0" xfId="1" applyAlignment="1">
      <alignment horizontal="center"/>
    </xf>
    <xf numFmtId="0" fontId="30" fillId="6" borderId="6" xfId="1" applyFont="1" applyFill="1" applyBorder="1" applyAlignment="1">
      <alignment horizontal="center"/>
    </xf>
    <xf numFmtId="0" fontId="30" fillId="6" borderId="8" xfId="1" applyFont="1" applyFill="1" applyBorder="1" applyAlignment="1">
      <alignment horizontal="center"/>
    </xf>
    <xf numFmtId="0" fontId="22" fillId="0" borderId="57" xfId="1" applyFont="1" applyBorder="1"/>
    <xf numFmtId="0" fontId="12" fillId="0" borderId="4" xfId="1" applyBorder="1"/>
    <xf numFmtId="10" fontId="12" fillId="0" borderId="5" xfId="1" applyNumberFormat="1" applyBorder="1"/>
    <xf numFmtId="0" fontId="12" fillId="15" borderId="0" xfId="1" applyFill="1"/>
    <xf numFmtId="0" fontId="12" fillId="0" borderId="57" xfId="1" applyBorder="1"/>
    <xf numFmtId="164" fontId="12" fillId="0" borderId="4" xfId="1" applyNumberFormat="1" applyBorder="1"/>
    <xf numFmtId="164" fontId="12" fillId="0" borderId="0" xfId="1" applyNumberFormat="1"/>
    <xf numFmtId="0" fontId="99" fillId="17" borderId="30" xfId="1" applyFont="1" applyFill="1" applyBorder="1"/>
    <xf numFmtId="0" fontId="100" fillId="0" borderId="0" xfId="1" applyFont="1"/>
    <xf numFmtId="164" fontId="99" fillId="17" borderId="12" xfId="1" applyNumberFormat="1" applyFont="1" applyFill="1" applyBorder="1"/>
    <xf numFmtId="10" fontId="99" fillId="17" borderId="18" xfId="1" applyNumberFormat="1" applyFont="1" applyFill="1" applyBorder="1"/>
    <xf numFmtId="0" fontId="100" fillId="15" borderId="0" xfId="1" applyFont="1" applyFill="1"/>
    <xf numFmtId="0" fontId="99" fillId="0" borderId="0" xfId="1" applyFont="1"/>
    <xf numFmtId="166" fontId="99" fillId="17" borderId="12" xfId="6" applyNumberFormat="1" applyFont="1" applyFill="1" applyBorder="1"/>
    <xf numFmtId="164" fontId="30" fillId="6" borderId="12" xfId="6" applyFont="1" applyFill="1" applyBorder="1"/>
    <xf numFmtId="10" fontId="30" fillId="6" borderId="18" xfId="1" applyNumberFormat="1" applyFont="1" applyFill="1" applyBorder="1"/>
    <xf numFmtId="0" fontId="8" fillId="0" borderId="0" xfId="5"/>
    <xf numFmtId="3" fontId="23" fillId="13" borderId="57" xfId="1" applyNumberFormat="1" applyFont="1" applyFill="1" applyBorder="1" applyAlignment="1">
      <alignment horizontal="center"/>
    </xf>
    <xf numFmtId="0" fontId="95" fillId="0" borderId="7" xfId="0" applyFont="1" applyBorder="1" applyAlignment="1">
      <alignment horizontal="center" vertical="center"/>
    </xf>
    <xf numFmtId="0" fontId="44" fillId="0" borderId="0" xfId="0" applyFont="1"/>
    <xf numFmtId="0" fontId="103" fillId="0" borderId="0" xfId="0" applyFont="1"/>
    <xf numFmtId="164" fontId="104" fillId="0" borderId="0" xfId="0" applyNumberFormat="1" applyFont="1"/>
    <xf numFmtId="10" fontId="44" fillId="0" borderId="0" xfId="0" applyNumberFormat="1" applyFont="1"/>
    <xf numFmtId="0" fontId="25" fillId="0" borderId="0" xfId="1" applyFont="1" applyAlignment="1">
      <alignment horizontal="center" vertical="center" wrapText="1"/>
    </xf>
    <xf numFmtId="0" fontId="76" fillId="0" borderId="0" xfId="4" applyAlignment="1">
      <alignment horizontal="center" vertical="center" wrapText="1"/>
    </xf>
    <xf numFmtId="0" fontId="105" fillId="0" borderId="0" xfId="1" applyFont="1"/>
    <xf numFmtId="0" fontId="25" fillId="0" borderId="0" xfId="1" applyFont="1" applyAlignment="1">
      <alignment horizontal="center"/>
    </xf>
    <xf numFmtId="164" fontId="12" fillId="0" borderId="0" xfId="1" applyNumberFormat="1"/>
    <xf numFmtId="164" fontId="25" fillId="0" borderId="0" xfId="1" applyNumberFormat="1" applyFont="1" applyAlignment="1">
      <alignment horizontal="center"/>
    </xf>
    <xf numFmtId="49" fontId="12" fillId="0" borderId="0" xfId="1" applyNumberFormat="1"/>
    <xf numFmtId="10" fontId="25" fillId="0" borderId="0" xfId="1" applyNumberFormat="1" applyFont="1" applyAlignment="1">
      <alignment horizontal="center"/>
    </xf>
    <xf numFmtId="39" fontId="25" fillId="0" borderId="0" xfId="1" applyNumberFormat="1" applyFont="1" applyAlignment="1">
      <alignment horizontal="center"/>
    </xf>
    <xf numFmtId="164" fontId="68" fillId="0" borderId="0" xfId="1" applyNumberFormat="1" applyFont="1" applyAlignment="1">
      <alignment horizontal="center"/>
    </xf>
    <xf numFmtId="10" fontId="21" fillId="0" borderId="0" xfId="1" applyNumberFormat="1" applyFont="1"/>
    <xf numFmtId="164" fontId="68" fillId="0" borderId="0" xfId="1" applyNumberFormat="1" applyFont="1"/>
    <xf numFmtId="0" fontId="12" fillId="0" borderId="1" xfId="1" applyBorder="1"/>
    <xf numFmtId="0" fontId="25" fillId="0" borderId="2" xfId="1" applyFont="1" applyBorder="1"/>
    <xf numFmtId="164" fontId="68" fillId="0" borderId="2" xfId="1" applyNumberFormat="1" applyFont="1" applyBorder="1"/>
    <xf numFmtId="10" fontId="21" fillId="0" borderId="2" xfId="1" applyNumberFormat="1" applyFont="1" applyBorder="1"/>
    <xf numFmtId="164" fontId="68" fillId="0" borderId="3" xfId="1" applyNumberFormat="1" applyFont="1" applyBorder="1"/>
    <xf numFmtId="164" fontId="25" fillId="0" borderId="30" xfId="1" applyNumberFormat="1" applyFont="1" applyBorder="1" applyAlignment="1">
      <alignment horizontal="center"/>
    </xf>
    <xf numFmtId="10" fontId="25" fillId="0" borderId="30" xfId="1" applyNumberFormat="1" applyFont="1" applyBorder="1" applyAlignment="1">
      <alignment horizontal="center"/>
    </xf>
    <xf numFmtId="164" fontId="25" fillId="0" borderId="18" xfId="1" applyNumberFormat="1" applyFont="1" applyBorder="1" applyAlignment="1">
      <alignment horizontal="center"/>
    </xf>
    <xf numFmtId="164" fontId="25" fillId="0" borderId="5" xfId="1" applyNumberFormat="1" applyFont="1" applyBorder="1" applyAlignment="1">
      <alignment horizontal="center"/>
    </xf>
    <xf numFmtId="0" fontId="106" fillId="0" borderId="0" xfId="1" applyFont="1"/>
    <xf numFmtId="0" fontId="12" fillId="0" borderId="5" xfId="1" applyBorder="1"/>
    <xf numFmtId="164" fontId="74" fillId="0" borderId="0" xfId="1" applyNumberFormat="1" applyFont="1" applyAlignment="1">
      <alignment horizontal="center"/>
    </xf>
    <xf numFmtId="164" fontId="107" fillId="0" borderId="0" xfId="4" applyNumberFormat="1" applyFont="1"/>
    <xf numFmtId="10" fontId="73" fillId="0" borderId="0" xfId="1" applyNumberFormat="1" applyFont="1" applyAlignment="1">
      <alignment horizontal="center"/>
    </xf>
    <xf numFmtId="164" fontId="74" fillId="0" borderId="5" xfId="1" applyNumberFormat="1" applyFont="1" applyBorder="1" applyAlignment="1">
      <alignment horizontal="center"/>
    </xf>
    <xf numFmtId="0" fontId="12" fillId="0" borderId="6" xfId="1" applyBorder="1"/>
    <xf numFmtId="0" fontId="12" fillId="0" borderId="7" xfId="1" applyBorder="1"/>
    <xf numFmtId="164" fontId="48" fillId="0" borderId="7" xfId="1" applyNumberFormat="1" applyFont="1" applyBorder="1" applyAlignment="1">
      <alignment horizontal="center"/>
    </xf>
    <xf numFmtId="0" fontId="12" fillId="0" borderId="0" xfId="1" applyAlignment="1">
      <alignment horizontal="center" vertical="center"/>
    </xf>
    <xf numFmtId="0" fontId="7" fillId="2" borderId="7" xfId="2" applyFont="1" applyFill="1" applyBorder="1" applyAlignment="1" applyProtection="1">
      <alignment horizontal="center"/>
    </xf>
    <xf numFmtId="0" fontId="7" fillId="2" borderId="2" xfId="2" applyFont="1" applyFill="1" applyBorder="1" applyProtection="1"/>
    <xf numFmtId="0" fontId="7" fillId="2" borderId="0" xfId="2" applyFont="1" applyFill="1" applyProtection="1"/>
    <xf numFmtId="0" fontId="7" fillId="10" borderId="2" xfId="2" applyFont="1" applyFill="1" applyBorder="1" applyProtection="1"/>
    <xf numFmtId="0" fontId="7" fillId="10" borderId="0" xfId="2" applyFont="1" applyFill="1" applyProtection="1"/>
    <xf numFmtId="0" fontId="7" fillId="10" borderId="7" xfId="2" applyFont="1" applyFill="1" applyBorder="1" applyAlignment="1" applyProtection="1">
      <alignment horizontal="center"/>
    </xf>
    <xf numFmtId="0" fontId="7" fillId="11" borderId="2" xfId="2" applyFont="1" applyFill="1" applyBorder="1" applyProtection="1"/>
    <xf numFmtId="0" fontId="7" fillId="11" borderId="0" xfId="2" applyFont="1" applyFill="1" applyProtection="1"/>
    <xf numFmtId="0" fontId="7" fillId="11" borderId="7" xfId="2" applyFont="1" applyFill="1" applyBorder="1" applyAlignment="1" applyProtection="1">
      <alignment horizontal="center"/>
    </xf>
    <xf numFmtId="0" fontId="7" fillId="12" borderId="2" xfId="2" applyFont="1" applyFill="1" applyBorder="1" applyProtection="1"/>
    <xf numFmtId="0" fontId="7" fillId="12" borderId="0" xfId="2" applyFont="1" applyFill="1" applyProtection="1"/>
    <xf numFmtId="0" fontId="7" fillId="12" borderId="7" xfId="2" applyFont="1" applyFill="1" applyBorder="1" applyAlignment="1" applyProtection="1">
      <alignment horizontal="center"/>
    </xf>
    <xf numFmtId="0" fontId="7" fillId="0" borderId="0" xfId="2" applyFont="1" applyFill="1" applyBorder="1" applyAlignment="1" applyProtection="1">
      <alignment horizontal="center"/>
    </xf>
    <xf numFmtId="164" fontId="26" fillId="0" borderId="0" xfId="1" applyNumberFormat="1" applyFont="1" applyProtection="1">
      <protection locked="0"/>
    </xf>
    <xf numFmtId="167" fontId="0" fillId="18" borderId="1" xfId="0" applyNumberFormat="1" applyFill="1" applyBorder="1" applyAlignment="1">
      <alignment horizontal="center"/>
    </xf>
    <xf numFmtId="172" fontId="22" fillId="18" borderId="3" xfId="0" applyNumberFormat="1" applyFont="1" applyFill="1" applyBorder="1"/>
    <xf numFmtId="167" fontId="0" fillId="0" borderId="0" xfId="0" applyNumberFormat="1"/>
    <xf numFmtId="167" fontId="0" fillId="19" borderId="0" xfId="0" applyNumberFormat="1" applyFill="1"/>
    <xf numFmtId="167" fontId="0" fillId="20" borderId="1" xfId="0" applyNumberFormat="1" applyFill="1" applyBorder="1" applyAlignment="1">
      <alignment horizontal="center"/>
    </xf>
    <xf numFmtId="172" fontId="22" fillId="20" borderId="3" xfId="0" applyNumberFormat="1" applyFont="1" applyFill="1" applyBorder="1"/>
    <xf numFmtId="0" fontId="0" fillId="18" borderId="4" xfId="0" applyFill="1" applyBorder="1"/>
    <xf numFmtId="10" fontId="0" fillId="18" borderId="4" xfId="0" applyNumberFormat="1" applyFill="1" applyBorder="1" applyAlignment="1">
      <alignment horizontal="center"/>
    </xf>
    <xf numFmtId="0" fontId="0" fillId="18" borderId="5" xfId="0" applyFill="1" applyBorder="1"/>
    <xf numFmtId="10" fontId="0" fillId="18" borderId="5" xfId="0" applyNumberFormat="1" applyFill="1" applyBorder="1" applyAlignment="1">
      <alignment horizontal="center"/>
    </xf>
    <xf numFmtId="0" fontId="0" fillId="19" borderId="0" xfId="0" applyFill="1"/>
    <xf numFmtId="10" fontId="0" fillId="20" borderId="4" xfId="0" applyNumberFormat="1" applyFill="1" applyBorder="1" applyAlignment="1">
      <alignment horizontal="center"/>
    </xf>
    <xf numFmtId="0" fontId="0" fillId="20" borderId="5" xfId="0" applyFill="1" applyBorder="1" applyAlignment="1">
      <alignment horizontal="right"/>
    </xf>
    <xf numFmtId="0" fontId="16" fillId="18" borderId="5" xfId="0" applyFont="1" applyFill="1" applyBorder="1" applyAlignment="1">
      <alignment horizontal="center"/>
    </xf>
    <xf numFmtId="167" fontId="16" fillId="18" borderId="4" xfId="0" applyNumberFormat="1" applyFont="1" applyFill="1" applyBorder="1" applyAlignment="1">
      <alignment horizontal="center"/>
    </xf>
    <xf numFmtId="10" fontId="0" fillId="0" borderId="0" xfId="0" applyNumberFormat="1" applyAlignment="1">
      <alignment horizontal="center"/>
    </xf>
    <xf numFmtId="10" fontId="0" fillId="19" borderId="0" xfId="0" applyNumberFormat="1" applyFill="1" applyAlignment="1">
      <alignment horizontal="center"/>
    </xf>
    <xf numFmtId="10" fontId="0" fillId="21" borderId="0" xfId="0" applyNumberFormat="1" applyFill="1" applyAlignment="1">
      <alignment horizontal="center"/>
    </xf>
    <xf numFmtId="167" fontId="16" fillId="20" borderId="4" xfId="0" applyNumberFormat="1" applyFont="1" applyFill="1" applyBorder="1" applyAlignment="1">
      <alignment horizontal="center"/>
    </xf>
    <xf numFmtId="0" fontId="0" fillId="18" borderId="6" xfId="0" applyFill="1" applyBorder="1"/>
    <xf numFmtId="172" fontId="16" fillId="18" borderId="8" xfId="0" applyNumberFormat="1" applyFont="1" applyFill="1" applyBorder="1" applyAlignment="1">
      <alignment horizontal="center"/>
    </xf>
    <xf numFmtId="0" fontId="16" fillId="0" borderId="0" xfId="0" applyFont="1"/>
    <xf numFmtId="167" fontId="0" fillId="0" borderId="0" xfId="0" applyNumberFormat="1" applyAlignment="1">
      <alignment horizontal="center"/>
    </xf>
    <xf numFmtId="167" fontId="0" fillId="19" borderId="0" xfId="0" applyNumberFormat="1" applyFill="1" applyAlignment="1">
      <alignment horizontal="center"/>
    </xf>
    <xf numFmtId="0" fontId="0" fillId="0" borderId="0" xfId="0" applyAlignment="1">
      <alignment horizontal="center"/>
    </xf>
    <xf numFmtId="0" fontId="0" fillId="0" borderId="1" xfId="0" applyBorder="1"/>
    <xf numFmtId="0" fontId="22" fillId="0" borderId="3" xfId="0" applyFont="1" applyBorder="1"/>
    <xf numFmtId="0" fontId="0" fillId="0" borderId="3" xfId="0" applyBorder="1"/>
    <xf numFmtId="0" fontId="0" fillId="0" borderId="4" xfId="0" applyBorder="1"/>
    <xf numFmtId="0" fontId="22" fillId="0" borderId="5" xfId="0" applyFont="1" applyBorder="1"/>
    <xf numFmtId="0" fontId="0" fillId="0" borderId="5" xfId="0" applyBorder="1"/>
    <xf numFmtId="10" fontId="0" fillId="0" borderId="5" xfId="0" applyNumberFormat="1" applyBorder="1"/>
    <xf numFmtId="0" fontId="16" fillId="0" borderId="4" xfId="0" applyFont="1" applyBorder="1" applyAlignment="1">
      <alignment horizontal="center"/>
    </xf>
    <xf numFmtId="0" fontId="16" fillId="0" borderId="5" xfId="0" applyFont="1" applyBorder="1"/>
    <xf numFmtId="10" fontId="34" fillId="8" borderId="61" xfId="9" applyNumberFormat="1" applyFont="1" applyFill="1" applyBorder="1" applyProtection="1"/>
    <xf numFmtId="0" fontId="16" fillId="19" borderId="4" xfId="0" applyFont="1" applyFill="1" applyBorder="1" applyAlignment="1">
      <alignment horizontal="center"/>
    </xf>
    <xf numFmtId="0" fontId="16" fillId="19" borderId="5" xfId="0" applyFont="1" applyFill="1" applyBorder="1"/>
    <xf numFmtId="9" fontId="0" fillId="0" borderId="0" xfId="9" applyFont="1" applyFill="1" applyBorder="1" applyProtection="1"/>
    <xf numFmtId="0" fontId="20" fillId="0" borderId="4" xfId="0" applyFont="1" applyBorder="1"/>
    <xf numFmtId="0" fontId="20" fillId="0" borderId="5" xfId="0" applyFont="1" applyBorder="1"/>
    <xf numFmtId="10" fontId="20" fillId="0" borderId="5" xfId="9" applyNumberFormat="1" applyFont="1" applyBorder="1" applyProtection="1"/>
    <xf numFmtId="0" fontId="96" fillId="0" borderId="0" xfId="0" applyFont="1"/>
    <xf numFmtId="0" fontId="99" fillId="17" borderId="12" xfId="0" applyFont="1" applyFill="1" applyBorder="1"/>
    <xf numFmtId="0" fontId="99" fillId="17" borderId="18" xfId="0" applyFont="1" applyFill="1" applyBorder="1"/>
    <xf numFmtId="0" fontId="99" fillId="0" borderId="0" xfId="0" applyFont="1"/>
    <xf numFmtId="10" fontId="99" fillId="17" borderId="18" xfId="9" applyNumberFormat="1" applyFont="1" applyFill="1" applyBorder="1" applyProtection="1"/>
    <xf numFmtId="10" fontId="0" fillId="0" borderId="0" xfId="0" applyNumberFormat="1"/>
    <xf numFmtId="182" fontId="0" fillId="0" borderId="0" xfId="8" applyNumberFormat="1" applyFont="1" applyProtection="1"/>
    <xf numFmtId="1" fontId="23" fillId="18" borderId="5" xfId="0" applyNumberFormat="1" applyFont="1" applyFill="1" applyBorder="1" applyAlignment="1" applyProtection="1">
      <alignment horizontal="center"/>
    </xf>
    <xf numFmtId="0" fontId="0" fillId="0" borderId="1" xfId="0" applyFill="1" applyBorder="1"/>
    <xf numFmtId="0" fontId="0" fillId="0" borderId="3" xfId="0" applyFill="1" applyBorder="1"/>
    <xf numFmtId="0" fontId="0" fillId="0" borderId="4" xfId="0" applyFill="1" applyBorder="1"/>
    <xf numFmtId="0" fontId="0" fillId="0" borderId="5" xfId="0" applyFill="1" applyBorder="1"/>
    <xf numFmtId="0" fontId="0" fillId="0" borderId="0" xfId="0" applyNumberFormat="1"/>
    <xf numFmtId="1" fontId="16" fillId="0" borderId="0" xfId="0" applyNumberFormat="1" applyFont="1" applyAlignment="1">
      <alignment horizontal="center"/>
    </xf>
    <xf numFmtId="1" fontId="36" fillId="6" borderId="30" xfId="0" applyNumberFormat="1" applyFont="1" applyFill="1" applyBorder="1" applyAlignment="1">
      <alignment horizontal="center"/>
    </xf>
    <xf numFmtId="1" fontId="16" fillId="0" borderId="46" xfId="0" applyNumberFormat="1" applyFont="1" applyBorder="1" applyAlignment="1">
      <alignment horizontal="center"/>
    </xf>
    <xf numFmtId="168" fontId="16" fillId="0" borderId="64" xfId="0" applyNumberFormat="1" applyFont="1" applyBorder="1"/>
    <xf numFmtId="167" fontId="34" fillId="0" borderId="64" xfId="0" applyNumberFormat="1" applyFont="1" applyBorder="1" applyAlignment="1" applyProtection="1">
      <alignment horizontal="center"/>
      <protection locked="0"/>
    </xf>
    <xf numFmtId="167" fontId="34" fillId="8" borderId="64" xfId="0" applyNumberFormat="1" applyFont="1" applyFill="1" applyBorder="1" applyAlignment="1" applyProtection="1">
      <alignment horizontal="center"/>
      <protection locked="0"/>
    </xf>
    <xf numFmtId="167" fontId="34" fillId="8" borderId="65" xfId="0" applyNumberFormat="1" applyFont="1" applyFill="1" applyBorder="1" applyAlignment="1" applyProtection="1">
      <alignment horizontal="center"/>
      <protection locked="0"/>
    </xf>
    <xf numFmtId="167" fontId="34" fillId="8" borderId="22" xfId="0" applyNumberFormat="1" applyFont="1" applyFill="1" applyBorder="1" applyAlignment="1" applyProtection="1">
      <alignment horizontal="center"/>
      <protection locked="0"/>
    </xf>
    <xf numFmtId="167" fontId="34" fillId="8" borderId="26" xfId="0" applyNumberFormat="1" applyFont="1" applyFill="1" applyBorder="1" applyAlignment="1" applyProtection="1">
      <alignment horizontal="center"/>
      <protection locked="0"/>
    </xf>
    <xf numFmtId="168" fontId="16" fillId="0" borderId="19" xfId="0" applyNumberFormat="1" applyFont="1" applyBorder="1"/>
    <xf numFmtId="168" fontId="16" fillId="0" borderId="66" xfId="0" applyNumberFormat="1" applyFont="1" applyBorder="1"/>
    <xf numFmtId="167" fontId="34" fillId="0" borderId="66" xfId="0" applyNumberFormat="1" applyFont="1" applyBorder="1" applyAlignment="1" applyProtection="1">
      <alignment horizontal="center"/>
      <protection locked="0"/>
    </xf>
    <xf numFmtId="167" fontId="34" fillId="8" borderId="66" xfId="0" applyNumberFormat="1" applyFont="1" applyFill="1" applyBorder="1" applyAlignment="1" applyProtection="1">
      <alignment horizontal="center"/>
      <protection locked="0"/>
    </xf>
    <xf numFmtId="167" fontId="34" fillId="8" borderId="67" xfId="0" applyNumberFormat="1" applyFont="1" applyFill="1" applyBorder="1" applyAlignment="1" applyProtection="1">
      <alignment horizontal="center"/>
      <protection locked="0"/>
    </xf>
    <xf numFmtId="167" fontId="34" fillId="8" borderId="20" xfId="0" applyNumberFormat="1" applyFont="1" applyFill="1" applyBorder="1" applyAlignment="1" applyProtection="1">
      <alignment horizontal="center"/>
      <protection locked="0"/>
    </xf>
    <xf numFmtId="167" fontId="34" fillId="21" borderId="66" xfId="0" applyNumberFormat="1" applyFont="1" applyFill="1" applyBorder="1" applyAlignment="1" applyProtection="1">
      <alignment horizontal="center"/>
      <protection locked="0"/>
    </xf>
    <xf numFmtId="167" fontId="34" fillId="8" borderId="33" xfId="0" applyNumberFormat="1" applyFont="1" applyFill="1" applyBorder="1" applyAlignment="1" applyProtection="1">
      <alignment horizontal="center"/>
      <protection locked="0"/>
    </xf>
    <xf numFmtId="168" fontId="16" fillId="0" borderId="68" xfId="0" applyNumberFormat="1" applyFont="1" applyBorder="1"/>
    <xf numFmtId="168" fontId="16" fillId="0" borderId="39" xfId="0" applyNumberFormat="1" applyFont="1" applyBorder="1"/>
    <xf numFmtId="167" fontId="34" fillId="0" borderId="39" xfId="0" applyNumberFormat="1" applyFont="1" applyBorder="1" applyAlignment="1" applyProtection="1">
      <alignment horizontal="center"/>
      <protection locked="0"/>
    </xf>
    <xf numFmtId="167" fontId="34" fillId="8" borderId="39" xfId="0" applyNumberFormat="1" applyFont="1" applyFill="1" applyBorder="1" applyAlignment="1" applyProtection="1">
      <alignment horizontal="center"/>
      <protection locked="0"/>
    </xf>
    <xf numFmtId="167" fontId="34" fillId="21" borderId="39" xfId="0" applyNumberFormat="1" applyFont="1" applyFill="1" applyBorder="1" applyAlignment="1" applyProtection="1">
      <alignment horizontal="center"/>
      <protection locked="0"/>
    </xf>
    <xf numFmtId="167" fontId="34" fillId="8" borderId="7" xfId="0" applyNumberFormat="1" applyFont="1" applyFill="1" applyBorder="1" applyAlignment="1" applyProtection="1">
      <alignment horizontal="center"/>
      <protection locked="0"/>
    </xf>
    <xf numFmtId="167" fontId="34" fillId="8" borderId="63" xfId="0" applyNumberFormat="1" applyFont="1" applyFill="1" applyBorder="1" applyAlignment="1" applyProtection="1">
      <alignment horizontal="center"/>
      <protection locked="0"/>
    </xf>
    <xf numFmtId="1" fontId="16" fillId="0" borderId="19" xfId="0" applyNumberFormat="1" applyFont="1" applyBorder="1" applyAlignment="1">
      <alignment horizontal="center"/>
    </xf>
    <xf numFmtId="167" fontId="34" fillId="8" borderId="15" xfId="0" applyNumberFormat="1" applyFont="1" applyFill="1" applyBorder="1" applyAlignment="1" applyProtection="1">
      <alignment horizontal="center"/>
      <protection locked="0"/>
    </xf>
    <xf numFmtId="167" fontId="34" fillId="8" borderId="69" xfId="0" applyNumberFormat="1" applyFont="1" applyFill="1" applyBorder="1" applyAlignment="1" applyProtection="1">
      <alignment horizontal="center"/>
      <protection locked="0"/>
    </xf>
    <xf numFmtId="167" fontId="34" fillId="0" borderId="10" xfId="0" applyNumberFormat="1" applyFont="1" applyBorder="1" applyAlignment="1" applyProtection="1">
      <alignment horizontal="center"/>
      <protection locked="0"/>
    </xf>
    <xf numFmtId="0" fontId="26" fillId="0" borderId="0" xfId="0" applyNumberFormat="1" applyFont="1" applyFill="1" applyBorder="1" applyAlignment="1" applyProtection="1">
      <alignment horizontal="center"/>
      <protection locked="0"/>
    </xf>
    <xf numFmtId="0" fontId="35" fillId="2" borderId="6" xfId="0" applyNumberFormat="1" applyFont="1" applyFill="1" applyBorder="1" applyAlignment="1" applyProtection="1">
      <alignment horizontal="center"/>
      <protection locked="0"/>
    </xf>
    <xf numFmtId="0" fontId="35" fillId="2" borderId="8" xfId="0" applyNumberFormat="1" applyFont="1" applyFill="1" applyBorder="1" applyAlignment="1" applyProtection="1">
      <alignment horizontal="center"/>
      <protection locked="0"/>
    </xf>
    <xf numFmtId="0" fontId="0" fillId="0" borderId="0" xfId="0" applyNumberFormat="1" applyFill="1" applyBorder="1" applyAlignment="1">
      <alignment horizontal="center"/>
    </xf>
    <xf numFmtId="167" fontId="23" fillId="2" borderId="10" xfId="0" applyNumberFormat="1" applyFont="1" applyFill="1" applyBorder="1" applyAlignment="1" applyProtection="1">
      <alignment horizontal="center"/>
    </xf>
    <xf numFmtId="167" fontId="34" fillId="8" borderId="10" xfId="0" applyNumberFormat="1" applyFont="1" applyFill="1" applyBorder="1" applyAlignment="1" applyProtection="1">
      <alignment horizontal="center"/>
      <protection locked="0"/>
    </xf>
    <xf numFmtId="167" fontId="23" fillId="2" borderId="11" xfId="0" applyNumberFormat="1" applyFont="1" applyFill="1" applyBorder="1" applyAlignment="1" applyProtection="1">
      <alignment horizontal="center"/>
    </xf>
    <xf numFmtId="0" fontId="45" fillId="6" borderId="2" xfId="10" applyFont="1" applyFill="1" applyBorder="1"/>
    <xf numFmtId="0" fontId="45" fillId="6" borderId="0" xfId="10" applyFont="1" applyFill="1"/>
    <xf numFmtId="0" fontId="62" fillId="6" borderId="0" xfId="10" applyFont="1" applyFill="1" applyAlignment="1">
      <alignment horizontal="center"/>
    </xf>
    <xf numFmtId="0" fontId="63" fillId="6" borderId="0" xfId="10" applyFont="1" applyFill="1" applyAlignment="1">
      <alignment horizontal="center"/>
    </xf>
    <xf numFmtId="167" fontId="12" fillId="18" borderId="1" xfId="1" applyNumberFormat="1" applyFill="1" applyBorder="1" applyAlignment="1">
      <alignment horizontal="center"/>
    </xf>
    <xf numFmtId="172" fontId="22" fillId="18" borderId="3" xfId="1" applyNumberFormat="1" applyFont="1" applyFill="1" applyBorder="1"/>
    <xf numFmtId="167" fontId="12" fillId="19" borderId="0" xfId="1" applyNumberFormat="1" applyFill="1"/>
    <xf numFmtId="0" fontId="64" fillId="6" borderId="0" xfId="10" applyFont="1" applyFill="1" applyAlignment="1">
      <alignment horizontal="center"/>
    </xf>
    <xf numFmtId="0" fontId="45" fillId="6" borderId="0" xfId="10" applyFont="1" applyFill="1" applyAlignment="1">
      <alignment horizontal="center"/>
    </xf>
    <xf numFmtId="10" fontId="12" fillId="18" borderId="4" xfId="1" applyNumberFormat="1" applyFill="1" applyBorder="1" applyAlignment="1">
      <alignment horizontal="center"/>
    </xf>
    <xf numFmtId="0" fontId="12" fillId="18" borderId="5" xfId="1" applyFill="1" applyBorder="1"/>
    <xf numFmtId="10" fontId="12" fillId="18" borderId="5" xfId="1" applyNumberFormat="1" applyFill="1" applyBorder="1" applyAlignment="1">
      <alignment horizontal="center"/>
    </xf>
    <xf numFmtId="0" fontId="12" fillId="19" borderId="0" xfId="1" applyFill="1"/>
    <xf numFmtId="167" fontId="16" fillId="18" borderId="4" xfId="1" applyNumberFormat="1" applyFont="1" applyFill="1" applyBorder="1" applyAlignment="1">
      <alignment horizontal="center"/>
    </xf>
    <xf numFmtId="0" fontId="16" fillId="18" borderId="5" xfId="1" applyFont="1" applyFill="1" applyBorder="1" applyAlignment="1">
      <alignment horizontal="center"/>
    </xf>
    <xf numFmtId="10" fontId="12" fillId="0" borderId="0" xfId="1" applyNumberFormat="1" applyAlignment="1">
      <alignment horizontal="center"/>
    </xf>
    <xf numFmtId="10" fontId="12" fillId="19" borderId="0" xfId="1" applyNumberFormat="1" applyFill="1" applyAlignment="1">
      <alignment horizontal="center"/>
    </xf>
    <xf numFmtId="10" fontId="12" fillId="21" borderId="0" xfId="1" applyNumberFormat="1" applyFill="1" applyAlignment="1">
      <alignment horizontal="center"/>
    </xf>
    <xf numFmtId="0" fontId="45" fillId="6" borderId="7" xfId="10" applyFont="1" applyFill="1" applyBorder="1" applyAlignment="1">
      <alignment horizontal="center"/>
    </xf>
    <xf numFmtId="0" fontId="16" fillId="0" borderId="0" xfId="1" applyFont="1"/>
    <xf numFmtId="167" fontId="12" fillId="0" borderId="0" xfId="1" applyNumberFormat="1" applyAlignment="1">
      <alignment horizontal="center"/>
    </xf>
    <xf numFmtId="167" fontId="12" fillId="19" borderId="0" xfId="1" applyNumberFormat="1" applyFill="1" applyAlignment="1">
      <alignment horizontal="center"/>
    </xf>
    <xf numFmtId="0" fontId="112" fillId="0" borderId="3" xfId="7" applyFont="1" applyBorder="1"/>
    <xf numFmtId="0" fontId="12" fillId="0" borderId="3" xfId="1" applyBorder="1"/>
    <xf numFmtId="0" fontId="22" fillId="0" borderId="5" xfId="1" applyFont="1" applyBorder="1"/>
    <xf numFmtId="0" fontId="16" fillId="0" borderId="4" xfId="1" applyFont="1" applyBorder="1"/>
    <xf numFmtId="164" fontId="20" fillId="0" borderId="4" xfId="11" applyFont="1" applyBorder="1" applyAlignment="1" applyProtection="1">
      <alignment horizontal="right"/>
      <protection locked="0"/>
    </xf>
    <xf numFmtId="10" fontId="34" fillId="8" borderId="61" xfId="12" applyNumberFormat="1" applyFont="1" applyFill="1" applyBorder="1" applyProtection="1"/>
    <xf numFmtId="9" fontId="0" fillId="0" borderId="0" xfId="12" applyFont="1" applyFill="1" applyBorder="1" applyProtection="1"/>
    <xf numFmtId="0" fontId="20" fillId="0" borderId="4" xfId="1" applyFont="1" applyBorder="1"/>
    <xf numFmtId="0" fontId="20" fillId="0" borderId="5" xfId="1" applyFont="1" applyBorder="1"/>
    <xf numFmtId="164" fontId="23" fillId="0" borderId="4" xfId="11" applyFont="1" applyBorder="1" applyAlignment="1" applyProtection="1">
      <alignment horizontal="right"/>
    </xf>
    <xf numFmtId="10" fontId="20" fillId="0" borderId="5" xfId="12" applyNumberFormat="1" applyFont="1" applyBorder="1" applyProtection="1"/>
    <xf numFmtId="0" fontId="96" fillId="0" borderId="0" xfId="1" applyFont="1"/>
    <xf numFmtId="0" fontId="99" fillId="17" borderId="12" xfId="1" applyFont="1" applyFill="1" applyBorder="1"/>
    <xf numFmtId="0" fontId="99" fillId="17" borderId="18" xfId="1" applyFont="1" applyFill="1" applyBorder="1"/>
    <xf numFmtId="164" fontId="99" fillId="17" borderId="12" xfId="1" applyNumberFormat="1" applyFont="1" applyFill="1" applyBorder="1" applyAlignment="1">
      <alignment horizontal="right"/>
    </xf>
    <xf numFmtId="10" fontId="99" fillId="17" borderId="18" xfId="12" applyNumberFormat="1" applyFont="1" applyFill="1" applyBorder="1" applyProtection="1"/>
    <xf numFmtId="164" fontId="99" fillId="17" borderId="12" xfId="1" applyNumberFormat="1" applyFont="1" applyFill="1" applyBorder="1"/>
    <xf numFmtId="182" fontId="0" fillId="0" borderId="0" xfId="11" applyNumberFormat="1" applyFont="1" applyProtection="1"/>
    <xf numFmtId="167" fontId="34" fillId="20" borderId="1" xfId="1" applyNumberFormat="1" applyFont="1" applyFill="1" applyBorder="1" applyAlignment="1">
      <alignment horizontal="center"/>
    </xf>
    <xf numFmtId="172" fontId="33" fillId="20" borderId="3" xfId="1" applyNumberFormat="1" applyFont="1" applyFill="1" applyBorder="1"/>
    <xf numFmtId="0" fontId="34" fillId="20" borderId="5" xfId="1" applyFont="1" applyFill="1" applyBorder="1" applyAlignment="1">
      <alignment horizontal="right"/>
    </xf>
    <xf numFmtId="167" fontId="23" fillId="20" borderId="4" xfId="1" applyNumberFormat="1" applyFont="1" applyFill="1" applyBorder="1" applyAlignment="1">
      <alignment horizontal="center"/>
    </xf>
    <xf numFmtId="0" fontId="23" fillId="20" borderId="5" xfId="1" applyFont="1" applyFill="1" applyBorder="1" applyAlignment="1">
      <alignment horizontal="center"/>
    </xf>
    <xf numFmtId="164" fontId="16" fillId="8" borderId="4" xfId="11" applyFont="1" applyFill="1" applyBorder="1" applyProtection="1"/>
    <xf numFmtId="10" fontId="23" fillId="8" borderId="5" xfId="12" applyNumberFormat="1" applyFont="1" applyFill="1" applyBorder="1" applyProtection="1"/>
    <xf numFmtId="0" fontId="12" fillId="0" borderId="0" xfId="1" applyNumberFormat="1"/>
    <xf numFmtId="167" fontId="12" fillId="18" borderId="6" xfId="1" applyNumberFormat="1" applyFill="1" applyBorder="1" applyAlignment="1">
      <alignment horizontal="center"/>
    </xf>
    <xf numFmtId="167" fontId="12" fillId="18" borderId="8" xfId="1" applyNumberFormat="1" applyFill="1" applyBorder="1" applyAlignment="1">
      <alignment horizontal="center"/>
    </xf>
    <xf numFmtId="167" fontId="16" fillId="0" borderId="0" xfId="1" applyNumberFormat="1" applyFont="1" applyAlignment="1">
      <alignment horizontal="center"/>
    </xf>
    <xf numFmtId="167" fontId="12" fillId="22" borderId="6" xfId="1" applyNumberFormat="1" applyFill="1" applyBorder="1" applyAlignment="1">
      <alignment horizontal="center"/>
    </xf>
    <xf numFmtId="167" fontId="12" fillId="22" borderId="8" xfId="1" applyNumberFormat="1" applyFill="1" applyBorder="1" applyAlignment="1">
      <alignment horizontal="center"/>
    </xf>
    <xf numFmtId="167" fontId="16" fillId="19" borderId="0" xfId="1" applyNumberFormat="1" applyFont="1" applyFill="1" applyAlignment="1">
      <alignment horizontal="center"/>
    </xf>
    <xf numFmtId="167" fontId="34" fillId="20" borderId="6" xfId="1" applyNumberFormat="1" applyFont="1" applyFill="1" applyBorder="1" applyAlignment="1">
      <alignment horizontal="center"/>
    </xf>
    <xf numFmtId="167" fontId="34" fillId="20" borderId="8" xfId="1" applyNumberFormat="1" applyFont="1" applyFill="1" applyBorder="1" applyAlignment="1">
      <alignment horizontal="center"/>
    </xf>
    <xf numFmtId="167" fontId="16" fillId="0" borderId="0" xfId="1" applyNumberFormat="1" applyFont="1"/>
    <xf numFmtId="10" fontId="34" fillId="8" borderId="70" xfId="12" applyNumberFormat="1" applyFont="1" applyFill="1" applyBorder="1" applyProtection="1"/>
    <xf numFmtId="167" fontId="0" fillId="18" borderId="6" xfId="0" applyNumberFormat="1" applyFill="1" applyBorder="1" applyAlignment="1">
      <alignment horizontal="center"/>
    </xf>
    <xf numFmtId="167" fontId="0" fillId="18" borderId="8" xfId="0" applyNumberFormat="1" applyFill="1" applyBorder="1" applyAlignment="1">
      <alignment horizontal="center"/>
    </xf>
    <xf numFmtId="167" fontId="16" fillId="0" borderId="0" xfId="0" applyNumberFormat="1" applyFont="1" applyAlignment="1">
      <alignment horizontal="center"/>
    </xf>
    <xf numFmtId="167" fontId="0" fillId="22" borderId="6" xfId="0" applyNumberFormat="1" applyFill="1" applyBorder="1" applyAlignment="1">
      <alignment horizontal="center"/>
    </xf>
    <xf numFmtId="167" fontId="0" fillId="22" borderId="8" xfId="0" applyNumberFormat="1" applyFill="1" applyBorder="1" applyAlignment="1">
      <alignment horizontal="center"/>
    </xf>
    <xf numFmtId="167" fontId="16" fillId="19" borderId="0" xfId="0" applyNumberFormat="1" applyFont="1" applyFill="1" applyAlignment="1">
      <alignment horizontal="center"/>
    </xf>
    <xf numFmtId="167" fontId="0" fillId="20" borderId="6" xfId="0" applyNumberFormat="1" applyFill="1" applyBorder="1" applyAlignment="1">
      <alignment horizontal="center"/>
    </xf>
    <xf numFmtId="167" fontId="0" fillId="20" borderId="8" xfId="0" applyNumberFormat="1" applyFill="1" applyBorder="1" applyAlignment="1">
      <alignment horizontal="center"/>
    </xf>
    <xf numFmtId="167" fontId="0" fillId="2" borderId="10" xfId="0" applyNumberFormat="1" applyFill="1" applyBorder="1" applyAlignment="1">
      <alignment horizontal="center"/>
    </xf>
    <xf numFmtId="167" fontId="0" fillId="2" borderId="28" xfId="0" applyNumberFormat="1" applyFill="1" applyBorder="1" applyAlignment="1">
      <alignment horizontal="center"/>
    </xf>
    <xf numFmtId="167" fontId="25" fillId="14" borderId="6" xfId="1" applyNumberFormat="1" applyFont="1" applyFill="1" applyBorder="1" applyAlignment="1">
      <alignment horizontal="center"/>
    </xf>
    <xf numFmtId="167" fontId="25" fillId="14" borderId="8" xfId="1" applyNumberFormat="1" applyFont="1" applyFill="1" applyBorder="1" applyAlignment="1">
      <alignment horizontal="center"/>
    </xf>
    <xf numFmtId="167" fontId="16" fillId="14" borderId="6" xfId="1" applyNumberFormat="1" applyFont="1" applyFill="1" applyBorder="1" applyAlignment="1">
      <alignment horizontal="center"/>
    </xf>
    <xf numFmtId="167" fontId="12" fillId="14" borderId="8" xfId="1" applyNumberFormat="1" applyFill="1" applyBorder="1" applyAlignment="1">
      <alignment horizontal="center"/>
    </xf>
    <xf numFmtId="167" fontId="12" fillId="15" borderId="0" xfId="1" applyNumberFormat="1" applyFill="1" applyAlignment="1">
      <alignment horizontal="center"/>
    </xf>
    <xf numFmtId="164" fontId="20" fillId="0" borderId="4" xfId="8" applyNumberFormat="1" applyFont="1" applyBorder="1" applyAlignment="1" applyProtection="1">
      <alignment horizontal="right"/>
      <protection locked="0"/>
    </xf>
    <xf numFmtId="164" fontId="23" fillId="0" borderId="4" xfId="8" applyNumberFormat="1" applyFont="1" applyBorder="1" applyAlignment="1" applyProtection="1">
      <alignment horizontal="right"/>
      <protection locked="0"/>
    </xf>
    <xf numFmtId="164" fontId="99" fillId="17" borderId="12" xfId="0" applyNumberFormat="1" applyFont="1" applyFill="1" applyBorder="1" applyAlignment="1">
      <alignment horizontal="right"/>
    </xf>
    <xf numFmtId="0" fontId="45" fillId="6" borderId="2" xfId="13" applyFont="1" applyFill="1" applyBorder="1"/>
    <xf numFmtId="0" fontId="45" fillId="6" borderId="0" xfId="13" applyFont="1" applyFill="1"/>
    <xf numFmtId="0" fontId="62" fillId="6" borderId="0" xfId="13" applyFont="1" applyFill="1" applyAlignment="1">
      <alignment horizontal="center"/>
    </xf>
    <xf numFmtId="0" fontId="63" fillId="6" borderId="0" xfId="13" applyFont="1" applyFill="1" applyAlignment="1">
      <alignment horizontal="center"/>
    </xf>
    <xf numFmtId="167" fontId="12" fillId="20" borderId="1" xfId="1" applyNumberFormat="1" applyFill="1" applyBorder="1" applyAlignment="1">
      <alignment horizontal="center"/>
    </xf>
    <xf numFmtId="172" fontId="22" fillId="20" borderId="3" xfId="1" applyNumberFormat="1" applyFont="1" applyFill="1" applyBorder="1"/>
    <xf numFmtId="0" fontId="64" fillId="6" borderId="0" xfId="13" applyFont="1" applyFill="1" applyAlignment="1">
      <alignment horizontal="center"/>
    </xf>
    <xf numFmtId="0" fontId="45" fillId="6" borderId="0" xfId="13" applyFont="1" applyFill="1" applyAlignment="1">
      <alignment horizontal="center"/>
    </xf>
    <xf numFmtId="10" fontId="12" fillId="20" borderId="4" xfId="1" applyNumberFormat="1" applyFill="1" applyBorder="1" applyAlignment="1">
      <alignment horizontal="center"/>
    </xf>
    <xf numFmtId="0" fontId="12" fillId="20" borderId="5" xfId="1" applyFill="1" applyBorder="1" applyAlignment="1">
      <alignment horizontal="right"/>
    </xf>
    <xf numFmtId="165" fontId="44" fillId="16" borderId="0" xfId="13" applyNumberFormat="1" applyFont="1" applyFill="1" applyAlignment="1">
      <alignment horizontal="center"/>
    </xf>
    <xf numFmtId="3" fontId="44" fillId="16" borderId="0" xfId="13" applyNumberFormat="1" applyFont="1" applyFill="1" applyAlignment="1">
      <alignment horizontal="center"/>
    </xf>
    <xf numFmtId="39" fontId="44" fillId="16" borderId="0" xfId="13" applyNumberFormat="1" applyFont="1" applyFill="1" applyAlignment="1">
      <alignment horizontal="center"/>
    </xf>
    <xf numFmtId="167" fontId="16" fillId="20" borderId="4" xfId="1" applyNumberFormat="1" applyFont="1" applyFill="1" applyBorder="1" applyAlignment="1">
      <alignment horizontal="center"/>
    </xf>
    <xf numFmtId="0" fontId="45" fillId="6" borderId="7" xfId="13" applyFont="1" applyFill="1" applyBorder="1" applyAlignment="1">
      <alignment horizontal="center"/>
    </xf>
    <xf numFmtId="0" fontId="12" fillId="20" borderId="6" xfId="1" applyFill="1" applyBorder="1" applyAlignment="1">
      <alignment horizontal="center"/>
    </xf>
    <xf numFmtId="0" fontId="12" fillId="20" borderId="8" xfId="1" applyFill="1" applyBorder="1" applyAlignment="1">
      <alignment horizontal="center"/>
    </xf>
    <xf numFmtId="0" fontId="16" fillId="8" borderId="4" xfId="1" applyFont="1" applyFill="1" applyBorder="1"/>
    <xf numFmtId="0" fontId="12" fillId="8" borderId="5" xfId="1" applyFill="1" applyBorder="1"/>
    <xf numFmtId="164" fontId="20" fillId="0" borderId="4" xfId="14" applyFont="1" applyBorder="1" applyAlignment="1" applyProtection="1">
      <alignment horizontal="right"/>
      <protection locked="0"/>
    </xf>
    <xf numFmtId="164" fontId="20" fillId="0" borderId="4" xfId="14" applyFont="1" applyBorder="1" applyAlignment="1" applyProtection="1">
      <alignment horizontal="right"/>
    </xf>
    <xf numFmtId="10" fontId="34" fillId="8" borderId="5" xfId="12" applyNumberFormat="1" applyFont="1" applyFill="1" applyBorder="1" applyProtection="1"/>
    <xf numFmtId="164" fontId="99" fillId="17" borderId="12" xfId="1" applyNumberFormat="1" applyFont="1" applyFill="1" applyBorder="1" applyAlignment="1">
      <alignment horizontal="right"/>
    </xf>
    <xf numFmtId="182" fontId="0" fillId="0" borderId="0" xfId="14" applyNumberFormat="1" applyFont="1" applyProtection="1"/>
    <xf numFmtId="0" fontId="12" fillId="13" borderId="1" xfId="1" applyFill="1" applyBorder="1"/>
    <xf numFmtId="0" fontId="12" fillId="13" borderId="4" xfId="1" applyFill="1" applyBorder="1"/>
    <xf numFmtId="164" fontId="16" fillId="13" borderId="4" xfId="14" applyFont="1" applyFill="1" applyBorder="1" applyProtection="1"/>
    <xf numFmtId="10" fontId="16" fillId="13" borderId="61" xfId="12" applyNumberFormat="1" applyFont="1" applyFill="1" applyBorder="1" applyProtection="1"/>
    <xf numFmtId="10" fontId="16" fillId="13" borderId="5" xfId="12" applyNumberFormat="1" applyFont="1" applyFill="1" applyBorder="1" applyProtection="1"/>
    <xf numFmtId="0" fontId="12" fillId="0" borderId="1" xfId="1" applyFill="1" applyBorder="1"/>
    <xf numFmtId="0" fontId="12" fillId="0" borderId="3" xfId="1" applyFill="1" applyBorder="1"/>
    <xf numFmtId="0" fontId="12" fillId="0" borderId="4" xfId="1" applyFill="1" applyBorder="1"/>
    <xf numFmtId="0" fontId="12" fillId="0" borderId="5" xfId="1" applyFill="1" applyBorder="1"/>
    <xf numFmtId="10" fontId="34" fillId="0" borderId="61" xfId="12" applyNumberFormat="1" applyFont="1" applyFill="1" applyBorder="1" applyProtection="1"/>
    <xf numFmtId="164" fontId="16" fillId="0" borderId="4" xfId="14" applyFont="1" applyFill="1" applyBorder="1" applyProtection="1"/>
    <xf numFmtId="10" fontId="16" fillId="0" borderId="5" xfId="12" applyNumberFormat="1" applyFont="1" applyFill="1" applyBorder="1" applyProtection="1"/>
    <xf numFmtId="167" fontId="12" fillId="20" borderId="6" xfId="1" applyNumberFormat="1" applyFill="1" applyBorder="1" applyAlignment="1">
      <alignment horizontal="center"/>
    </xf>
    <xf numFmtId="167" fontId="12" fillId="20" borderId="8" xfId="1" applyNumberFormat="1" applyFill="1" applyBorder="1" applyAlignment="1">
      <alignment horizontal="center"/>
    </xf>
    <xf numFmtId="49" fontId="16" fillId="0" borderId="0" xfId="1" applyNumberFormat="1" applyFont="1"/>
    <xf numFmtId="0" fontId="33" fillId="0" borderId="3" xfId="7" applyFont="1" applyBorder="1"/>
    <xf numFmtId="165" fontId="44" fillId="11" borderId="0" xfId="13" applyNumberFormat="1" applyFont="1" applyFill="1" applyAlignment="1">
      <alignment horizontal="center"/>
    </xf>
    <xf numFmtId="3" fontId="44" fillId="11" borderId="0" xfId="13" applyNumberFormat="1" applyFont="1" applyFill="1" applyAlignment="1">
      <alignment horizontal="center"/>
    </xf>
    <xf numFmtId="39" fontId="44" fillId="11" borderId="0" xfId="13" applyNumberFormat="1" applyFont="1" applyFill="1" applyAlignment="1">
      <alignment horizontal="center"/>
    </xf>
    <xf numFmtId="0" fontId="118" fillId="0" borderId="3" xfId="7" applyFont="1" applyBorder="1"/>
    <xf numFmtId="164" fontId="44" fillId="11" borderId="0" xfId="10" applyNumberFormat="1" applyFont="1" applyFill="1" applyAlignment="1">
      <alignment horizontal="center"/>
    </xf>
    <xf numFmtId="3" fontId="44" fillId="11" borderId="0" xfId="10" applyNumberFormat="1" applyFont="1" applyFill="1" applyAlignment="1">
      <alignment horizontal="center"/>
    </xf>
    <xf numFmtId="39" fontId="44" fillId="11" borderId="0" xfId="10" applyNumberFormat="1" applyFont="1" applyFill="1" applyAlignment="1">
      <alignment horizontal="center"/>
    </xf>
    <xf numFmtId="165" fontId="44" fillId="11" borderId="0" xfId="10" applyNumberFormat="1" applyFont="1" applyFill="1" applyAlignment="1">
      <alignment horizontal="center"/>
    </xf>
    <xf numFmtId="0" fontId="12" fillId="13" borderId="3" xfId="1" applyFill="1" applyBorder="1"/>
    <xf numFmtId="0" fontId="12" fillId="13" borderId="5" xfId="1" applyFill="1" applyBorder="1"/>
    <xf numFmtId="10" fontId="16" fillId="18" borderId="5" xfId="1" applyNumberFormat="1" applyFont="1" applyFill="1" applyBorder="1" applyAlignment="1">
      <alignment horizontal="center"/>
    </xf>
    <xf numFmtId="167" fontId="34" fillId="11" borderId="64" xfId="0" applyNumberFormat="1" applyFont="1" applyFill="1" applyBorder="1" applyAlignment="1" applyProtection="1">
      <alignment horizontal="center"/>
      <protection locked="0"/>
    </xf>
    <xf numFmtId="167" fontId="34" fillId="11" borderId="66" xfId="0" applyNumberFormat="1" applyFont="1" applyFill="1" applyBorder="1" applyAlignment="1" applyProtection="1">
      <alignment horizontal="center"/>
      <protection locked="0"/>
    </xf>
    <xf numFmtId="167" fontId="34" fillId="11" borderId="33" xfId="0" applyNumberFormat="1" applyFont="1" applyFill="1" applyBorder="1" applyAlignment="1" applyProtection="1">
      <alignment horizontal="center"/>
      <protection locked="0"/>
    </xf>
    <xf numFmtId="0" fontId="14" fillId="2" borderId="1" xfId="0" applyFont="1" applyFill="1" applyBorder="1" applyAlignment="1" applyProtection="1">
      <alignment horizontal="center"/>
    </xf>
    <xf numFmtId="0" fontId="15" fillId="2" borderId="2" xfId="0" applyFont="1" applyFill="1" applyBorder="1" applyAlignment="1" applyProtection="1">
      <alignment horizontal="center"/>
    </xf>
    <xf numFmtId="0" fontId="16" fillId="2" borderId="32" xfId="0" applyFont="1" applyFill="1" applyBorder="1" applyAlignment="1" applyProtection="1">
      <alignment horizontal="center"/>
    </xf>
    <xf numFmtId="0" fontId="16" fillId="2" borderId="9" xfId="0" applyFont="1" applyFill="1" applyBorder="1" applyAlignment="1" applyProtection="1">
      <alignment horizontal="center"/>
    </xf>
    <xf numFmtId="0" fontId="16" fillId="2" borderId="62" xfId="0" applyFont="1" applyFill="1" applyBorder="1" applyAlignment="1" applyProtection="1">
      <alignment horizontal="center"/>
    </xf>
    <xf numFmtId="1" fontId="35" fillId="6" borderId="15" xfId="0" applyNumberFormat="1" applyFont="1" applyFill="1" applyBorder="1" applyAlignment="1" applyProtection="1">
      <alignment horizontal="center"/>
    </xf>
    <xf numFmtId="1" fontId="35" fillId="6" borderId="34" xfId="0" applyNumberFormat="1" applyFont="1" applyFill="1" applyBorder="1" applyAlignment="1" applyProtection="1">
      <alignment horizontal="center"/>
    </xf>
    <xf numFmtId="1" fontId="35" fillId="6" borderId="35" xfId="0" applyNumberFormat="1" applyFont="1" applyFill="1" applyBorder="1" applyAlignment="1" applyProtection="1">
      <alignment horizontal="center"/>
    </xf>
    <xf numFmtId="1" fontId="111" fillId="6" borderId="24" xfId="0" applyNumberFormat="1" applyFont="1" applyFill="1" applyBorder="1" applyAlignment="1" applyProtection="1">
      <alignment horizontal="center"/>
    </xf>
    <xf numFmtId="1" fontId="111" fillId="6" borderId="63" xfId="0" applyNumberFormat="1" applyFont="1" applyFill="1" applyBorder="1" applyAlignment="1" applyProtection="1">
      <alignment horizontal="center"/>
    </xf>
    <xf numFmtId="0" fontId="36" fillId="6" borderId="1" xfId="0" applyFont="1" applyFill="1" applyBorder="1" applyAlignment="1" applyProtection="1">
      <alignment wrapText="1"/>
    </xf>
    <xf numFmtId="0" fontId="36" fillId="6" borderId="3" xfId="0" applyFont="1" applyFill="1" applyBorder="1" applyAlignment="1" applyProtection="1">
      <alignment wrapText="1"/>
    </xf>
    <xf numFmtId="0" fontId="36" fillId="6" borderId="4" xfId="0" applyFont="1" applyFill="1" applyBorder="1" applyAlignment="1" applyProtection="1">
      <alignment wrapText="1"/>
    </xf>
    <xf numFmtId="0" fontId="36" fillId="6" borderId="5" xfId="0" applyFont="1" applyFill="1" applyBorder="1" applyAlignment="1" applyProtection="1">
      <alignment wrapText="1"/>
    </xf>
    <xf numFmtId="0" fontId="36" fillId="6" borderId="6" xfId="0" applyFont="1" applyFill="1" applyBorder="1" applyAlignment="1" applyProtection="1">
      <alignment wrapText="1"/>
    </xf>
    <xf numFmtId="0" fontId="36" fillId="6" borderId="8" xfId="0" applyFont="1" applyFill="1" applyBorder="1" applyAlignment="1" applyProtection="1">
      <alignment wrapText="1"/>
    </xf>
    <xf numFmtId="0" fontId="16" fillId="2" borderId="26" xfId="0" applyFont="1" applyFill="1" applyBorder="1" applyAlignment="1" applyProtection="1">
      <alignment horizontal="center"/>
    </xf>
    <xf numFmtId="0" fontId="23" fillId="2" borderId="36" xfId="0" applyFont="1" applyFill="1" applyBorder="1" applyAlignment="1" applyProtection="1">
      <alignment horizontal="center"/>
    </xf>
    <xf numFmtId="14" fontId="15" fillId="2" borderId="6" xfId="0" applyNumberFormat="1" applyFont="1" applyFill="1" applyBorder="1" applyProtection="1"/>
    <xf numFmtId="14" fontId="15" fillId="2" borderId="7" xfId="0" applyNumberFormat="1" applyFont="1" applyFill="1" applyBorder="1" applyProtection="1"/>
    <xf numFmtId="0" fontId="23" fillId="2" borderId="37" xfId="0" applyNumberFormat="1" applyFont="1" applyFill="1" applyBorder="1" applyAlignment="1" applyProtection="1">
      <alignment horizontal="center"/>
    </xf>
    <xf numFmtId="1" fontId="17" fillId="3" borderId="14" xfId="0" applyNumberFormat="1" applyFont="1" applyFill="1" applyBorder="1" applyAlignment="1" applyProtection="1">
      <alignment horizontal="center"/>
    </xf>
    <xf numFmtId="1" fontId="17" fillId="3" borderId="5" xfId="0" applyNumberFormat="1" applyFont="1" applyFill="1" applyBorder="1" applyAlignment="1" applyProtection="1">
      <alignment horizontal="center"/>
    </xf>
    <xf numFmtId="1" fontId="17" fillId="3" borderId="15" xfId="0" applyNumberFormat="1" applyFont="1" applyFill="1" applyBorder="1" applyAlignment="1" applyProtection="1">
      <alignment horizontal="center"/>
    </xf>
    <xf numFmtId="1" fontId="30" fillId="6" borderId="40" xfId="0" applyNumberFormat="1" applyFont="1" applyFill="1" applyBorder="1" applyAlignment="1" applyProtection="1">
      <alignment horizontal="center"/>
    </xf>
    <xf numFmtId="1" fontId="30" fillId="4" borderId="71" xfId="0" applyNumberFormat="1" applyFont="1" applyFill="1" applyBorder="1" applyAlignment="1" applyProtection="1">
      <alignment horizontal="center"/>
    </xf>
    <xf numFmtId="1" fontId="121" fillId="5" borderId="6" xfId="0" applyNumberFormat="1" applyFont="1" applyFill="1" applyBorder="1" applyAlignment="1">
      <alignment horizontal="center"/>
    </xf>
    <xf numFmtId="0" fontId="91" fillId="6" borderId="0" xfId="1" applyFont="1" applyFill="1"/>
    <xf numFmtId="165" fontId="44" fillId="11" borderId="0" xfId="5" applyNumberFormat="1" applyFont="1" applyFill="1" applyAlignment="1">
      <alignment horizontal="center"/>
    </xf>
    <xf numFmtId="3" fontId="44" fillId="11" borderId="0" xfId="5" applyNumberFormat="1" applyFont="1" applyFill="1" applyAlignment="1">
      <alignment horizontal="center"/>
    </xf>
    <xf numFmtId="39" fontId="44" fillId="11" borderId="0" xfId="5" applyNumberFormat="1" applyFont="1" applyFill="1" applyAlignment="1">
      <alignment horizontal="center"/>
    </xf>
    <xf numFmtId="0" fontId="58" fillId="13" borderId="40" xfId="1" applyFont="1" applyFill="1" applyBorder="1" applyAlignment="1" applyProtection="1">
      <alignment horizontal="left"/>
      <protection locked="0"/>
    </xf>
    <xf numFmtId="0" fontId="58" fillId="13" borderId="57" xfId="1" applyFont="1" applyFill="1" applyBorder="1" applyAlignment="1" applyProtection="1">
      <alignment horizontal="left"/>
      <protection locked="0"/>
    </xf>
    <xf numFmtId="0" fontId="58" fillId="13" borderId="37" xfId="1" applyFont="1" applyFill="1" applyBorder="1" applyAlignment="1" applyProtection="1">
      <alignment horizontal="left"/>
      <protection locked="0"/>
    </xf>
    <xf numFmtId="0" fontId="96" fillId="11" borderId="4" xfId="1" applyFont="1" applyFill="1" applyBorder="1"/>
    <xf numFmtId="10" fontId="96" fillId="11" borderId="5" xfId="1" applyNumberFormat="1" applyFont="1" applyFill="1" applyBorder="1"/>
    <xf numFmtId="164" fontId="34" fillId="11" borderId="4" xfId="6" applyFont="1" applyFill="1" applyBorder="1" applyAlignment="1">
      <alignment horizontal="center"/>
    </xf>
    <xf numFmtId="10" fontId="98" fillId="11" borderId="5" xfId="1" applyNumberFormat="1" applyFont="1" applyFill="1" applyBorder="1" applyProtection="1">
      <protection locked="0"/>
    </xf>
    <xf numFmtId="164" fontId="98" fillId="11" borderId="30" xfId="1" applyNumberFormat="1" applyFont="1" applyFill="1" applyBorder="1" applyProtection="1">
      <protection locked="0"/>
    </xf>
    <xf numFmtId="164" fontId="97" fillId="11" borderId="1" xfId="0" applyNumberFormat="1" applyFont="1" applyFill="1" applyBorder="1" applyProtection="1">
      <protection locked="0"/>
    </xf>
    <xf numFmtId="10" fontId="0" fillId="11" borderId="3" xfId="0" applyNumberFormat="1" applyFill="1" applyBorder="1"/>
    <xf numFmtId="164" fontId="97" fillId="11" borderId="4" xfId="0" applyNumberFormat="1" applyFont="1" applyFill="1" applyBorder="1" applyProtection="1">
      <protection locked="0"/>
    </xf>
    <xf numFmtId="10" fontId="0" fillId="11" borderId="5" xfId="0" applyNumberFormat="1" applyFill="1" applyBorder="1"/>
    <xf numFmtId="164" fontId="44" fillId="11" borderId="12" xfId="0" applyNumberFormat="1" applyFont="1" applyFill="1" applyBorder="1"/>
    <xf numFmtId="10" fontId="44" fillId="11" borderId="18" xfId="0" applyNumberFormat="1" applyFont="1" applyFill="1" applyBorder="1"/>
    <xf numFmtId="0" fontId="45" fillId="6" borderId="2" xfId="15" applyFont="1" applyFill="1" applyBorder="1"/>
    <xf numFmtId="0" fontId="45" fillId="6" borderId="0" xfId="15" applyFont="1" applyFill="1"/>
    <xf numFmtId="0" fontId="62" fillId="6" borderId="0" xfId="15" applyFont="1" applyFill="1" applyAlignment="1">
      <alignment horizontal="center"/>
    </xf>
    <xf numFmtId="0" fontId="63" fillId="6" borderId="0" xfId="15" applyFont="1" applyFill="1" applyAlignment="1">
      <alignment horizontal="center"/>
    </xf>
    <xf numFmtId="0" fontId="64" fillId="6" borderId="0" xfId="15" applyFont="1" applyFill="1" applyAlignment="1">
      <alignment horizontal="center"/>
    </xf>
    <xf numFmtId="0" fontId="45" fillId="6" borderId="0" xfId="15" applyFont="1" applyFill="1" applyAlignment="1">
      <alignment horizontal="center"/>
    </xf>
    <xf numFmtId="0" fontId="45" fillId="6" borderId="7" xfId="15" applyFont="1" applyFill="1" applyBorder="1" applyAlignment="1">
      <alignment horizontal="center"/>
    </xf>
    <xf numFmtId="0" fontId="16" fillId="0" borderId="0" xfId="1" applyFont="1" applyAlignment="1">
      <alignment horizontal="center"/>
    </xf>
    <xf numFmtId="0" fontId="22" fillId="0" borderId="3" xfId="1" applyFont="1" applyBorder="1"/>
    <xf numFmtId="0" fontId="12" fillId="19" borderId="4" xfId="1" applyFill="1" applyBorder="1"/>
    <xf numFmtId="0" fontId="12" fillId="19" borderId="5" xfId="1" applyFill="1" applyBorder="1"/>
    <xf numFmtId="172" fontId="22" fillId="0" borderId="0" xfId="1" applyNumberFormat="1" applyFont="1" applyFill="1" applyBorder="1"/>
    <xf numFmtId="0" fontId="12" fillId="0" borderId="0" xfId="1" applyFill="1" applyBorder="1" applyAlignment="1">
      <alignment horizontal="right"/>
    </xf>
    <xf numFmtId="0" fontId="16" fillId="0" borderId="0" xfId="1" applyFont="1" applyFill="1" applyBorder="1" applyAlignment="1">
      <alignment horizontal="center"/>
    </xf>
    <xf numFmtId="0" fontId="12" fillId="0" borderId="0" xfId="1" applyFill="1" applyBorder="1" applyAlignment="1">
      <alignment horizontal="center"/>
    </xf>
    <xf numFmtId="0" fontId="12" fillId="0" borderId="0" xfId="1" applyFill="1" applyBorder="1"/>
    <xf numFmtId="10" fontId="16" fillId="0" borderId="0" xfId="12" applyNumberFormat="1" applyFont="1" applyFill="1" applyBorder="1" applyProtection="1"/>
    <xf numFmtId="10" fontId="99" fillId="0" borderId="0" xfId="12" applyNumberFormat="1" applyFont="1" applyFill="1" applyBorder="1" applyProtection="1"/>
    <xf numFmtId="10" fontId="12" fillId="0" borderId="0" xfId="1" applyNumberFormat="1" applyFill="1"/>
    <xf numFmtId="165" fontId="44" fillId="11" borderId="0" xfId="15" applyNumberFormat="1" applyFont="1" applyFill="1" applyAlignment="1">
      <alignment horizontal="center"/>
    </xf>
    <xf numFmtId="3" fontId="44" fillId="11" borderId="0" xfId="15" applyNumberFormat="1" applyFont="1" applyFill="1" applyAlignment="1">
      <alignment horizontal="center"/>
    </xf>
    <xf numFmtId="39" fontId="44" fillId="11" borderId="0" xfId="15" applyNumberFormat="1" applyFont="1" applyFill="1" applyAlignment="1">
      <alignment horizontal="center"/>
    </xf>
    <xf numFmtId="0" fontId="16" fillId="0" borderId="4" xfId="1" applyFont="1" applyBorder="1" applyAlignment="1">
      <alignment horizontal="right"/>
    </xf>
    <xf numFmtId="10" fontId="16" fillId="0" borderId="0" xfId="1" applyNumberFormat="1" applyFont="1" applyFill="1" applyBorder="1" applyAlignment="1">
      <alignment horizontal="center"/>
    </xf>
    <xf numFmtId="0" fontId="25" fillId="20" borderId="5" xfId="1" applyFont="1" applyFill="1" applyBorder="1" applyAlignment="1">
      <alignment horizontal="right"/>
    </xf>
    <xf numFmtId="0" fontId="16" fillId="0" borderId="4" xfId="1" applyFont="1" applyBorder="1" applyAlignment="1">
      <alignment horizontal="center"/>
    </xf>
    <xf numFmtId="0" fontId="16" fillId="0" borderId="5" xfId="1" applyFont="1" applyBorder="1"/>
    <xf numFmtId="0" fontId="16" fillId="19" borderId="4" xfId="1" applyFont="1" applyFill="1" applyBorder="1" applyAlignment="1">
      <alignment horizontal="center"/>
    </xf>
    <xf numFmtId="164" fontId="23" fillId="0" borderId="4" xfId="14" applyFont="1" applyBorder="1" applyAlignment="1" applyProtection="1">
      <alignment horizontal="right"/>
      <protection locked="0"/>
    </xf>
    <xf numFmtId="0" fontId="25" fillId="0" borderId="0" xfId="1" applyFont="1" applyFill="1" applyBorder="1" applyAlignment="1">
      <alignment horizontal="right"/>
    </xf>
    <xf numFmtId="10" fontId="23" fillId="0" borderId="0" xfId="12" applyNumberFormat="1" applyFont="1" applyFill="1" applyBorder="1" applyProtection="1"/>
    <xf numFmtId="1" fontId="36" fillId="3" borderId="3" xfId="0" applyNumberFormat="1" applyFont="1" applyFill="1" applyBorder="1" applyAlignment="1" applyProtection="1">
      <alignment horizontal="center"/>
    </xf>
    <xf numFmtId="0" fontId="80" fillId="13" borderId="40" xfId="1" applyFont="1" applyFill="1" applyBorder="1"/>
    <xf numFmtId="10" fontId="16" fillId="0" borderId="0" xfId="1" applyNumberFormat="1" applyFont="1" applyAlignment="1">
      <alignment horizontal="center"/>
    </xf>
    <xf numFmtId="0" fontId="45" fillId="6" borderId="2" xfId="18" applyFont="1" applyFill="1" applyBorder="1"/>
    <xf numFmtId="0" fontId="80" fillId="13" borderId="57" xfId="1" applyFont="1" applyFill="1" applyBorder="1"/>
    <xf numFmtId="0" fontId="45" fillId="6" borderId="0" xfId="18" applyFont="1" applyFill="1"/>
    <xf numFmtId="0" fontId="80" fillId="13" borderId="37" xfId="1" applyFont="1" applyFill="1" applyBorder="1"/>
    <xf numFmtId="0" fontId="62" fillId="6" borderId="0" xfId="18" applyFont="1" applyFill="1" applyAlignment="1">
      <alignment horizontal="center"/>
    </xf>
    <xf numFmtId="0" fontId="63" fillId="6" borderId="0" xfId="18" applyFont="1" applyFill="1" applyAlignment="1">
      <alignment horizontal="center"/>
    </xf>
    <xf numFmtId="183" fontId="68" fillId="14" borderId="3" xfId="17" applyNumberFormat="1" applyFont="1" applyFill="1" applyBorder="1"/>
    <xf numFmtId="167" fontId="25" fillId="14" borderId="1" xfId="1" applyNumberFormat="1" applyFont="1" applyFill="1" applyBorder="1"/>
    <xf numFmtId="167" fontId="12" fillId="0" borderId="3" xfId="1" applyNumberFormat="1" applyBorder="1"/>
    <xf numFmtId="0" fontId="64" fillId="6" borderId="0" xfId="18" applyFont="1" applyFill="1" applyAlignment="1">
      <alignment horizontal="center"/>
    </xf>
    <xf numFmtId="0" fontId="45" fillId="6" borderId="0" xfId="18" applyFont="1" applyFill="1" applyAlignment="1">
      <alignment horizontal="center"/>
    </xf>
    <xf numFmtId="3" fontId="25" fillId="14" borderId="57" xfId="1" applyNumberFormat="1" applyFont="1" applyFill="1" applyBorder="1" applyAlignment="1">
      <alignment horizontal="center"/>
    </xf>
    <xf numFmtId="10" fontId="25" fillId="14" borderId="4" xfId="1" applyNumberFormat="1" applyFont="1" applyFill="1" applyBorder="1" applyAlignment="1">
      <alignment horizontal="center"/>
    </xf>
    <xf numFmtId="167" fontId="12" fillId="14" borderId="5" xfId="1" applyNumberFormat="1" applyFill="1" applyBorder="1"/>
    <xf numFmtId="167" fontId="12" fillId="0" borderId="5" xfId="1" applyNumberFormat="1" applyBorder="1"/>
    <xf numFmtId="0" fontId="22" fillId="13" borderId="57" xfId="1" applyFont="1" applyFill="1" applyBorder="1" applyAlignment="1">
      <alignment horizontal="center"/>
    </xf>
    <xf numFmtId="168" fontId="25" fillId="22" borderId="4" xfId="1" applyNumberFormat="1" applyFont="1" applyFill="1" applyBorder="1" applyAlignment="1">
      <alignment horizontal="center"/>
    </xf>
    <xf numFmtId="10" fontId="16" fillId="0" borderId="5" xfId="1" applyNumberFormat="1" applyFont="1" applyBorder="1"/>
    <xf numFmtId="0" fontId="45" fillId="6" borderId="7" xfId="18" applyFont="1" applyFill="1" applyBorder="1" applyAlignment="1">
      <alignment horizontal="center"/>
    </xf>
    <xf numFmtId="165" fontId="25" fillId="14" borderId="37" xfId="1" applyNumberFormat="1" applyFont="1" applyFill="1" applyBorder="1" applyAlignment="1">
      <alignment horizontal="center" vertical="justify" wrapText="1"/>
    </xf>
    <xf numFmtId="164" fontId="0" fillId="0" borderId="4" xfId="17" applyFont="1" applyBorder="1"/>
    <xf numFmtId="0" fontId="124" fillId="17" borderId="72" xfId="1" applyFont="1" applyFill="1" applyBorder="1"/>
    <xf numFmtId="0" fontId="124" fillId="0" borderId="0" xfId="1" applyFont="1"/>
    <xf numFmtId="164" fontId="124" fillId="17" borderId="12" xfId="17" applyFont="1" applyFill="1" applyBorder="1"/>
    <xf numFmtId="10" fontId="119" fillId="17" borderId="18" xfId="12" applyNumberFormat="1" applyFont="1" applyFill="1" applyBorder="1"/>
    <xf numFmtId="0" fontId="119" fillId="15" borderId="0" xfId="1" applyFont="1" applyFill="1"/>
    <xf numFmtId="0" fontId="119" fillId="0" borderId="0" xfId="1" applyFont="1"/>
    <xf numFmtId="164" fontId="119" fillId="17" borderId="12" xfId="17" applyFont="1" applyFill="1" applyBorder="1"/>
    <xf numFmtId="0" fontId="12" fillId="0" borderId="73" xfId="1" applyBorder="1"/>
    <xf numFmtId="164" fontId="12" fillId="0" borderId="4" xfId="17" applyFont="1" applyBorder="1"/>
    <xf numFmtId="0" fontId="16" fillId="0" borderId="74" xfId="1" applyFont="1" applyBorder="1"/>
    <xf numFmtId="0" fontId="12" fillId="0" borderId="75" xfId="1" applyBorder="1"/>
    <xf numFmtId="164" fontId="12" fillId="0" borderId="76" xfId="17" applyFont="1" applyBorder="1"/>
    <xf numFmtId="10" fontId="12" fillId="0" borderId="77" xfId="1" applyNumberFormat="1" applyBorder="1"/>
    <xf numFmtId="0" fontId="12" fillId="15" borderId="75" xfId="1" applyFill="1" applyBorder="1"/>
    <xf numFmtId="0" fontId="16" fillId="0" borderId="57" xfId="1" applyFont="1" applyBorder="1"/>
    <xf numFmtId="0" fontId="16" fillId="8" borderId="0" xfId="1" applyFont="1" applyFill="1"/>
    <xf numFmtId="0" fontId="12" fillId="8" borderId="0" xfId="1" applyFill="1" applyProtection="1">
      <protection hidden="1"/>
    </xf>
    <xf numFmtId="165" fontId="44" fillId="11" borderId="0" xfId="18" applyNumberFormat="1" applyFont="1" applyFill="1" applyAlignment="1">
      <alignment horizontal="center"/>
    </xf>
    <xf numFmtId="3" fontId="44" fillId="11" borderId="0" xfId="18" applyNumberFormat="1" applyFont="1" applyFill="1" applyAlignment="1">
      <alignment horizontal="center"/>
    </xf>
    <xf numFmtId="39" fontId="44" fillId="11" borderId="0" xfId="18" applyNumberFormat="1" applyFont="1" applyFill="1" applyAlignment="1">
      <alignment horizontal="center"/>
    </xf>
    <xf numFmtId="10" fontId="121" fillId="14" borderId="5" xfId="1" applyNumberFormat="1" applyFont="1" applyFill="1" applyBorder="1" applyAlignment="1">
      <alignment horizontal="center"/>
    </xf>
    <xf numFmtId="167" fontId="12" fillId="0" borderId="8" xfId="1" applyNumberFormat="1" applyBorder="1" applyAlignment="1">
      <alignment horizontal="center"/>
    </xf>
    <xf numFmtId="0" fontId="30" fillId="6" borderId="30" xfId="1" applyFont="1" applyFill="1" applyBorder="1"/>
    <xf numFmtId="164" fontId="30" fillId="6" borderId="12" xfId="17" applyFont="1" applyFill="1" applyBorder="1"/>
    <xf numFmtId="0" fontId="45" fillId="6" borderId="2" xfId="19" applyFont="1" applyFill="1" applyBorder="1"/>
    <xf numFmtId="0" fontId="45" fillId="6" borderId="0" xfId="19" applyFont="1" applyFill="1"/>
    <xf numFmtId="0" fontId="62" fillId="6" borderId="0" xfId="19" applyFont="1" applyFill="1" applyAlignment="1">
      <alignment horizontal="center"/>
    </xf>
    <xf numFmtId="0" fontId="63" fillId="6" borderId="0" xfId="19" applyFont="1" applyFill="1" applyAlignment="1">
      <alignment horizontal="center"/>
    </xf>
    <xf numFmtId="167" fontId="25" fillId="13" borderId="1" xfId="1" applyNumberFormat="1" applyFont="1" applyFill="1" applyBorder="1"/>
    <xf numFmtId="172" fontId="21" fillId="13" borderId="3" xfId="1" applyNumberFormat="1" applyFont="1" applyFill="1" applyBorder="1"/>
    <xf numFmtId="167" fontId="12" fillId="8" borderId="0" xfId="1" applyNumberFormat="1" applyFill="1"/>
    <xf numFmtId="167" fontId="12" fillId="13" borderId="1" xfId="1" applyNumberFormat="1" applyFill="1" applyBorder="1"/>
    <xf numFmtId="167" fontId="25" fillId="0" borderId="0" xfId="1" applyNumberFormat="1" applyFont="1"/>
    <xf numFmtId="167" fontId="25" fillId="0" borderId="57" xfId="1" applyNumberFormat="1" applyFont="1" applyBorder="1"/>
    <xf numFmtId="0" fontId="64" fillId="6" borderId="0" xfId="19" applyFont="1" applyFill="1" applyAlignment="1">
      <alignment horizontal="center"/>
    </xf>
    <xf numFmtId="0" fontId="45" fillId="6" borderId="0" xfId="19" applyFont="1" applyFill="1" applyAlignment="1">
      <alignment horizontal="center"/>
    </xf>
    <xf numFmtId="10" fontId="12" fillId="8" borderId="0" xfId="1" applyNumberFormat="1" applyFill="1" applyAlignment="1">
      <alignment horizontal="center"/>
    </xf>
    <xf numFmtId="10" fontId="12" fillId="13" borderId="5" xfId="1" applyNumberFormat="1" applyFill="1" applyBorder="1" applyAlignment="1">
      <alignment horizontal="center"/>
    </xf>
    <xf numFmtId="10" fontId="25" fillId="0" borderId="57" xfId="1" applyNumberFormat="1" applyFont="1" applyBorder="1" applyAlignment="1">
      <alignment horizontal="center"/>
    </xf>
    <xf numFmtId="167" fontId="25" fillId="13" borderId="4" xfId="1" applyNumberFormat="1" applyFont="1" applyFill="1" applyBorder="1" applyAlignment="1">
      <alignment horizontal="center"/>
    </xf>
    <xf numFmtId="0" fontId="25" fillId="18" borderId="5" xfId="1" applyFont="1" applyFill="1" applyBorder="1" applyAlignment="1">
      <alignment horizontal="center"/>
    </xf>
    <xf numFmtId="0" fontId="12" fillId="8" borderId="0" xfId="1" applyFill="1" applyAlignment="1">
      <alignment horizontal="center"/>
    </xf>
    <xf numFmtId="0" fontId="12" fillId="18" borderId="5" xfId="1" applyFill="1" applyBorder="1" applyAlignment="1">
      <alignment horizontal="center"/>
    </xf>
    <xf numFmtId="0" fontId="25" fillId="0" borderId="57" xfId="1" applyFont="1" applyBorder="1" applyAlignment="1">
      <alignment horizontal="center"/>
    </xf>
    <xf numFmtId="0" fontId="45" fillId="6" borderId="7" xfId="19" applyFont="1" applyFill="1" applyBorder="1" applyAlignment="1">
      <alignment horizontal="center"/>
    </xf>
    <xf numFmtId="167" fontId="25" fillId="13" borderId="6" xfId="1" applyNumberFormat="1" applyFont="1" applyFill="1" applyBorder="1" applyAlignment="1">
      <alignment horizontal="center"/>
    </xf>
    <xf numFmtId="9" fontId="25" fillId="13" borderId="8" xfId="12" applyFont="1" applyFill="1" applyBorder="1" applyAlignment="1" applyProtection="1">
      <alignment horizontal="center"/>
    </xf>
    <xf numFmtId="167" fontId="25" fillId="13" borderId="8" xfId="1" applyNumberFormat="1" applyFont="1" applyFill="1" applyBorder="1" applyAlignment="1">
      <alignment horizontal="center"/>
    </xf>
    <xf numFmtId="167" fontId="12" fillId="8" borderId="0" xfId="1" applyNumberFormat="1" applyFill="1" applyAlignment="1">
      <alignment horizontal="center"/>
    </xf>
    <xf numFmtId="167" fontId="12" fillId="13" borderId="8" xfId="1" applyNumberFormat="1" applyFill="1" applyBorder="1" applyAlignment="1">
      <alignment horizontal="center"/>
    </xf>
    <xf numFmtId="167" fontId="25" fillId="0" borderId="0" xfId="1" applyNumberFormat="1" applyFont="1" applyAlignment="1">
      <alignment horizontal="center"/>
    </xf>
    <xf numFmtId="167" fontId="25" fillId="0" borderId="57" xfId="1" applyNumberFormat="1" applyFont="1" applyBorder="1" applyAlignment="1">
      <alignment horizontal="center"/>
    </xf>
    <xf numFmtId="0" fontId="126" fillId="0" borderId="0" xfId="20"/>
    <xf numFmtId="169" fontId="127" fillId="0" borderId="0" xfId="17" applyNumberFormat="1" applyFont="1" applyBorder="1" applyProtection="1"/>
    <xf numFmtId="10" fontId="12" fillId="0" borderId="0" xfId="12" applyNumberFormat="1" applyBorder="1" applyProtection="1"/>
    <xf numFmtId="169" fontId="12" fillId="0" borderId="0" xfId="17" applyNumberFormat="1" applyFont="1" applyBorder="1" applyProtection="1"/>
    <xf numFmtId="9" fontId="12" fillId="0" borderId="0" xfId="12" applyBorder="1" applyProtection="1"/>
    <xf numFmtId="169" fontId="128" fillId="8" borderId="0" xfId="1" applyNumberFormat="1" applyFont="1" applyFill="1"/>
    <xf numFmtId="9" fontId="128" fillId="8" borderId="0" xfId="12" applyFont="1" applyFill="1" applyBorder="1" applyProtection="1"/>
    <xf numFmtId="0" fontId="36" fillId="6" borderId="12" xfId="1" applyFont="1" applyFill="1" applyBorder="1"/>
    <xf numFmtId="0" fontId="30" fillId="6" borderId="18" xfId="1" applyFont="1" applyFill="1" applyBorder="1"/>
    <xf numFmtId="169" fontId="36" fillId="6" borderId="78" xfId="17" applyNumberFormat="1" applyFont="1" applyFill="1" applyBorder="1" applyAlignment="1" applyProtection="1">
      <alignment horizontal="center"/>
    </xf>
    <xf numFmtId="10" fontId="36" fillId="6" borderId="79" xfId="12" applyNumberFormat="1" applyFont="1" applyFill="1" applyBorder="1" applyAlignment="1" applyProtection="1">
      <alignment horizontal="center"/>
    </xf>
    <xf numFmtId="169" fontId="36" fillId="6" borderId="80" xfId="1" applyNumberFormat="1" applyFont="1" applyFill="1" applyBorder="1"/>
    <xf numFmtId="9" fontId="36" fillId="6" borderId="81" xfId="12" applyFont="1" applyFill="1" applyBorder="1" applyProtection="1"/>
    <xf numFmtId="164" fontId="20" fillId="0" borderId="82" xfId="12" applyNumberFormat="1" applyFont="1" applyBorder="1" applyAlignment="1" applyProtection="1">
      <alignment horizontal="center"/>
      <protection locked="0"/>
    </xf>
    <xf numFmtId="10" fontId="34" fillId="0" borderId="83" xfId="12" applyNumberFormat="1" applyFont="1" applyBorder="1" applyAlignment="1" applyProtection="1">
      <alignment horizontal="center"/>
    </xf>
    <xf numFmtId="9" fontId="12" fillId="0" borderId="0" xfId="12" applyFill="1" applyBorder="1" applyProtection="1"/>
    <xf numFmtId="164" fontId="12" fillId="0" borderId="4" xfId="17" applyFont="1" applyBorder="1" applyAlignment="1" applyProtection="1">
      <alignment horizontal="center"/>
    </xf>
    <xf numFmtId="0" fontId="99" fillId="0" borderId="4" xfId="1" applyFont="1" applyBorder="1"/>
    <xf numFmtId="164" fontId="99" fillId="17" borderId="6" xfId="17" applyFont="1" applyFill="1" applyBorder="1" applyAlignment="1" applyProtection="1">
      <alignment horizontal="center"/>
    </xf>
    <xf numFmtId="10" fontId="99" fillId="17" borderId="8" xfId="12" applyNumberFormat="1" applyFont="1" applyFill="1" applyBorder="1" applyAlignment="1" applyProtection="1">
      <alignment horizontal="center"/>
    </xf>
    <xf numFmtId="0" fontId="99" fillId="0" borderId="57" xfId="1" applyFont="1" applyBorder="1"/>
    <xf numFmtId="164" fontId="127" fillId="0" borderId="0" xfId="17" applyFont="1" applyBorder="1" applyAlignment="1" applyProtection="1">
      <alignment horizontal="center"/>
    </xf>
    <xf numFmtId="10" fontId="12" fillId="0" borderId="0" xfId="12" applyNumberFormat="1" applyBorder="1" applyAlignment="1" applyProtection="1">
      <alignment horizontal="center"/>
    </xf>
    <xf numFmtId="0" fontId="30" fillId="6" borderId="12" xfId="1" applyFont="1" applyFill="1" applyBorder="1" applyAlignment="1">
      <alignment horizontal="left"/>
    </xf>
    <xf numFmtId="164" fontId="36" fillId="6" borderId="12" xfId="17" applyFont="1" applyFill="1" applyBorder="1" applyAlignment="1" applyProtection="1">
      <alignment horizontal="center"/>
    </xf>
    <xf numFmtId="10" fontId="36" fillId="6" borderId="18" xfId="12" applyNumberFormat="1" applyFont="1" applyFill="1" applyBorder="1" applyAlignment="1" applyProtection="1">
      <alignment horizontal="center"/>
    </xf>
    <xf numFmtId="164" fontId="20" fillId="0" borderId="4" xfId="12" applyNumberFormat="1" applyFont="1" applyBorder="1" applyAlignment="1" applyProtection="1">
      <alignment horizontal="center"/>
      <protection locked="0"/>
    </xf>
    <xf numFmtId="10" fontId="34" fillId="0" borderId="5" xfId="12" applyNumberFormat="1" applyFont="1" applyBorder="1" applyAlignment="1" applyProtection="1">
      <alignment horizontal="center"/>
    </xf>
    <xf numFmtId="164" fontId="99" fillId="17" borderId="84" xfId="17" applyFont="1" applyFill="1" applyBorder="1" applyAlignment="1" applyProtection="1">
      <alignment horizontal="center"/>
    </xf>
    <xf numFmtId="10" fontId="99" fillId="17" borderId="85" xfId="12" applyNumberFormat="1" applyFont="1" applyFill="1" applyBorder="1" applyAlignment="1" applyProtection="1">
      <alignment horizontal="center"/>
    </xf>
    <xf numFmtId="0" fontId="30" fillId="6" borderId="12" xfId="1" applyFont="1" applyFill="1" applyBorder="1"/>
    <xf numFmtId="164" fontId="12" fillId="0" borderId="4" xfId="17" applyFont="1" applyFill="1" applyBorder="1" applyAlignment="1" applyProtection="1">
      <alignment horizontal="center"/>
    </xf>
    <xf numFmtId="164" fontId="30" fillId="6" borderId="84" xfId="17" applyFont="1" applyFill="1" applyBorder="1" applyAlignment="1" applyProtection="1">
      <alignment horizontal="center"/>
    </xf>
    <xf numFmtId="167" fontId="99" fillId="0" borderId="0" xfId="1" applyNumberFormat="1" applyFont="1"/>
    <xf numFmtId="167" fontId="99" fillId="0" borderId="57" xfId="1" applyNumberFormat="1" applyFont="1" applyBorder="1"/>
    <xf numFmtId="164" fontId="12" fillId="0" borderId="0" xfId="17" applyFont="1" applyFill="1" applyBorder="1" applyAlignment="1" applyProtection="1">
      <alignment horizontal="center"/>
    </xf>
    <xf numFmtId="0" fontId="99" fillId="17" borderId="86" xfId="1" applyFont="1" applyFill="1" applyBorder="1"/>
    <xf numFmtId="164" fontId="127" fillId="0" borderId="0" xfId="17" applyFont="1" applyFill="1" applyBorder="1" applyAlignment="1" applyProtection="1">
      <alignment horizontal="center"/>
    </xf>
    <xf numFmtId="10" fontId="34" fillId="0" borderId="5" xfId="12" applyNumberFormat="1" applyFont="1" applyFill="1" applyBorder="1" applyAlignment="1" applyProtection="1">
      <alignment horizontal="center"/>
    </xf>
    <xf numFmtId="0" fontId="100" fillId="0" borderId="4" xfId="1" applyFont="1" applyBorder="1"/>
    <xf numFmtId="170" fontId="12" fillId="0" borderId="0" xfId="1" applyNumberFormat="1"/>
    <xf numFmtId="170" fontId="12" fillId="0" borderId="57" xfId="1" applyNumberFormat="1" applyBorder="1"/>
    <xf numFmtId="10" fontId="99" fillId="17" borderId="85" xfId="1" applyNumberFormat="1" applyFont="1" applyFill="1" applyBorder="1" applyAlignment="1">
      <alignment horizontal="center"/>
    </xf>
    <xf numFmtId="164" fontId="0" fillId="0" borderId="0" xfId="17" applyFont="1" applyBorder="1" applyAlignment="1" applyProtection="1">
      <alignment horizontal="center"/>
    </xf>
    <xf numFmtId="0" fontId="30" fillId="6" borderId="80" xfId="1" applyFont="1" applyFill="1" applyBorder="1"/>
    <xf numFmtId="0" fontId="30" fillId="6" borderId="81" xfId="1" applyFont="1" applyFill="1" applyBorder="1"/>
    <xf numFmtId="10" fontId="36" fillId="6" borderId="18" xfId="1" applyNumberFormat="1" applyFont="1" applyFill="1" applyBorder="1" applyAlignment="1">
      <alignment horizontal="center"/>
    </xf>
    <xf numFmtId="165" fontId="12" fillId="0" borderId="0" xfId="1" applyNumberFormat="1"/>
    <xf numFmtId="3" fontId="12" fillId="0" borderId="0" xfId="1" applyNumberFormat="1"/>
    <xf numFmtId="0" fontId="99" fillId="17" borderId="84" xfId="1" applyFont="1" applyFill="1" applyBorder="1"/>
    <xf numFmtId="0" fontId="99" fillId="17" borderId="85" xfId="1" applyFont="1" applyFill="1" applyBorder="1"/>
    <xf numFmtId="10" fontId="0" fillId="0" borderId="0" xfId="12" applyNumberFormat="1" applyFont="1" applyBorder="1" applyAlignment="1" applyProtection="1">
      <alignment horizontal="center"/>
    </xf>
    <xf numFmtId="0" fontId="99" fillId="8" borderId="0" xfId="1" applyFont="1" applyFill="1"/>
    <xf numFmtId="164" fontId="99" fillId="8" borderId="0" xfId="17" applyFont="1" applyFill="1" applyBorder="1" applyAlignment="1" applyProtection="1">
      <alignment horizontal="center"/>
    </xf>
    <xf numFmtId="10" fontId="99" fillId="8" borderId="0" xfId="12" applyNumberFormat="1" applyFont="1" applyFill="1" applyBorder="1" applyAlignment="1" applyProtection="1">
      <alignment horizontal="center"/>
    </xf>
    <xf numFmtId="0" fontId="30" fillId="6" borderId="4" xfId="1" applyFont="1" applyFill="1" applyBorder="1"/>
    <xf numFmtId="0" fontId="129" fillId="6" borderId="12" xfId="1" applyFont="1" applyFill="1" applyBorder="1"/>
    <xf numFmtId="0" fontId="129" fillId="6" borderId="18" xfId="1" applyFont="1" applyFill="1" applyBorder="1"/>
    <xf numFmtId="164" fontId="129" fillId="6" borderId="12" xfId="17" applyFont="1" applyFill="1" applyBorder="1" applyAlignment="1" applyProtection="1">
      <alignment horizontal="center"/>
    </xf>
    <xf numFmtId="10" fontId="129" fillId="6" borderId="18" xfId="12" applyNumberFormat="1" applyFont="1" applyFill="1" applyBorder="1" applyAlignment="1" applyProtection="1">
      <alignment horizontal="center"/>
    </xf>
    <xf numFmtId="9" fontId="20" fillId="9" borderId="30" xfId="1" applyNumberFormat="1" applyFont="1" applyFill="1" applyBorder="1" applyAlignment="1" applyProtection="1">
      <alignment horizontal="center"/>
      <protection locked="0"/>
    </xf>
    <xf numFmtId="167" fontId="25" fillId="18" borderId="1" xfId="1" applyNumberFormat="1" applyFont="1" applyFill="1" applyBorder="1"/>
    <xf numFmtId="172" fontId="21" fillId="18" borderId="3" xfId="1" applyNumberFormat="1" applyFont="1" applyFill="1" applyBorder="1"/>
    <xf numFmtId="167" fontId="12" fillId="18" borderId="1" xfId="1" applyNumberFormat="1" applyFill="1" applyBorder="1"/>
    <xf numFmtId="167" fontId="25" fillId="20" borderId="1" xfId="1" applyNumberFormat="1" applyFont="1" applyFill="1" applyBorder="1"/>
    <xf numFmtId="10" fontId="25" fillId="18" borderId="4" xfId="1" applyNumberFormat="1" applyFont="1" applyFill="1" applyBorder="1" applyAlignment="1">
      <alignment horizontal="center"/>
    </xf>
    <xf numFmtId="10" fontId="25" fillId="18" borderId="5" xfId="1" applyNumberFormat="1" applyFont="1" applyFill="1" applyBorder="1" applyAlignment="1">
      <alignment horizontal="center"/>
    </xf>
    <xf numFmtId="10" fontId="12" fillId="0" borderId="5" xfId="1" applyNumberFormat="1" applyBorder="1" applyAlignment="1">
      <alignment horizontal="center"/>
    </xf>
    <xf numFmtId="10" fontId="12" fillId="21" borderId="4" xfId="1" applyNumberFormat="1" applyFill="1" applyBorder="1" applyAlignment="1">
      <alignment horizontal="center"/>
    </xf>
    <xf numFmtId="10" fontId="25" fillId="20" borderId="5" xfId="1" applyNumberFormat="1" applyFont="1" applyFill="1" applyBorder="1" applyAlignment="1">
      <alignment horizontal="center"/>
    </xf>
    <xf numFmtId="167" fontId="25" fillId="18" borderId="4" xfId="1" applyNumberFormat="1" applyFont="1" applyFill="1" applyBorder="1" applyAlignment="1">
      <alignment horizontal="center"/>
    </xf>
    <xf numFmtId="0" fontId="12" fillId="19" borderId="0" xfId="1" applyFill="1" applyAlignment="1">
      <alignment horizontal="center"/>
    </xf>
    <xf numFmtId="167" fontId="12" fillId="18" borderId="4" xfId="1" applyNumberFormat="1" applyFill="1" applyBorder="1" applyAlignment="1">
      <alignment horizontal="center"/>
    </xf>
    <xf numFmtId="0" fontId="12" fillId="0" borderId="5" xfId="1" applyBorder="1" applyAlignment="1">
      <alignment horizontal="center"/>
    </xf>
    <xf numFmtId="167" fontId="25" fillId="20" borderId="4" xfId="1" applyNumberFormat="1" applyFont="1" applyFill="1" applyBorder="1" applyAlignment="1">
      <alignment horizontal="center"/>
    </xf>
    <xf numFmtId="167" fontId="25" fillId="18" borderId="6" xfId="1" applyNumberFormat="1" applyFont="1" applyFill="1" applyBorder="1" applyAlignment="1">
      <alignment horizontal="center"/>
    </xf>
    <xf numFmtId="9" fontId="25" fillId="18" borderId="8" xfId="1" applyNumberFormat="1" applyFont="1" applyFill="1" applyBorder="1" applyAlignment="1">
      <alignment horizontal="center"/>
    </xf>
    <xf numFmtId="167" fontId="25" fillId="22" borderId="8" xfId="1" applyNumberFormat="1" applyFont="1" applyFill="1" applyBorder="1" applyAlignment="1">
      <alignment horizontal="center"/>
    </xf>
    <xf numFmtId="167" fontId="25" fillId="18" borderId="8" xfId="1" applyNumberFormat="1" applyFont="1" applyFill="1" applyBorder="1" applyAlignment="1">
      <alignment horizontal="center"/>
    </xf>
    <xf numFmtId="167" fontId="12" fillId="0" borderId="5" xfId="1" applyNumberFormat="1" applyBorder="1" applyAlignment="1">
      <alignment horizontal="center"/>
    </xf>
    <xf numFmtId="167" fontId="25" fillId="20" borderId="6" xfId="1" applyNumberFormat="1" applyFont="1" applyFill="1" applyBorder="1" applyAlignment="1">
      <alignment horizontal="center"/>
    </xf>
    <xf numFmtId="9" fontId="25" fillId="20" borderId="8" xfId="1" applyNumberFormat="1" applyFont="1" applyFill="1" applyBorder="1" applyAlignment="1">
      <alignment horizontal="center"/>
    </xf>
    <xf numFmtId="0" fontId="16" fillId="21" borderId="0" xfId="1" applyFont="1" applyFill="1" applyAlignment="1">
      <alignment horizontal="center"/>
    </xf>
    <xf numFmtId="0" fontId="16" fillId="21" borderId="0" xfId="1" applyFont="1" applyFill="1"/>
    <xf numFmtId="167" fontId="12" fillId="21" borderId="0" xfId="1" applyNumberFormat="1" applyFill="1" applyAlignment="1">
      <alignment horizontal="center"/>
    </xf>
    <xf numFmtId="9" fontId="12" fillId="21" borderId="0" xfId="1" applyNumberFormat="1" applyFill="1" applyAlignment="1">
      <alignment horizontal="center"/>
    </xf>
    <xf numFmtId="167" fontId="16" fillId="21" borderId="0" xfId="1" applyNumberFormat="1" applyFont="1" applyFill="1" applyAlignment="1">
      <alignment horizontal="center"/>
    </xf>
    <xf numFmtId="0" fontId="99" fillId="17" borderId="82" xfId="1" applyFont="1" applyFill="1" applyBorder="1"/>
    <xf numFmtId="0" fontId="99" fillId="17" borderId="83" xfId="1" applyFont="1" applyFill="1" applyBorder="1"/>
    <xf numFmtId="165" fontId="99" fillId="17" borderId="1" xfId="17" applyNumberFormat="1" applyFont="1" applyFill="1" applyBorder="1"/>
    <xf numFmtId="9" fontId="132" fillId="17" borderId="3" xfId="12" applyFont="1" applyFill="1" applyBorder="1"/>
    <xf numFmtId="185" fontId="99" fillId="6" borderId="82" xfId="1" applyNumberFormat="1" applyFont="1" applyFill="1" applyBorder="1" applyAlignment="1">
      <alignment horizontal="center"/>
    </xf>
    <xf numFmtId="9" fontId="99" fillId="6" borderId="83" xfId="12" applyFont="1" applyFill="1" applyBorder="1" applyAlignment="1">
      <alignment horizontal="center"/>
    </xf>
    <xf numFmtId="0" fontId="99" fillId="8" borderId="4" xfId="1" applyFont="1" applyFill="1" applyBorder="1"/>
    <xf numFmtId="0" fontId="99" fillId="8" borderId="5" xfId="1" applyFont="1" applyFill="1" applyBorder="1"/>
    <xf numFmtId="165" fontId="99" fillId="8" borderId="4" xfId="17" applyNumberFormat="1" applyFont="1" applyFill="1" applyBorder="1"/>
    <xf numFmtId="9" fontId="132" fillId="8" borderId="5" xfId="12" applyFont="1" applyFill="1" applyBorder="1"/>
    <xf numFmtId="164" fontId="12" fillId="0" borderId="4" xfId="17" applyFont="1" applyFill="1" applyBorder="1" applyAlignment="1">
      <alignment horizontal="center"/>
    </xf>
    <xf numFmtId="10" fontId="12" fillId="0" borderId="5" xfId="12" applyNumberFormat="1" applyFont="1" applyFill="1" applyBorder="1" applyAlignment="1">
      <alignment horizontal="center"/>
    </xf>
    <xf numFmtId="164" fontId="12" fillId="0" borderId="4" xfId="17" applyFont="1" applyBorder="1" applyAlignment="1">
      <alignment horizontal="center"/>
    </xf>
    <xf numFmtId="9" fontId="12" fillId="0" borderId="0" xfId="12" applyFont="1" applyFill="1" applyBorder="1"/>
    <xf numFmtId="0" fontId="99" fillId="17" borderId="6" xfId="1" applyFont="1" applyFill="1" applyBorder="1"/>
    <xf numFmtId="0" fontId="99" fillId="17" borderId="8" xfId="1" applyFont="1" applyFill="1" applyBorder="1"/>
    <xf numFmtId="164" fontId="99" fillId="17" borderId="6" xfId="17" applyFont="1" applyFill="1" applyBorder="1" applyAlignment="1">
      <alignment horizontal="center"/>
    </xf>
    <xf numFmtId="10" fontId="99" fillId="17" borderId="8" xfId="12" applyNumberFormat="1" applyFont="1" applyFill="1" applyBorder="1" applyAlignment="1">
      <alignment horizontal="center"/>
    </xf>
    <xf numFmtId="164" fontId="99" fillId="17" borderId="6" xfId="1" applyNumberFormat="1" applyFont="1" applyFill="1" applyBorder="1" applyAlignment="1">
      <alignment horizontal="center"/>
    </xf>
    <xf numFmtId="164" fontId="127" fillId="0" borderId="0" xfId="17" applyFont="1" applyFill="1" applyBorder="1" applyAlignment="1">
      <alignment horizontal="center"/>
    </xf>
    <xf numFmtId="9" fontId="12" fillId="0" borderId="0" xfId="12" applyFont="1" applyFill="1" applyBorder="1" applyAlignment="1">
      <alignment horizontal="center"/>
    </xf>
    <xf numFmtId="164" fontId="99" fillId="17" borderId="82" xfId="17" applyFont="1" applyFill="1" applyBorder="1" applyAlignment="1">
      <alignment horizontal="center"/>
    </xf>
    <xf numFmtId="9" fontId="132" fillId="17" borderId="83" xfId="12" applyFont="1" applyFill="1" applyBorder="1" applyAlignment="1">
      <alignment horizontal="center"/>
    </xf>
    <xf numFmtId="164" fontId="99" fillId="8" borderId="4" xfId="17" applyFont="1" applyFill="1" applyBorder="1" applyAlignment="1">
      <alignment horizontal="center"/>
    </xf>
    <xf numFmtId="9" fontId="132" fillId="8" borderId="5" xfId="12" applyFont="1" applyFill="1" applyBorder="1" applyAlignment="1">
      <alignment horizontal="center"/>
    </xf>
    <xf numFmtId="164" fontId="96" fillId="0" borderId="4" xfId="17" applyFont="1" applyBorder="1" applyAlignment="1" applyProtection="1">
      <alignment horizontal="center"/>
      <protection locked="0"/>
    </xf>
    <xf numFmtId="164" fontId="96" fillId="0" borderId="4" xfId="17" applyFont="1" applyFill="1" applyBorder="1" applyAlignment="1" applyProtection="1">
      <alignment horizontal="center"/>
      <protection locked="0"/>
    </xf>
    <xf numFmtId="167" fontId="100" fillId="0" borderId="0" xfId="1" applyNumberFormat="1" applyFont="1"/>
    <xf numFmtId="0" fontId="12" fillId="0" borderId="4" xfId="1" applyBorder="1" applyAlignment="1">
      <alignment horizontal="center"/>
    </xf>
    <xf numFmtId="164" fontId="133" fillId="0" borderId="0" xfId="1" applyNumberFormat="1" applyFont="1" applyAlignment="1">
      <alignment horizontal="center"/>
    </xf>
    <xf numFmtId="9" fontId="12" fillId="0" borderId="0" xfId="12" applyFill="1" applyBorder="1" applyAlignment="1">
      <alignment horizontal="center"/>
    </xf>
    <xf numFmtId="164" fontId="12" fillId="0" borderId="0" xfId="1" applyNumberFormat="1" applyAlignment="1">
      <alignment horizontal="center"/>
    </xf>
    <xf numFmtId="164" fontId="30" fillId="6" borderId="6" xfId="1" applyNumberFormat="1" applyFont="1" applyFill="1" applyBorder="1" applyAlignment="1">
      <alignment horizontal="center"/>
    </xf>
    <xf numFmtId="10" fontId="30" fillId="6" borderId="8" xfId="12" applyNumberFormat="1" applyFont="1" applyFill="1" applyBorder="1" applyAlignment="1">
      <alignment horizontal="center"/>
    </xf>
    <xf numFmtId="0" fontId="30" fillId="8" borderId="0" xfId="1" applyFont="1" applyFill="1"/>
    <xf numFmtId="164" fontId="30" fillId="8" borderId="0" xfId="1" applyNumberFormat="1" applyFont="1" applyFill="1" applyAlignment="1">
      <alignment horizontal="center"/>
    </xf>
    <xf numFmtId="10" fontId="30" fillId="8" borderId="0" xfId="12" applyNumberFormat="1" applyFont="1" applyFill="1" applyBorder="1" applyAlignment="1">
      <alignment horizontal="center"/>
    </xf>
    <xf numFmtId="164" fontId="30" fillId="23" borderId="1" xfId="1" applyNumberFormat="1" applyFont="1" applyFill="1" applyBorder="1" applyAlignment="1">
      <alignment horizontal="center"/>
    </xf>
    <xf numFmtId="10" fontId="30" fillId="23" borderId="3" xfId="12" applyNumberFormat="1" applyFont="1" applyFill="1" applyBorder="1" applyAlignment="1">
      <alignment horizontal="center"/>
    </xf>
    <xf numFmtId="0" fontId="12" fillId="8" borderId="57" xfId="1" applyFill="1" applyBorder="1" applyAlignment="1">
      <alignment horizontal="center"/>
    </xf>
    <xf numFmtId="0" fontId="12" fillId="8" borderId="4" xfId="1" applyFill="1" applyBorder="1" applyAlignment="1">
      <alignment horizontal="center"/>
    </xf>
    <xf numFmtId="164" fontId="30" fillId="23" borderId="6" xfId="1" applyNumberFormat="1" applyFont="1" applyFill="1" applyBorder="1" applyAlignment="1">
      <alignment horizontal="center"/>
    </xf>
    <xf numFmtId="10" fontId="30" fillId="23" borderId="8" xfId="1" applyNumberFormat="1" applyFont="1" applyFill="1" applyBorder="1" applyAlignment="1">
      <alignment horizontal="center"/>
    </xf>
    <xf numFmtId="0" fontId="12" fillId="8" borderId="57" xfId="1" applyFill="1" applyBorder="1"/>
    <xf numFmtId="0" fontId="12" fillId="8" borderId="4" xfId="1" applyFill="1" applyBorder="1"/>
    <xf numFmtId="172" fontId="21" fillId="0" borderId="0" xfId="1" applyNumberFormat="1" applyFont="1" applyFill="1" applyBorder="1"/>
    <xf numFmtId="10" fontId="25" fillId="0" borderId="0" xfId="1" applyNumberFormat="1" applyFont="1" applyFill="1" applyBorder="1" applyAlignment="1">
      <alignment horizontal="center"/>
    </xf>
    <xf numFmtId="0" fontId="25" fillId="0" borderId="0" xfId="1" applyFont="1" applyFill="1" applyBorder="1" applyAlignment="1">
      <alignment horizontal="center"/>
    </xf>
    <xf numFmtId="9" fontId="25" fillId="0" borderId="0" xfId="12" applyFont="1" applyFill="1" applyBorder="1" applyAlignment="1" applyProtection="1">
      <alignment horizontal="center"/>
    </xf>
    <xf numFmtId="9" fontId="128" fillId="0" borderId="0" xfId="12" applyFont="1" applyFill="1" applyBorder="1" applyProtection="1"/>
    <xf numFmtId="9" fontId="36" fillId="0" borderId="0" xfId="12" applyFont="1" applyFill="1" applyBorder="1" applyProtection="1"/>
    <xf numFmtId="10" fontId="34" fillId="0" borderId="0" xfId="12" applyNumberFormat="1" applyFont="1" applyFill="1" applyBorder="1" applyAlignment="1" applyProtection="1">
      <alignment horizontal="center"/>
    </xf>
    <xf numFmtId="10" fontId="12" fillId="0" borderId="0" xfId="12" applyNumberFormat="1" applyFill="1" applyBorder="1" applyAlignment="1" applyProtection="1">
      <alignment horizontal="center"/>
    </xf>
    <xf numFmtId="10" fontId="99" fillId="0" borderId="0" xfId="1" applyNumberFormat="1" applyFont="1" applyFill="1" applyBorder="1" applyAlignment="1">
      <alignment horizontal="center"/>
    </xf>
    <xf numFmtId="10" fontId="36" fillId="0" borderId="0" xfId="12" applyNumberFormat="1" applyFont="1" applyFill="1" applyBorder="1" applyAlignment="1" applyProtection="1">
      <alignment horizontal="center"/>
    </xf>
    <xf numFmtId="10" fontId="99" fillId="0" borderId="0" xfId="12" applyNumberFormat="1" applyFont="1" applyFill="1" applyBorder="1" applyAlignment="1" applyProtection="1">
      <alignment horizontal="center"/>
    </xf>
    <xf numFmtId="10" fontId="12" fillId="0" borderId="0" xfId="1" applyNumberFormat="1" applyFill="1" applyAlignment="1">
      <alignment horizontal="center"/>
    </xf>
    <xf numFmtId="10" fontId="36" fillId="0" borderId="0" xfId="1" applyNumberFormat="1" applyFont="1" applyFill="1" applyBorder="1" applyAlignment="1">
      <alignment horizontal="center"/>
    </xf>
    <xf numFmtId="10" fontId="12" fillId="0" borderId="0" xfId="12" applyNumberFormat="1" applyFont="1" applyFill="1" applyBorder="1" applyAlignment="1" applyProtection="1">
      <alignment horizontal="center"/>
    </xf>
    <xf numFmtId="10" fontId="129" fillId="0" borderId="0" xfId="12" applyNumberFormat="1" applyFont="1" applyFill="1" applyBorder="1" applyAlignment="1" applyProtection="1">
      <alignment horizontal="center"/>
    </xf>
    <xf numFmtId="0" fontId="25" fillId="20" borderId="5" xfId="1" applyFont="1" applyFill="1" applyBorder="1" applyAlignment="1">
      <alignment horizontal="center"/>
    </xf>
    <xf numFmtId="0" fontId="25" fillId="0" borderId="4" xfId="1" applyFont="1" applyBorder="1"/>
    <xf numFmtId="0" fontId="25" fillId="0" borderId="57" xfId="1" applyFont="1" applyBorder="1"/>
    <xf numFmtId="10" fontId="25" fillId="0" borderId="0" xfId="12" applyNumberFormat="1" applyFont="1" applyFill="1" applyBorder="1" applyAlignment="1" applyProtection="1">
      <alignment horizontal="center"/>
    </xf>
    <xf numFmtId="164" fontId="134" fillId="6" borderId="12" xfId="1" applyNumberFormat="1" applyFont="1" applyFill="1" applyBorder="1" applyAlignment="1">
      <alignment horizontal="center"/>
    </xf>
    <xf numFmtId="10" fontId="134" fillId="6" borderId="30" xfId="1" applyNumberFormat="1" applyFont="1" applyFill="1" applyBorder="1" applyAlignment="1">
      <alignment horizontal="center"/>
    </xf>
    <xf numFmtId="164" fontId="25" fillId="8" borderId="0" xfId="1" applyNumberFormat="1" applyFont="1" applyFill="1" applyAlignment="1">
      <alignment horizontal="center"/>
    </xf>
    <xf numFmtId="10" fontId="25" fillId="8" borderId="0" xfId="12" applyNumberFormat="1" applyFont="1" applyFill="1" applyBorder="1" applyAlignment="1" applyProtection="1">
      <alignment horizontal="center"/>
    </xf>
    <xf numFmtId="169" fontId="30" fillId="6" borderId="80" xfId="1" applyNumberFormat="1" applyFont="1" applyFill="1" applyBorder="1"/>
    <xf numFmtId="9" fontId="30" fillId="6" borderId="81" xfId="12" applyFont="1" applyFill="1" applyBorder="1" applyProtection="1"/>
    <xf numFmtId="10" fontId="25" fillId="8" borderId="0" xfId="1" applyNumberFormat="1" applyFont="1" applyFill="1" applyAlignment="1">
      <alignment horizontal="center"/>
    </xf>
    <xf numFmtId="164" fontId="134" fillId="8" borderId="0" xfId="1" applyNumberFormat="1" applyFont="1" applyFill="1" applyAlignment="1">
      <alignment horizontal="center"/>
    </xf>
    <xf numFmtId="10" fontId="134" fillId="8" borderId="0" xfId="12" applyNumberFormat="1" applyFont="1" applyFill="1" applyBorder="1" applyAlignment="1" applyProtection="1">
      <alignment horizontal="center"/>
    </xf>
    <xf numFmtId="10" fontId="134" fillId="8" borderId="87" xfId="12" applyNumberFormat="1" applyFont="1" applyFill="1" applyBorder="1" applyAlignment="1" applyProtection="1">
      <alignment horizontal="center"/>
    </xf>
    <xf numFmtId="165" fontId="44" fillId="11" borderId="0" xfId="19" applyNumberFormat="1" applyFont="1" applyFill="1" applyAlignment="1">
      <alignment horizontal="center"/>
    </xf>
    <xf numFmtId="3" fontId="44" fillId="11" borderId="0" xfId="19" applyNumberFormat="1" applyFont="1" applyFill="1" applyAlignment="1">
      <alignment horizontal="center"/>
    </xf>
    <xf numFmtId="39" fontId="44" fillId="11" borderId="0" xfId="19" applyNumberFormat="1" applyFont="1" applyFill="1" applyAlignment="1">
      <alignment horizontal="center"/>
    </xf>
    <xf numFmtId="0" fontId="12" fillId="11" borderId="5" xfId="1" applyFill="1" applyBorder="1"/>
    <xf numFmtId="0" fontId="12" fillId="11" borderId="4" xfId="1" applyFill="1" applyBorder="1"/>
    <xf numFmtId="0" fontId="12" fillId="11" borderId="0" xfId="1" applyFill="1" applyAlignment="1">
      <alignment horizontal="left"/>
    </xf>
    <xf numFmtId="0" fontId="12" fillId="11" borderId="6" xfId="1" applyFill="1" applyBorder="1"/>
    <xf numFmtId="0" fontId="12" fillId="11" borderId="7" xfId="1" applyFill="1" applyBorder="1"/>
    <xf numFmtId="0" fontId="12" fillId="11" borderId="8" xfId="1" applyFill="1" applyBorder="1"/>
    <xf numFmtId="0" fontId="12" fillId="11" borderId="1" xfId="1" applyFill="1" applyBorder="1"/>
    <xf numFmtId="0" fontId="12" fillId="11" borderId="2" xfId="1" applyFill="1" applyBorder="1"/>
    <xf numFmtId="0" fontId="12" fillId="11" borderId="3" xfId="1" applyFill="1" applyBorder="1"/>
    <xf numFmtId="185" fontId="99" fillId="2" borderId="4" xfId="1" applyNumberFormat="1" applyFont="1" applyFill="1" applyBorder="1" applyAlignment="1">
      <alignment horizontal="center"/>
    </xf>
    <xf numFmtId="9" fontId="99" fillId="2" borderId="5" xfId="12" applyFont="1" applyFill="1" applyBorder="1" applyAlignment="1">
      <alignment horizontal="center"/>
    </xf>
    <xf numFmtId="164" fontId="25" fillId="2" borderId="4" xfId="1" applyNumberFormat="1" applyFont="1" applyFill="1" applyBorder="1" applyAlignment="1">
      <alignment horizontal="center"/>
    </xf>
    <xf numFmtId="10" fontId="25" fillId="2" borderId="5" xfId="12" applyNumberFormat="1" applyFont="1" applyFill="1" applyBorder="1" applyAlignment="1">
      <alignment horizontal="center"/>
    </xf>
    <xf numFmtId="164" fontId="134" fillId="17" borderId="6" xfId="1" applyNumberFormat="1" applyFont="1" applyFill="1" applyBorder="1" applyAlignment="1">
      <alignment horizontal="center"/>
    </xf>
    <xf numFmtId="10" fontId="134" fillId="17" borderId="8" xfId="12" applyNumberFormat="1" applyFont="1" applyFill="1" applyBorder="1" applyAlignment="1">
      <alignment horizontal="center"/>
    </xf>
    <xf numFmtId="10" fontId="25" fillId="8" borderId="0" xfId="12" applyNumberFormat="1" applyFont="1" applyFill="1" applyBorder="1" applyAlignment="1">
      <alignment horizontal="center"/>
    </xf>
    <xf numFmtId="164" fontId="134" fillId="6" borderId="82" xfId="1" applyNumberFormat="1" applyFont="1" applyFill="1" applyBorder="1" applyAlignment="1">
      <alignment horizontal="center"/>
    </xf>
    <xf numFmtId="10" fontId="134" fillId="6" borderId="83" xfId="12" applyNumberFormat="1" applyFont="1" applyFill="1" applyBorder="1" applyAlignment="1">
      <alignment horizontal="center"/>
    </xf>
    <xf numFmtId="164" fontId="134" fillId="2" borderId="4" xfId="1" applyNumberFormat="1" applyFont="1" applyFill="1" applyBorder="1" applyAlignment="1">
      <alignment horizontal="center"/>
    </xf>
    <xf numFmtId="10" fontId="134" fillId="2" borderId="5" xfId="12" applyNumberFormat="1" applyFont="1" applyFill="1" applyBorder="1" applyAlignment="1">
      <alignment horizontal="center"/>
    </xf>
    <xf numFmtId="164" fontId="30" fillId="24" borderId="4" xfId="1" applyNumberFormat="1" applyFont="1" applyFill="1" applyBorder="1" applyAlignment="1">
      <alignment horizontal="center"/>
    </xf>
    <xf numFmtId="0" fontId="25" fillId="0" borderId="0" xfId="0" applyFont="1"/>
    <xf numFmtId="0" fontId="41" fillId="0" borderId="0" xfId="0" applyFont="1"/>
    <xf numFmtId="0" fontId="136" fillId="0" borderId="0" xfId="0" applyFont="1"/>
    <xf numFmtId="0" fontId="0" fillId="0" borderId="40" xfId="0" applyBorder="1"/>
    <xf numFmtId="0" fontId="25" fillId="0" borderId="57" xfId="0" applyFont="1" applyBorder="1"/>
    <xf numFmtId="0" fontId="0" fillId="0" borderId="57" xfId="0" applyBorder="1"/>
    <xf numFmtId="0" fontId="135" fillId="0" borderId="4" xfId="0" applyFont="1" applyBorder="1"/>
    <xf numFmtId="10" fontId="12" fillId="0" borderId="3" xfId="1" applyNumberFormat="1" applyBorder="1"/>
    <xf numFmtId="0" fontId="41" fillId="6" borderId="30" xfId="0" applyFont="1" applyFill="1" applyBorder="1"/>
    <xf numFmtId="10" fontId="41" fillId="6" borderId="18" xfId="0" applyNumberFormat="1" applyFont="1" applyFill="1" applyBorder="1"/>
    <xf numFmtId="164" fontId="41" fillId="6" borderId="12" xfId="0" applyNumberFormat="1" applyFont="1" applyFill="1" applyBorder="1"/>
    <xf numFmtId="0" fontId="25" fillId="0" borderId="88" xfId="0" applyFont="1" applyBorder="1"/>
    <xf numFmtId="164" fontId="25" fillId="0" borderId="89" xfId="17" applyFont="1" applyBorder="1" applyAlignment="1">
      <alignment horizontal="center"/>
    </xf>
    <xf numFmtId="10" fontId="25" fillId="0" borderId="90" xfId="0" applyNumberFormat="1" applyFont="1" applyBorder="1"/>
    <xf numFmtId="0" fontId="16" fillId="9" borderId="12" xfId="1" applyFont="1" applyFill="1" applyBorder="1"/>
    <xf numFmtId="9" fontId="20" fillId="9" borderId="18" xfId="1" applyNumberFormat="1" applyFont="1" applyFill="1" applyBorder="1" applyAlignment="1" applyProtection="1">
      <alignment horizontal="center"/>
      <protection locked="0"/>
    </xf>
    <xf numFmtId="164" fontId="41" fillId="6" borderId="12" xfId="0" applyNumberFormat="1" applyFont="1" applyFill="1" applyBorder="1"/>
    <xf numFmtId="164" fontId="0" fillId="0" borderId="4" xfId="0" applyNumberFormat="1" applyBorder="1"/>
    <xf numFmtId="178" fontId="23" fillId="9" borderId="30" xfId="0" applyNumberFormat="1" applyFont="1" applyFill="1" applyBorder="1" applyAlignment="1">
      <alignment horizontal="center"/>
    </xf>
    <xf numFmtId="178" fontId="25" fillId="9" borderId="30" xfId="0" applyNumberFormat="1" applyFont="1" applyFill="1" applyBorder="1" applyAlignment="1">
      <alignment horizontal="center"/>
    </xf>
    <xf numFmtId="166" fontId="0" fillId="0" borderId="0" xfId="0" applyNumberFormat="1"/>
    <xf numFmtId="2" fontId="137" fillId="25" borderId="2" xfId="0" applyNumberFormat="1" applyFont="1" applyFill="1" applyBorder="1" applyAlignment="1">
      <alignment horizontal="center"/>
    </xf>
    <xf numFmtId="2" fontId="21" fillId="25" borderId="2" xfId="0" applyNumberFormat="1" applyFont="1" applyFill="1" applyBorder="1" applyAlignment="1">
      <alignment horizontal="center"/>
    </xf>
    <xf numFmtId="2" fontId="31" fillId="25" borderId="7" xfId="0" applyNumberFormat="1" applyFont="1" applyFill="1" applyBorder="1" applyAlignment="1">
      <alignment horizontal="center"/>
    </xf>
    <xf numFmtId="2" fontId="25" fillId="25" borderId="7" xfId="0" applyNumberFormat="1" applyFont="1" applyFill="1" applyBorder="1" applyAlignment="1">
      <alignment horizontal="center"/>
    </xf>
    <xf numFmtId="3" fontId="16" fillId="25" borderId="2" xfId="0" applyNumberFormat="1" applyFont="1" applyFill="1" applyBorder="1" applyAlignment="1">
      <alignment horizontal="center"/>
    </xf>
    <xf numFmtId="0" fontId="16" fillId="25" borderId="2" xfId="0" applyFont="1" applyFill="1" applyBorder="1"/>
    <xf numFmtId="0" fontId="0" fillId="25" borderId="3" xfId="0" applyFill="1" applyBorder="1"/>
    <xf numFmtId="4" fontId="16" fillId="25" borderId="7" xfId="0" applyNumberFormat="1" applyFont="1" applyFill="1" applyBorder="1" applyAlignment="1">
      <alignment horizontal="center"/>
    </xf>
    <xf numFmtId="2" fontId="83" fillId="0" borderId="57" xfId="1" applyNumberFormat="1" applyFont="1" applyBorder="1" applyAlignment="1" applyProtection="1">
      <alignment horizontal="center"/>
      <protection locked="0"/>
    </xf>
    <xf numFmtId="164" fontId="43" fillId="0" borderId="0" xfId="1" applyNumberFormat="1" applyFont="1" applyAlignment="1" applyProtection="1">
      <alignment horizontal="center"/>
      <protection locked="0"/>
    </xf>
    <xf numFmtId="164" fontId="42" fillId="0" borderId="0" xfId="1" applyNumberFormat="1" applyFont="1" applyAlignment="1" applyProtection="1">
      <alignment horizontal="center"/>
      <protection locked="0"/>
    </xf>
    <xf numFmtId="164" fontId="43" fillId="0" borderId="59" xfId="1" applyNumberFormat="1" applyFont="1" applyBorder="1" applyAlignment="1" applyProtection="1">
      <alignment horizontal="center"/>
      <protection locked="0"/>
    </xf>
    <xf numFmtId="164" fontId="42" fillId="0" borderId="59" xfId="1" applyNumberFormat="1" applyFont="1" applyBorder="1" applyAlignment="1" applyProtection="1">
      <alignment horizontal="center"/>
      <protection locked="0"/>
    </xf>
    <xf numFmtId="2" fontId="86" fillId="0" borderId="57" xfId="1" applyNumberFormat="1" applyFont="1" applyBorder="1" applyAlignment="1" applyProtection="1">
      <alignment horizontal="center"/>
      <protection locked="0"/>
    </xf>
    <xf numFmtId="0" fontId="12" fillId="2" borderId="4" xfId="1" applyFill="1" applyBorder="1"/>
    <xf numFmtId="10" fontId="12" fillId="2" borderId="5" xfId="1" applyNumberFormat="1" applyFill="1" applyBorder="1"/>
    <xf numFmtId="164" fontId="12" fillId="2" borderId="4" xfId="17" applyFont="1" applyFill="1" applyBorder="1"/>
    <xf numFmtId="10" fontId="23" fillId="2" borderId="5" xfId="1" applyNumberFormat="1" applyFont="1" applyFill="1" applyBorder="1"/>
    <xf numFmtId="164" fontId="12" fillId="2" borderId="76" xfId="17" applyFont="1" applyFill="1" applyBorder="1"/>
    <xf numFmtId="10" fontId="12" fillId="2" borderId="77" xfId="1" applyNumberFormat="1" applyFill="1" applyBorder="1"/>
    <xf numFmtId="0" fontId="0" fillId="2" borderId="1" xfId="0" applyFill="1" applyBorder="1"/>
    <xf numFmtId="164" fontId="25" fillId="2" borderId="89" xfId="17" applyFont="1" applyFill="1" applyBorder="1" applyAlignment="1">
      <alignment horizontal="center"/>
    </xf>
    <xf numFmtId="10" fontId="25" fillId="2" borderId="90" xfId="0" applyNumberFormat="1" applyFont="1" applyFill="1" applyBorder="1"/>
    <xf numFmtId="0" fontId="0" fillId="2" borderId="4" xfId="0" applyFill="1" applyBorder="1"/>
    <xf numFmtId="0" fontId="0" fillId="2" borderId="5" xfId="0" applyFill="1" applyBorder="1"/>
    <xf numFmtId="164" fontId="12" fillId="2" borderId="4" xfId="17" applyFont="1" applyFill="1" applyBorder="1" applyAlignment="1">
      <alignment horizontal="center"/>
    </xf>
    <xf numFmtId="10" fontId="0" fillId="2" borderId="5" xfId="0" applyNumberFormat="1" applyFill="1" applyBorder="1"/>
    <xf numFmtId="166" fontId="0" fillId="2" borderId="4" xfId="6" applyNumberFormat="1" applyFont="1" applyFill="1" applyBorder="1" applyAlignment="1">
      <alignment horizontal="center"/>
    </xf>
    <xf numFmtId="164" fontId="0" fillId="2" borderId="4" xfId="0" applyNumberFormat="1" applyFill="1" applyBorder="1"/>
    <xf numFmtId="0" fontId="0" fillId="11" borderId="1" xfId="0" applyFill="1" applyBorder="1"/>
    <xf numFmtId="0" fontId="0" fillId="11" borderId="3" xfId="0" applyFill="1" applyBorder="1"/>
    <xf numFmtId="164" fontId="0" fillId="11" borderId="89" xfId="0" applyNumberFormat="1" applyFill="1" applyBorder="1"/>
    <xf numFmtId="10" fontId="20" fillId="11" borderId="90" xfId="0" applyNumberFormat="1" applyFont="1" applyFill="1" applyBorder="1"/>
    <xf numFmtId="0" fontId="0" fillId="11" borderId="4" xfId="0" applyFill="1" applyBorder="1"/>
    <xf numFmtId="0" fontId="0" fillId="11" borderId="5" xfId="0" applyFill="1" applyBorder="1"/>
    <xf numFmtId="164" fontId="0" fillId="11" borderId="4" xfId="0" applyNumberFormat="1" applyFill="1" applyBorder="1"/>
    <xf numFmtId="166" fontId="0" fillId="11" borderId="4" xfId="0" applyNumberFormat="1" applyFill="1" applyBorder="1"/>
    <xf numFmtId="164" fontId="25" fillId="11" borderId="89" xfId="0" applyNumberFormat="1" applyFont="1" applyFill="1" applyBorder="1"/>
    <xf numFmtId="164" fontId="25" fillId="11" borderId="89" xfId="17" applyFont="1" applyFill="1" applyBorder="1" applyAlignment="1">
      <alignment horizontal="center"/>
    </xf>
    <xf numFmtId="10" fontId="25" fillId="11" borderId="90" xfId="0" applyNumberFormat="1" applyFont="1" applyFill="1" applyBorder="1"/>
    <xf numFmtId="10" fontId="20" fillId="11" borderId="5" xfId="0" applyNumberFormat="1" applyFont="1" applyFill="1" applyBorder="1"/>
    <xf numFmtId="167" fontId="30" fillId="4" borderId="1" xfId="1" applyNumberFormat="1" applyFont="1" applyFill="1" applyBorder="1"/>
    <xf numFmtId="172" fontId="139" fillId="4" borderId="3" xfId="1" applyNumberFormat="1" applyFont="1" applyFill="1" applyBorder="1"/>
    <xf numFmtId="10" fontId="30" fillId="4" borderId="5" xfId="1" applyNumberFormat="1" applyFont="1" applyFill="1" applyBorder="1" applyAlignment="1">
      <alignment horizontal="center"/>
    </xf>
    <xf numFmtId="167" fontId="30" fillId="4" borderId="4" xfId="1" applyNumberFormat="1" applyFont="1" applyFill="1" applyBorder="1" applyAlignment="1">
      <alignment horizontal="center"/>
    </xf>
    <xf numFmtId="0" fontId="30" fillId="4" borderId="5" xfId="1" applyFont="1" applyFill="1" applyBorder="1" applyAlignment="1">
      <alignment horizontal="center"/>
    </xf>
    <xf numFmtId="167" fontId="30" fillId="4" borderId="6" xfId="1" applyNumberFormat="1" applyFont="1" applyFill="1" applyBorder="1" applyAlignment="1">
      <alignment horizontal="center"/>
    </xf>
    <xf numFmtId="9" fontId="30" fillId="4" borderId="8" xfId="1" applyNumberFormat="1" applyFont="1" applyFill="1" applyBorder="1" applyAlignment="1">
      <alignment horizontal="center"/>
    </xf>
    <xf numFmtId="167" fontId="30" fillId="6" borderId="1" xfId="1" applyNumberFormat="1" applyFont="1" applyFill="1" applyBorder="1"/>
    <xf numFmtId="172" fontId="139" fillId="6" borderId="3" xfId="1" applyNumberFormat="1" applyFont="1" applyFill="1" applyBorder="1"/>
    <xf numFmtId="167" fontId="30" fillId="6" borderId="4" xfId="1" applyNumberFormat="1" applyFont="1" applyFill="1" applyBorder="1" applyAlignment="1">
      <alignment horizontal="center"/>
    </xf>
    <xf numFmtId="167" fontId="30" fillId="6" borderId="6" xfId="1" applyNumberFormat="1" applyFont="1" applyFill="1" applyBorder="1" applyAlignment="1">
      <alignment horizontal="center"/>
    </xf>
    <xf numFmtId="9" fontId="30" fillId="6" borderId="8" xfId="12" applyFont="1" applyFill="1" applyBorder="1" applyAlignment="1" applyProtection="1">
      <alignment horizontal="center"/>
    </xf>
    <xf numFmtId="164" fontId="23" fillId="2" borderId="4" xfId="1" applyNumberFormat="1" applyFont="1" applyFill="1" applyBorder="1" applyAlignment="1">
      <alignment horizontal="center"/>
    </xf>
    <xf numFmtId="10" fontId="23" fillId="2" borderId="5" xfId="12" applyNumberFormat="1" applyFont="1" applyFill="1" applyBorder="1" applyAlignment="1" applyProtection="1">
      <alignment horizontal="center"/>
    </xf>
    <xf numFmtId="0" fontId="23" fillId="2" borderId="4" xfId="1" applyFont="1" applyFill="1" applyBorder="1"/>
    <xf numFmtId="0" fontId="23" fillId="2" borderId="5" xfId="1" applyFont="1" applyFill="1" applyBorder="1"/>
    <xf numFmtId="164" fontId="23" fillId="2" borderId="4" xfId="17" applyFont="1" applyFill="1" applyBorder="1" applyAlignment="1" applyProtection="1">
      <alignment horizontal="center"/>
    </xf>
    <xf numFmtId="10" fontId="25" fillId="2" borderId="5" xfId="12" applyNumberFormat="1" applyFont="1" applyFill="1" applyBorder="1" applyAlignment="1" applyProtection="1">
      <alignment horizontal="center"/>
    </xf>
    <xf numFmtId="164" fontId="25" fillId="2" borderId="4" xfId="17" applyFont="1" applyFill="1" applyBorder="1" applyAlignment="1" applyProtection="1">
      <alignment horizontal="center"/>
    </xf>
    <xf numFmtId="183" fontId="94" fillId="6" borderId="3" xfId="17" applyNumberFormat="1" applyFont="1" applyFill="1" applyBorder="1"/>
    <xf numFmtId="167" fontId="30" fillId="6" borderId="5" xfId="1" applyNumberFormat="1" applyFont="1" applyFill="1" applyBorder="1"/>
    <xf numFmtId="168" fontId="30" fillId="4" borderId="4" xfId="1" applyNumberFormat="1" applyFont="1" applyFill="1" applyBorder="1" applyAlignment="1">
      <alignment horizontal="center"/>
    </xf>
    <xf numFmtId="10" fontId="30" fillId="6" borderId="8" xfId="1" applyNumberFormat="1" applyFont="1" applyFill="1" applyBorder="1" applyAlignment="1">
      <alignment horizontal="center"/>
    </xf>
    <xf numFmtId="167" fontId="36" fillId="4" borderId="1" xfId="1" applyNumberFormat="1" applyFont="1" applyFill="1" applyBorder="1" applyAlignment="1">
      <alignment horizontal="center"/>
    </xf>
    <xf numFmtId="10" fontId="36" fillId="4" borderId="4" xfId="1" applyNumberFormat="1" applyFont="1" applyFill="1" applyBorder="1" applyAlignment="1">
      <alignment horizontal="center"/>
    </xf>
    <xf numFmtId="0" fontId="36" fillId="4" borderId="5" xfId="1" applyFont="1" applyFill="1" applyBorder="1" applyAlignment="1">
      <alignment horizontal="right"/>
    </xf>
    <xf numFmtId="167" fontId="36" fillId="4" borderId="6" xfId="1" applyNumberFormat="1" applyFont="1" applyFill="1" applyBorder="1" applyAlignment="1">
      <alignment horizontal="center"/>
    </xf>
    <xf numFmtId="167" fontId="36" fillId="4" borderId="8" xfId="1" applyNumberFormat="1" applyFont="1" applyFill="1" applyBorder="1" applyAlignment="1">
      <alignment horizontal="center"/>
    </xf>
    <xf numFmtId="0" fontId="12" fillId="2" borderId="1" xfId="1" applyFill="1" applyBorder="1"/>
    <xf numFmtId="0" fontId="12" fillId="2" borderId="3" xfId="1" applyFill="1" applyBorder="1"/>
    <xf numFmtId="0" fontId="12" fillId="2" borderId="5" xfId="1" applyFill="1" applyBorder="1"/>
    <xf numFmtId="164" fontId="16" fillId="2" borderId="4" xfId="11" applyFont="1" applyFill="1" applyBorder="1" applyProtection="1"/>
    <xf numFmtId="10" fontId="16" fillId="2" borderId="61" xfId="12" applyNumberFormat="1" applyFont="1" applyFill="1" applyBorder="1" applyProtection="1"/>
    <xf numFmtId="10" fontId="23" fillId="2" borderId="5" xfId="12" applyNumberFormat="1" applyFont="1" applyFill="1" applyBorder="1" applyProtection="1"/>
    <xf numFmtId="0" fontId="36" fillId="4" borderId="6" xfId="1" applyFont="1" applyFill="1" applyBorder="1" applyAlignment="1">
      <alignment horizontal="center"/>
    </xf>
    <xf numFmtId="0" fontId="36" fillId="4" borderId="8" xfId="1" applyFont="1" applyFill="1" applyBorder="1" applyAlignment="1">
      <alignment horizontal="center"/>
    </xf>
    <xf numFmtId="164" fontId="16" fillId="2" borderId="4" xfId="14" applyFont="1" applyFill="1" applyBorder="1" applyProtection="1"/>
    <xf numFmtId="10" fontId="16" fillId="2" borderId="5" xfId="12" applyNumberFormat="1" applyFont="1" applyFill="1" applyBorder="1" applyProtection="1"/>
    <xf numFmtId="0" fontId="30" fillId="4" borderId="6" xfId="1" applyNumberFormat="1" applyFont="1" applyFill="1" applyBorder="1" applyAlignment="1">
      <alignment horizontal="center"/>
    </xf>
    <xf numFmtId="49" fontId="36" fillId="4" borderId="8" xfId="1" applyNumberFormat="1" applyFont="1" applyFill="1" applyBorder="1" applyAlignment="1">
      <alignment horizontal="center"/>
    </xf>
    <xf numFmtId="167" fontId="36" fillId="4" borderId="1" xfId="0" applyNumberFormat="1" applyFont="1" applyFill="1" applyBorder="1" applyAlignment="1">
      <alignment horizontal="center"/>
    </xf>
    <xf numFmtId="172" fontId="139" fillId="4" borderId="3" xfId="0" applyNumberFormat="1" applyFont="1" applyFill="1" applyBorder="1"/>
    <xf numFmtId="10" fontId="36" fillId="4" borderId="4" xfId="0" applyNumberFormat="1" applyFont="1" applyFill="1" applyBorder="1" applyAlignment="1">
      <alignment horizontal="center"/>
    </xf>
    <xf numFmtId="0" fontId="36" fillId="4" borderId="5" xfId="0" applyFont="1" applyFill="1" applyBorder="1" applyAlignment="1">
      <alignment horizontal="right"/>
    </xf>
    <xf numFmtId="167" fontId="30" fillId="4" borderId="4" xfId="0" applyNumberFormat="1" applyFont="1" applyFill="1" applyBorder="1" applyAlignment="1">
      <alignment horizontal="center"/>
    </xf>
    <xf numFmtId="0" fontId="30" fillId="4" borderId="5" xfId="0" applyFont="1" applyFill="1" applyBorder="1" applyAlignment="1">
      <alignment horizontal="center"/>
    </xf>
    <xf numFmtId="167" fontId="30" fillId="4" borderId="6" xfId="0" applyNumberFormat="1" applyFont="1" applyFill="1" applyBorder="1" applyAlignment="1">
      <alignment horizontal="center"/>
    </xf>
    <xf numFmtId="167" fontId="36" fillId="4" borderId="8" xfId="0" applyNumberFormat="1" applyFont="1" applyFill="1" applyBorder="1" applyAlignment="1">
      <alignment horizontal="center"/>
    </xf>
    <xf numFmtId="0" fontId="34" fillId="2" borderId="1" xfId="0" applyFont="1" applyFill="1" applyBorder="1"/>
    <xf numFmtId="0" fontId="34" fillId="2" borderId="3" xfId="0" applyFont="1" applyFill="1" applyBorder="1"/>
    <xf numFmtId="0" fontId="34" fillId="2" borderId="4" xfId="0" applyFont="1" applyFill="1" applyBorder="1"/>
    <xf numFmtId="0" fontId="34" fillId="2" borderId="5" xfId="0" applyFont="1" applyFill="1" applyBorder="1"/>
    <xf numFmtId="164" fontId="23" fillId="2" borderId="4" xfId="8" applyNumberFormat="1" applyFont="1" applyFill="1" applyBorder="1" applyProtection="1"/>
    <xf numFmtId="10" fontId="23" fillId="2" borderId="5" xfId="9" applyNumberFormat="1" applyFont="1" applyFill="1" applyBorder="1" applyProtection="1"/>
    <xf numFmtId="164" fontId="23" fillId="2" borderId="6" xfId="8" applyNumberFormat="1" applyFont="1" applyFill="1" applyBorder="1" applyProtection="1"/>
    <xf numFmtId="10" fontId="23" fillId="2" borderId="8" xfId="9" applyNumberFormat="1" applyFont="1" applyFill="1" applyBorder="1" applyProtection="1"/>
    <xf numFmtId="0" fontId="30" fillId="4" borderId="6" xfId="1" applyFont="1" applyFill="1" applyBorder="1" applyAlignment="1">
      <alignment horizontal="center"/>
    </xf>
    <xf numFmtId="0" fontId="30" fillId="4" borderId="5" xfId="1" applyFont="1" applyFill="1" applyBorder="1" applyAlignment="1">
      <alignment horizontal="right"/>
    </xf>
    <xf numFmtId="165" fontId="20" fillId="13" borderId="40" xfId="0" applyNumberFormat="1" applyFont="1" applyFill="1" applyBorder="1" applyAlignment="1" applyProtection="1">
      <alignment horizontal="center"/>
      <protection locked="0"/>
    </xf>
    <xf numFmtId="0" fontId="16" fillId="13" borderId="40" xfId="0" applyFont="1" applyFill="1" applyBorder="1" applyAlignment="1">
      <alignment horizontal="center"/>
    </xf>
    <xf numFmtId="0" fontId="16" fillId="0" borderId="0" xfId="0" applyFont="1" applyAlignment="1">
      <alignment horizontal="left"/>
    </xf>
    <xf numFmtId="49" fontId="16" fillId="14" borderId="40" xfId="0" applyNumberFormat="1" applyFont="1" applyFill="1" applyBorder="1" applyAlignment="1">
      <alignment horizontal="center"/>
    </xf>
    <xf numFmtId="167" fontId="16" fillId="14" borderId="1" xfId="0" applyNumberFormat="1" applyFont="1" applyFill="1" applyBorder="1" applyAlignment="1">
      <alignment horizontal="center"/>
    </xf>
    <xf numFmtId="181" fontId="68" fillId="14" borderId="3" xfId="22" applyNumberFormat="1" applyFont="1" applyFill="1" applyBorder="1" applyAlignment="1">
      <alignment horizontal="center"/>
    </xf>
    <xf numFmtId="1" fontId="26" fillId="13" borderId="57" xfId="0" applyNumberFormat="1" applyFont="1" applyFill="1" applyBorder="1" applyAlignment="1" applyProtection="1">
      <alignment horizontal="center"/>
      <protection locked="0"/>
    </xf>
    <xf numFmtId="10" fontId="16" fillId="14" borderId="4" xfId="0" applyNumberFormat="1" applyFont="1" applyFill="1" applyBorder="1" applyAlignment="1">
      <alignment horizontal="center"/>
    </xf>
    <xf numFmtId="167" fontId="0" fillId="14" borderId="5" xfId="0" applyNumberFormat="1" applyFill="1" applyBorder="1"/>
    <xf numFmtId="1" fontId="23" fillId="13" borderId="57" xfId="0" applyNumberFormat="1" applyFont="1" applyFill="1" applyBorder="1" applyAlignment="1">
      <alignment horizontal="center"/>
    </xf>
    <xf numFmtId="0" fontId="16" fillId="14" borderId="57" xfId="0" applyFont="1" applyFill="1" applyBorder="1" applyAlignment="1">
      <alignment horizontal="center"/>
    </xf>
    <xf numFmtId="0" fontId="16" fillId="14" borderId="4" xfId="0" applyFont="1" applyFill="1" applyBorder="1" applyAlignment="1">
      <alignment horizontal="center"/>
    </xf>
    <xf numFmtId="0" fontId="16" fillId="14" borderId="5" xfId="0" applyFont="1" applyFill="1" applyBorder="1" applyAlignment="1">
      <alignment horizontal="center"/>
    </xf>
    <xf numFmtId="10" fontId="16" fillId="0" borderId="0" xfId="0" applyNumberFormat="1" applyFont="1"/>
    <xf numFmtId="181" fontId="16" fillId="14" borderId="57" xfId="0" applyNumberFormat="1" applyFont="1" applyFill="1" applyBorder="1" applyAlignment="1">
      <alignment horizontal="center"/>
    </xf>
    <xf numFmtId="0" fontId="0" fillId="14" borderId="5" xfId="0" applyFill="1" applyBorder="1" applyAlignment="1">
      <alignment horizontal="center"/>
    </xf>
    <xf numFmtId="0" fontId="140" fillId="6" borderId="30" xfId="0" applyFont="1" applyFill="1" applyBorder="1"/>
    <xf numFmtId="0" fontId="36" fillId="6" borderId="12" xfId="0" applyFont="1" applyFill="1" applyBorder="1"/>
    <xf numFmtId="10" fontId="36" fillId="6" borderId="18" xfId="0" applyNumberFormat="1" applyFont="1" applyFill="1" applyBorder="1"/>
    <xf numFmtId="0" fontId="12" fillId="0" borderId="57" xfId="0" applyFont="1" applyBorder="1"/>
    <xf numFmtId="164" fontId="96" fillId="26" borderId="4" xfId="0" applyNumberFormat="1" applyFont="1" applyFill="1" applyBorder="1" applyProtection="1">
      <protection locked="0"/>
    </xf>
    <xf numFmtId="10" fontId="25" fillId="26" borderId="5" xfId="0" applyNumberFormat="1" applyFont="1" applyFill="1" applyBorder="1"/>
    <xf numFmtId="0" fontId="21" fillId="0" borderId="57" xfId="0" applyFont="1" applyBorder="1"/>
    <xf numFmtId="10" fontId="16" fillId="26" borderId="5" xfId="0" applyNumberFormat="1" applyFont="1" applyFill="1" applyBorder="1"/>
    <xf numFmtId="165" fontId="96" fillId="26" borderId="4" xfId="0" applyNumberFormat="1" applyFont="1" applyFill="1" applyBorder="1" applyProtection="1">
      <protection locked="0"/>
    </xf>
    <xf numFmtId="0" fontId="141" fillId="17" borderId="30" xfId="0" applyFont="1" applyFill="1" applyBorder="1"/>
    <xf numFmtId="0" fontId="100" fillId="0" borderId="0" xfId="0" applyFont="1"/>
    <xf numFmtId="165" fontId="141" fillId="17" borderId="12" xfId="0" applyNumberFormat="1" applyFont="1" applyFill="1" applyBorder="1"/>
    <xf numFmtId="10" fontId="141" fillId="17" borderId="18" xfId="0" applyNumberFormat="1" applyFont="1" applyFill="1" applyBorder="1"/>
    <xf numFmtId="165" fontId="12" fillId="26" borderId="4" xfId="22" applyNumberFormat="1" applyFont="1" applyFill="1" applyBorder="1"/>
    <xf numFmtId="10" fontId="0" fillId="26" borderId="5" xfId="0" applyNumberFormat="1" applyFill="1" applyBorder="1"/>
    <xf numFmtId="0" fontId="34" fillId="8" borderId="0" xfId="0" applyFont="1" applyFill="1"/>
    <xf numFmtId="0" fontId="33" fillId="0" borderId="57" xfId="0" applyFont="1" applyBorder="1"/>
    <xf numFmtId="0" fontId="34" fillId="8" borderId="57" xfId="0" applyFont="1" applyFill="1" applyBorder="1"/>
    <xf numFmtId="165" fontId="96" fillId="26" borderId="4" xfId="22" applyNumberFormat="1" applyFont="1" applyFill="1" applyBorder="1" applyProtection="1">
      <protection locked="0"/>
    </xf>
    <xf numFmtId="10" fontId="34" fillId="26" borderId="5" xfId="0" applyNumberFormat="1" applyFont="1" applyFill="1" applyBorder="1"/>
    <xf numFmtId="166" fontId="0" fillId="0" borderId="0" xfId="0" applyNumberFormat="1"/>
    <xf numFmtId="165" fontId="0" fillId="26" borderId="4" xfId="22" applyNumberFormat="1" applyFont="1" applyFill="1" applyBorder="1"/>
    <xf numFmtId="165" fontId="139" fillId="6" borderId="12" xfId="22" applyNumberFormat="1" applyFont="1" applyFill="1" applyBorder="1" applyProtection="1"/>
    <xf numFmtId="10" fontId="139" fillId="6" borderId="18" xfId="0" applyNumberFormat="1" applyFont="1" applyFill="1" applyBorder="1"/>
    <xf numFmtId="0" fontId="0" fillId="8" borderId="57" xfId="0" applyFill="1" applyBorder="1"/>
    <xf numFmtId="0" fontId="142" fillId="23" borderId="30" xfId="0" applyFont="1" applyFill="1" applyBorder="1"/>
    <xf numFmtId="165" fontId="140" fillId="23" borderId="12" xfId="22" applyNumberFormat="1" applyFont="1" applyFill="1" applyBorder="1"/>
    <xf numFmtId="10" fontId="142" fillId="23" borderId="18" xfId="0" applyNumberFormat="1" applyFont="1" applyFill="1" applyBorder="1"/>
    <xf numFmtId="165" fontId="142" fillId="23" borderId="12" xfId="22" applyNumberFormat="1" applyFont="1" applyFill="1" applyBorder="1"/>
    <xf numFmtId="164" fontId="0" fillId="0" borderId="0" xfId="0" applyNumberFormat="1"/>
    <xf numFmtId="165" fontId="99" fillId="17" borderId="12" xfId="22" applyNumberFormat="1" applyFont="1" applyFill="1" applyBorder="1"/>
    <xf numFmtId="10" fontId="99" fillId="17" borderId="18" xfId="0" applyNumberFormat="1" applyFont="1" applyFill="1" applyBorder="1"/>
    <xf numFmtId="10" fontId="12" fillId="26" borderId="5" xfId="0" applyNumberFormat="1" applyFont="1" applyFill="1" applyBorder="1"/>
    <xf numFmtId="0" fontId="0" fillId="8" borderId="0" xfId="0" applyFill="1"/>
    <xf numFmtId="165" fontId="140" fillId="6" borderId="12" xfId="22" applyNumberFormat="1" applyFont="1" applyFill="1" applyBorder="1"/>
    <xf numFmtId="10" fontId="140" fillId="6" borderId="18" xfId="22" applyNumberFormat="1" applyFont="1" applyFill="1" applyBorder="1"/>
    <xf numFmtId="165" fontId="23" fillId="26" borderId="4" xfId="22" applyNumberFormat="1" applyFont="1" applyFill="1" applyBorder="1"/>
    <xf numFmtId="10" fontId="23" fillId="26" borderId="5" xfId="0" applyNumberFormat="1" applyFont="1" applyFill="1" applyBorder="1"/>
    <xf numFmtId="165" fontId="141" fillId="17" borderId="12" xfId="22" applyNumberFormat="1" applyFont="1" applyFill="1" applyBorder="1"/>
    <xf numFmtId="0" fontId="99" fillId="8" borderId="57" xfId="0" applyFont="1" applyFill="1" applyBorder="1"/>
    <xf numFmtId="0" fontId="100" fillId="8" borderId="0" xfId="0" applyFont="1" applyFill="1"/>
    <xf numFmtId="165" fontId="99" fillId="26" borderId="4" xfId="22" applyNumberFormat="1" applyFont="1" applyFill="1" applyBorder="1"/>
    <xf numFmtId="10" fontId="99" fillId="26" borderId="5" xfId="0" applyNumberFormat="1" applyFont="1" applyFill="1" applyBorder="1"/>
    <xf numFmtId="0" fontId="141" fillId="23" borderId="30" xfId="0" applyFont="1" applyFill="1" applyBorder="1"/>
    <xf numFmtId="10" fontId="140" fillId="23" borderId="18" xfId="0" applyNumberFormat="1" applyFont="1" applyFill="1" applyBorder="1"/>
    <xf numFmtId="0" fontId="30" fillId="6" borderId="30" xfId="0" applyFont="1" applyFill="1" applyBorder="1"/>
    <xf numFmtId="165" fontId="36" fillId="6" borderId="12" xfId="22" applyNumberFormat="1" applyFont="1" applyFill="1" applyBorder="1"/>
    <xf numFmtId="0" fontId="30" fillId="0" borderId="57" xfId="0" applyFont="1" applyBorder="1"/>
    <xf numFmtId="165" fontId="36" fillId="26" borderId="4" xfId="22" applyNumberFormat="1" applyFont="1" applyFill="1" applyBorder="1"/>
    <xf numFmtId="10" fontId="36" fillId="26" borderId="5" xfId="0" applyNumberFormat="1" applyFont="1" applyFill="1" applyBorder="1"/>
    <xf numFmtId="0" fontId="34" fillId="0" borderId="57" xfId="0" applyFont="1" applyBorder="1"/>
    <xf numFmtId="165" fontId="141" fillId="23" borderId="12" xfId="22" applyNumberFormat="1" applyFont="1" applyFill="1" applyBorder="1"/>
    <xf numFmtId="10" fontId="141" fillId="23" borderId="18" xfId="0" applyNumberFormat="1" applyFont="1" applyFill="1" applyBorder="1"/>
    <xf numFmtId="166" fontId="36" fillId="6" borderId="0" xfId="0" applyNumberFormat="1" applyFont="1" applyFill="1"/>
    <xf numFmtId="165" fontId="0" fillId="26" borderId="4" xfId="0" applyNumberFormat="1" applyFill="1" applyBorder="1"/>
    <xf numFmtId="0" fontId="0" fillId="26" borderId="5" xfId="0" applyFill="1" applyBorder="1"/>
    <xf numFmtId="0" fontId="0" fillId="15" borderId="0" xfId="0" applyFill="1"/>
    <xf numFmtId="0" fontId="32" fillId="23" borderId="30" xfId="0" applyFont="1" applyFill="1" applyBorder="1"/>
    <xf numFmtId="165" fontId="32" fillId="23" borderId="12" xfId="0" applyNumberFormat="1" applyFont="1" applyFill="1" applyBorder="1"/>
    <xf numFmtId="9" fontId="32" fillId="23" borderId="18" xfId="0" applyNumberFormat="1" applyFont="1" applyFill="1" applyBorder="1"/>
    <xf numFmtId="165" fontId="30" fillId="6" borderId="12" xfId="0" applyNumberFormat="1" applyFont="1" applyFill="1" applyBorder="1"/>
    <xf numFmtId="10" fontId="30" fillId="6" borderId="18" xfId="0" applyNumberFormat="1" applyFont="1" applyFill="1" applyBorder="1"/>
    <xf numFmtId="164" fontId="30" fillId="6" borderId="30" xfId="0" applyNumberFormat="1" applyFont="1" applyFill="1" applyBorder="1"/>
    <xf numFmtId="0" fontId="56" fillId="0" borderId="0" xfId="1" applyFont="1" applyAlignment="1">
      <alignment horizontal="center"/>
    </xf>
    <xf numFmtId="172" fontId="56" fillId="0" borderId="0" xfId="1" applyNumberFormat="1" applyFont="1"/>
    <xf numFmtId="164" fontId="42" fillId="0" borderId="0" xfId="1" applyNumberFormat="1" applyFont="1" applyProtection="1">
      <protection locked="0"/>
    </xf>
    <xf numFmtId="164" fontId="74" fillId="0" borderId="0" xfId="1" applyNumberFormat="1" applyFont="1"/>
    <xf numFmtId="0" fontId="122" fillId="8" borderId="0" xfId="1" applyFont="1" applyFill="1"/>
    <xf numFmtId="0" fontId="80" fillId="0" borderId="0" xfId="1" applyFont="1"/>
    <xf numFmtId="164" fontId="83" fillId="0" borderId="0" xfId="1" applyNumberFormat="1" applyFont="1" applyProtection="1">
      <protection locked="0"/>
    </xf>
    <xf numFmtId="10" fontId="80" fillId="0" borderId="0" xfId="1" applyNumberFormat="1" applyFont="1" applyAlignment="1">
      <alignment horizontal="center"/>
    </xf>
    <xf numFmtId="164" fontId="56" fillId="0" borderId="0" xfId="1" applyNumberFormat="1" applyFont="1"/>
    <xf numFmtId="164" fontId="145" fillId="0" borderId="0" xfId="1" applyNumberFormat="1" applyFont="1" applyProtection="1">
      <protection locked="0"/>
    </xf>
    <xf numFmtId="164" fontId="80" fillId="0" borderId="0" xfId="1" applyNumberFormat="1" applyFont="1"/>
    <xf numFmtId="164" fontId="80" fillId="0" borderId="0" xfId="1" applyNumberFormat="1" applyFont="1"/>
    <xf numFmtId="0" fontId="146" fillId="0" borderId="0" xfId="1" applyFont="1"/>
    <xf numFmtId="17" fontId="147" fillId="0" borderId="91" xfId="1" applyNumberFormat="1" applyFont="1" applyBorder="1"/>
    <xf numFmtId="0" fontId="56" fillId="0" borderId="91" xfId="1" applyFont="1" applyBorder="1"/>
    <xf numFmtId="0" fontId="148" fillId="0" borderId="91" xfId="1" applyFont="1" applyBorder="1" applyAlignment="1">
      <alignment horizontal="center"/>
    </xf>
    <xf numFmtId="164" fontId="56" fillId="0" borderId="91" xfId="1" applyNumberFormat="1" applyFont="1" applyBorder="1"/>
    <xf numFmtId="164" fontId="43" fillId="0" borderId="91" xfId="1" applyNumberFormat="1" applyFont="1" applyBorder="1" applyProtection="1">
      <protection locked="0"/>
    </xf>
    <xf numFmtId="164" fontId="58" fillId="0" borderId="91" xfId="1" applyNumberFormat="1" applyFont="1" applyBorder="1" applyAlignment="1">
      <alignment horizontal="right"/>
    </xf>
    <xf numFmtId="164" fontId="74" fillId="8" borderId="91" xfId="1" applyNumberFormat="1" applyFont="1" applyFill="1" applyBorder="1"/>
    <xf numFmtId="164" fontId="149" fillId="8" borderId="91" xfId="1" applyNumberFormat="1" applyFont="1" applyFill="1" applyBorder="1" applyAlignment="1">
      <alignment horizontal="right"/>
    </xf>
    <xf numFmtId="164" fontId="80" fillId="8" borderId="91" xfId="1" applyNumberFormat="1" applyFont="1" applyFill="1" applyBorder="1"/>
    <xf numFmtId="10" fontId="80" fillId="8" borderId="0" xfId="1" applyNumberFormat="1" applyFont="1" applyFill="1" applyAlignment="1">
      <alignment horizontal="center"/>
    </xf>
    <xf numFmtId="164" fontId="56" fillId="8" borderId="91" xfId="1" applyNumberFormat="1" applyFont="1" applyFill="1" applyBorder="1"/>
    <xf numFmtId="0" fontId="56" fillId="8" borderId="0" xfId="1" applyFont="1" applyFill="1" applyAlignment="1">
      <alignment horizontal="center"/>
    </xf>
    <xf numFmtId="0" fontId="147" fillId="0" borderId="91" xfId="1" applyFont="1" applyBorder="1"/>
    <xf numFmtId="164" fontId="74" fillId="0" borderId="91" xfId="1" applyNumberFormat="1" applyFont="1" applyBorder="1" applyAlignment="1">
      <alignment horizontal="center"/>
    </xf>
    <xf numFmtId="164" fontId="74" fillId="0" borderId="91" xfId="1" applyNumberFormat="1" applyFont="1" applyBorder="1"/>
    <xf numFmtId="164" fontId="149" fillId="0" borderId="91" xfId="1" applyNumberFormat="1" applyFont="1" applyBorder="1" applyAlignment="1">
      <alignment horizontal="right"/>
    </xf>
    <xf numFmtId="164" fontId="80" fillId="0" borderId="91" xfId="1" applyNumberFormat="1" applyFont="1" applyBorder="1"/>
    <xf numFmtId="0" fontId="150" fillId="0" borderId="91" xfId="1" applyFont="1" applyBorder="1"/>
    <xf numFmtId="164" fontId="74" fillId="0" borderId="91" xfId="1" applyNumberFormat="1" applyFont="1" applyBorder="1" applyAlignment="1">
      <alignment horizontal="right"/>
    </xf>
    <xf numFmtId="164" fontId="74" fillId="0" borderId="91" xfId="1" applyNumberFormat="1" applyFont="1" applyBorder="1"/>
    <xf numFmtId="0" fontId="80" fillId="0" borderId="0" xfId="1" applyFont="1" applyAlignment="1">
      <alignment horizontal="right"/>
    </xf>
    <xf numFmtId="0" fontId="122" fillId="23" borderId="12" xfId="1" applyFont="1" applyFill="1" applyBorder="1"/>
    <xf numFmtId="164" fontId="153" fillId="23" borderId="27" xfId="1" applyNumberFormat="1" applyFont="1" applyFill="1" applyBorder="1"/>
    <xf numFmtId="10" fontId="119" fillId="23" borderId="18" xfId="1" applyNumberFormat="1" applyFont="1" applyFill="1" applyBorder="1" applyAlignment="1">
      <alignment horizontal="center"/>
    </xf>
    <xf numFmtId="0" fontId="147" fillId="0" borderId="22" xfId="1" applyFont="1" applyBorder="1"/>
    <xf numFmtId="0" fontId="56" fillId="0" borderId="22" xfId="1" applyFont="1" applyBorder="1"/>
    <xf numFmtId="164" fontId="74" fillId="0" borderId="22" xfId="1" applyNumberFormat="1" applyFont="1" applyBorder="1" applyAlignment="1">
      <alignment horizontal="center"/>
    </xf>
    <xf numFmtId="164" fontId="56" fillId="0" borderId="22" xfId="1" applyNumberFormat="1" applyFont="1" applyBorder="1"/>
    <xf numFmtId="164" fontId="42" fillId="0" borderId="22" xfId="1" applyNumberFormat="1" applyFont="1" applyBorder="1" applyProtection="1">
      <protection locked="0"/>
    </xf>
    <xf numFmtId="164" fontId="58" fillId="0" borderId="22" xfId="1" applyNumberFormat="1" applyFont="1" applyBorder="1"/>
    <xf numFmtId="164" fontId="149" fillId="0" borderId="22" xfId="1" applyNumberFormat="1" applyFont="1" applyBorder="1"/>
    <xf numFmtId="164" fontId="149" fillId="8" borderId="22" xfId="1" applyNumberFormat="1" applyFont="1" applyFill="1" applyBorder="1"/>
    <xf numFmtId="0" fontId="147" fillId="0" borderId="0" xfId="1" applyFont="1"/>
    <xf numFmtId="164" fontId="58" fillId="0" borderId="0" xfId="1" applyNumberFormat="1" applyFont="1"/>
    <xf numFmtId="0" fontId="56" fillId="27" borderId="0" xfId="1" applyFont="1" applyFill="1"/>
    <xf numFmtId="164" fontId="42" fillId="27" borderId="0" xfId="1" applyNumberFormat="1" applyFont="1" applyFill="1" applyProtection="1">
      <protection locked="0"/>
    </xf>
    <xf numFmtId="164" fontId="58" fillId="27" borderId="0" xfId="1" applyNumberFormat="1" applyFont="1" applyFill="1"/>
    <xf numFmtId="164" fontId="149" fillId="0" borderId="0" xfId="1" applyNumberFormat="1" applyFont="1"/>
    <xf numFmtId="164" fontId="154" fillId="0" borderId="0" xfId="1" applyNumberFormat="1" applyFont="1"/>
    <xf numFmtId="0" fontId="150" fillId="0" borderId="0" xfId="1" applyFont="1"/>
    <xf numFmtId="172" fontId="153" fillId="23" borderId="27" xfId="1" applyNumberFormat="1" applyFont="1" applyFill="1" applyBorder="1"/>
    <xf numFmtId="164" fontId="74" fillId="2" borderId="40" xfId="1" applyNumberFormat="1" applyFont="1" applyFill="1" applyBorder="1"/>
    <xf numFmtId="164" fontId="56" fillId="2" borderId="57" xfId="1" applyNumberFormat="1" applyFont="1" applyFill="1" applyBorder="1"/>
    <xf numFmtId="164" fontId="155" fillId="2" borderId="57" xfId="1" applyNumberFormat="1" applyFont="1" applyFill="1" applyBorder="1" applyProtection="1">
      <protection locked="0"/>
    </xf>
    <xf numFmtId="0" fontId="156" fillId="0" borderId="0" xfId="1" applyFont="1" applyAlignment="1">
      <alignment horizontal="center"/>
    </xf>
    <xf numFmtId="164" fontId="157" fillId="7" borderId="30" xfId="1" applyNumberFormat="1" applyFont="1" applyFill="1" applyBorder="1"/>
    <xf numFmtId="164" fontId="56" fillId="21" borderId="0" xfId="1" applyNumberFormat="1" applyFont="1" applyFill="1"/>
    <xf numFmtId="164" fontId="83" fillId="7" borderId="30" xfId="1" applyNumberFormat="1" applyFont="1" applyFill="1" applyBorder="1" applyProtection="1">
      <protection locked="0"/>
    </xf>
    <xf numFmtId="164" fontId="48" fillId="0" borderId="0" xfId="1" applyNumberFormat="1" applyFont="1"/>
    <xf numFmtId="10" fontId="48" fillId="0" borderId="0" xfId="1" applyNumberFormat="1" applyFont="1"/>
    <xf numFmtId="0" fontId="119" fillId="0" borderId="0" xfId="1" applyFont="1" applyFill="1"/>
    <xf numFmtId="0" fontId="56" fillId="0" borderId="0" xfId="1" applyFont="1" applyFill="1"/>
    <xf numFmtId="0" fontId="80" fillId="0" borderId="0" xfId="1" applyFont="1" applyFill="1"/>
    <xf numFmtId="1" fontId="20" fillId="11" borderId="30" xfId="0" applyNumberFormat="1" applyFont="1" applyFill="1" applyBorder="1" applyAlignment="1" applyProtection="1">
      <alignment horizontal="center"/>
      <protection locked="0"/>
    </xf>
    <xf numFmtId="10" fontId="26" fillId="0" borderId="5" xfId="1" applyNumberFormat="1" applyFont="1" applyBorder="1"/>
    <xf numFmtId="1" fontId="20" fillId="11" borderId="9" xfId="0" applyNumberFormat="1" applyFont="1" applyFill="1" applyBorder="1" applyAlignment="1" applyProtection="1">
      <alignment horizontal="center"/>
      <protection locked="0"/>
    </xf>
    <xf numFmtId="1" fontId="20" fillId="11" borderId="22" xfId="0" applyNumberFormat="1" applyFont="1" applyFill="1" applyBorder="1" applyAlignment="1" applyProtection="1">
      <alignment horizontal="center"/>
      <protection locked="0"/>
    </xf>
    <xf numFmtId="1" fontId="22" fillId="11" borderId="24" xfId="0" applyNumberFormat="1" applyFont="1" applyFill="1" applyBorder="1" applyAlignment="1">
      <alignment horizontal="center"/>
    </xf>
    <xf numFmtId="171" fontId="158" fillId="28" borderId="0" xfId="0" applyNumberFormat="1" applyFont="1" applyFill="1" applyAlignment="1" applyProtection="1">
      <alignment horizontal="center"/>
      <protection locked="0"/>
    </xf>
    <xf numFmtId="0" fontId="91" fillId="6" borderId="1" xfId="0" applyFont="1" applyFill="1" applyBorder="1" applyAlignment="1" applyProtection="1">
      <alignment horizontal="center" wrapText="1"/>
      <protection locked="0"/>
    </xf>
    <xf numFmtId="0" fontId="91" fillId="6" borderId="2" xfId="0" applyFont="1" applyFill="1" applyBorder="1" applyAlignment="1" applyProtection="1">
      <alignment horizontal="center" wrapText="1"/>
      <protection locked="0"/>
    </xf>
    <xf numFmtId="0" fontId="30" fillId="6" borderId="3" xfId="0" applyFont="1" applyFill="1" applyBorder="1" applyAlignment="1" applyProtection="1">
      <alignment wrapText="1"/>
      <protection locked="0"/>
    </xf>
    <xf numFmtId="0" fontId="119" fillId="6" borderId="4" xfId="0" applyFont="1" applyFill="1" applyBorder="1" applyAlignment="1" applyProtection="1">
      <alignment horizontal="center" wrapText="1"/>
      <protection locked="0"/>
    </xf>
    <xf numFmtId="0" fontId="119" fillId="6" borderId="0" xfId="0" applyFont="1" applyFill="1" applyAlignment="1" applyProtection="1">
      <alignment horizontal="center" wrapText="1"/>
      <protection locked="0"/>
    </xf>
    <xf numFmtId="0" fontId="30" fillId="6" borderId="5" xfId="0" applyFont="1" applyFill="1" applyBorder="1" applyAlignment="1" applyProtection="1">
      <alignment wrapText="1"/>
      <protection locked="0"/>
    </xf>
    <xf numFmtId="0" fontId="30" fillId="6" borderId="6" xfId="0" applyFont="1" applyFill="1" applyBorder="1" applyAlignment="1" applyProtection="1">
      <alignment horizontal="center" vertical="center" wrapText="1"/>
      <protection locked="0"/>
    </xf>
    <xf numFmtId="0" fontId="30" fillId="6" borderId="7" xfId="0" applyFont="1" applyFill="1" applyBorder="1" applyAlignment="1" applyProtection="1">
      <alignment horizontal="center" vertical="center" wrapText="1"/>
      <protection locked="0"/>
    </xf>
    <xf numFmtId="0" fontId="30" fillId="6" borderId="8" xfId="0" applyFont="1" applyFill="1" applyBorder="1" applyAlignment="1" applyProtection="1">
      <alignment wrapText="1"/>
      <protection locked="0"/>
    </xf>
    <xf numFmtId="14" fontId="111" fillId="6" borderId="12" xfId="0" applyNumberFormat="1" applyFont="1" applyFill="1" applyBorder="1" applyAlignment="1" applyProtection="1">
      <alignment horizontal="center" wrapText="1"/>
    </xf>
    <xf numFmtId="0" fontId="111" fillId="6" borderId="27" xfId="0" applyFont="1" applyFill="1" applyBorder="1" applyAlignment="1" applyProtection="1">
      <alignment horizontal="center" wrapText="1"/>
    </xf>
    <xf numFmtId="0" fontId="111" fillId="6" borderId="12" xfId="0" applyFont="1" applyFill="1" applyBorder="1" applyAlignment="1" applyProtection="1">
      <alignment horizontal="center" wrapText="1"/>
    </xf>
    <xf numFmtId="0" fontId="0" fillId="0" borderId="16" xfId="0" applyBorder="1" applyAlignment="1" applyProtection="1">
      <alignment horizontal="center" wrapText="1"/>
    </xf>
    <xf numFmtId="0" fontId="30" fillId="4" borderId="12" xfId="0" applyFont="1" applyFill="1" applyBorder="1" applyAlignment="1">
      <alignment horizontal="center" wrapText="1"/>
    </xf>
    <xf numFmtId="0" fontId="30" fillId="0" borderId="27" xfId="0" applyFont="1" applyBorder="1" applyAlignment="1">
      <alignment horizontal="center" wrapText="1"/>
    </xf>
    <xf numFmtId="0" fontId="36" fillId="0" borderId="27" xfId="0" applyFont="1" applyBorder="1" applyAlignment="1">
      <alignment wrapText="1"/>
    </xf>
    <xf numFmtId="0" fontId="36" fillId="0" borderId="18" xfId="0" applyFont="1" applyBorder="1" applyAlignment="1">
      <alignment wrapText="1"/>
    </xf>
    <xf numFmtId="14" fontId="17" fillId="3" borderId="12" xfId="0" applyNumberFormat="1" applyFont="1" applyFill="1" applyBorder="1" applyAlignment="1" applyProtection="1">
      <alignment horizontal="center" wrapText="1"/>
    </xf>
    <xf numFmtId="14" fontId="17" fillId="3" borderId="27" xfId="0" applyNumberFormat="1" applyFont="1" applyFill="1" applyBorder="1" applyAlignment="1" applyProtection="1">
      <alignment horizontal="center" wrapText="1"/>
    </xf>
    <xf numFmtId="0" fontId="17" fillId="3" borderId="1" xfId="0" applyFont="1" applyFill="1" applyBorder="1" applyAlignment="1" applyProtection="1">
      <alignment horizontal="center" wrapText="1"/>
    </xf>
    <xf numFmtId="0" fontId="17" fillId="3" borderId="38" xfId="0" applyFont="1" applyFill="1" applyBorder="1" applyAlignment="1" applyProtection="1">
      <alignment horizontal="center" wrapText="1"/>
    </xf>
    <xf numFmtId="0" fontId="91" fillId="6" borderId="1" xfId="0" applyFont="1" applyFill="1" applyBorder="1" applyAlignment="1" applyProtection="1">
      <alignment horizontal="center" vertical="center" wrapText="1"/>
      <protection locked="0"/>
    </xf>
    <xf numFmtId="0" fontId="91" fillId="6" borderId="2" xfId="0" applyFont="1" applyFill="1" applyBorder="1" applyAlignment="1" applyProtection="1">
      <alignment horizontal="center" vertical="center" wrapText="1"/>
      <protection locked="0"/>
    </xf>
    <xf numFmtId="0" fontId="30" fillId="6" borderId="2" xfId="0" applyFont="1" applyFill="1" applyBorder="1" applyAlignment="1" applyProtection="1">
      <alignment horizontal="center" vertical="center" wrapText="1"/>
      <protection locked="0"/>
    </xf>
    <xf numFmtId="0" fontId="36" fillId="6" borderId="3" xfId="0" applyFont="1" applyFill="1" applyBorder="1" applyAlignment="1" applyProtection="1">
      <alignment horizontal="center" vertical="center" wrapText="1"/>
      <protection locked="0"/>
    </xf>
    <xf numFmtId="0" fontId="119" fillId="6" borderId="4" xfId="0" applyFont="1" applyFill="1" applyBorder="1" applyAlignment="1" applyProtection="1">
      <alignment horizontal="center" vertical="center" wrapText="1"/>
      <protection locked="0"/>
    </xf>
    <xf numFmtId="0" fontId="119" fillId="6" borderId="0" xfId="0" applyFont="1" applyFill="1" applyBorder="1" applyAlignment="1" applyProtection="1">
      <alignment horizontal="center" vertical="center" wrapText="1"/>
      <protection locked="0"/>
    </xf>
    <xf numFmtId="0" fontId="30" fillId="6" borderId="0" xfId="0" applyFont="1" applyFill="1" applyBorder="1" applyAlignment="1" applyProtection="1">
      <alignment horizontal="center" vertical="center" wrapText="1"/>
      <protection locked="0"/>
    </xf>
    <xf numFmtId="0" fontId="36" fillId="6" borderId="5" xfId="0" applyFont="1" applyFill="1" applyBorder="1" applyAlignment="1" applyProtection="1">
      <alignment horizontal="center" vertical="center" wrapText="1"/>
      <protection locked="0"/>
    </xf>
    <xf numFmtId="0" fontId="120" fillId="6" borderId="6" xfId="0" applyFont="1" applyFill="1" applyBorder="1" applyAlignment="1" applyProtection="1">
      <alignment horizontal="center" vertical="center" wrapText="1"/>
      <protection locked="0"/>
    </xf>
    <xf numFmtId="0" fontId="120" fillId="6" borderId="7" xfId="0" applyFont="1" applyFill="1" applyBorder="1" applyAlignment="1" applyProtection="1">
      <alignment horizontal="center" vertical="center" wrapText="1"/>
      <protection locked="0"/>
    </xf>
    <xf numFmtId="0" fontId="36" fillId="6" borderId="8" xfId="0" applyFont="1" applyFill="1" applyBorder="1" applyAlignment="1" applyProtection="1">
      <alignment horizontal="center" vertical="center" wrapText="1"/>
      <protection locked="0"/>
    </xf>
    <xf numFmtId="0" fontId="25" fillId="2" borderId="1" xfId="0" applyFont="1" applyFill="1" applyBorder="1" applyAlignment="1">
      <alignment horizontal="right" wrapText="1"/>
    </xf>
    <xf numFmtId="0" fontId="25" fillId="0" borderId="2" xfId="0" applyFont="1" applyBorder="1" applyAlignment="1">
      <alignment horizontal="right" wrapText="1"/>
    </xf>
    <xf numFmtId="0" fontId="18" fillId="4" borderId="12" xfId="0" applyFont="1" applyFill="1" applyBorder="1" applyAlignment="1">
      <alignment horizontal="center" wrapText="1"/>
    </xf>
    <xf numFmtId="0" fontId="16" fillId="0" borderId="27" xfId="0" applyFont="1" applyBorder="1" applyAlignment="1">
      <alignment horizontal="center" wrapText="1"/>
    </xf>
    <xf numFmtId="0" fontId="0" fillId="0" borderId="27" xfId="0" applyBorder="1" applyAlignment="1">
      <alignment wrapText="1"/>
    </xf>
    <xf numFmtId="0" fontId="0" fillId="0" borderId="18" xfId="0" applyBorder="1" applyAlignment="1">
      <alignment wrapText="1"/>
    </xf>
    <xf numFmtId="0" fontId="25" fillId="2" borderId="6" xfId="0" applyFont="1" applyFill="1" applyBorder="1" applyAlignment="1">
      <alignment horizontal="right" wrapText="1"/>
    </xf>
    <xf numFmtId="0" fontId="25" fillId="0" borderId="7" xfId="0" applyFont="1" applyBorder="1" applyAlignment="1">
      <alignment horizontal="right" wrapText="1"/>
    </xf>
    <xf numFmtId="0" fontId="25" fillId="25" borderId="7" xfId="0" applyFont="1" applyFill="1" applyBorder="1" applyAlignment="1">
      <alignment horizontal="left" wrapText="1"/>
    </xf>
    <xf numFmtId="0" fontId="25" fillId="25" borderId="8" xfId="0" applyFont="1" applyFill="1" applyBorder="1" applyAlignment="1">
      <alignment horizontal="left" wrapText="1"/>
    </xf>
    <xf numFmtId="2" fontId="137" fillId="25" borderId="2" xfId="0" applyNumberFormat="1" applyFont="1" applyFill="1" applyBorder="1" applyAlignment="1">
      <alignment horizontal="center" wrapText="1"/>
    </xf>
    <xf numFmtId="0" fontId="138" fillId="25" borderId="3" xfId="0" applyFont="1" applyFill="1" applyBorder="1" applyAlignment="1">
      <alignment horizontal="center" wrapText="1"/>
    </xf>
    <xf numFmtId="2" fontId="31" fillId="25" borderId="7" xfId="0" applyNumberFormat="1" applyFont="1" applyFill="1" applyBorder="1" applyAlignment="1">
      <alignment horizontal="center" wrapText="1"/>
    </xf>
    <xf numFmtId="0" fontId="0" fillId="25" borderId="7" xfId="0" applyFill="1" applyBorder="1" applyAlignment="1">
      <alignment horizontal="center" wrapText="1"/>
    </xf>
    <xf numFmtId="0" fontId="30" fillId="6" borderId="12" xfId="0" applyFont="1" applyFill="1" applyBorder="1" applyAlignment="1">
      <alignment horizontal="center" wrapText="1"/>
    </xf>
    <xf numFmtId="0" fontId="30" fillId="6" borderId="18" xfId="0" applyFont="1" applyFill="1" applyBorder="1" applyAlignment="1">
      <alignment horizontal="center" wrapText="1"/>
    </xf>
    <xf numFmtId="0" fontId="41" fillId="3" borderId="12" xfId="0" applyFont="1" applyFill="1" applyBorder="1" applyAlignment="1">
      <alignment horizontal="center" wrapText="1"/>
    </xf>
    <xf numFmtId="0" fontId="41" fillId="3" borderId="18" xfId="0" applyFont="1" applyFill="1" applyBorder="1" applyAlignment="1">
      <alignment horizontal="center" wrapText="1"/>
    </xf>
    <xf numFmtId="167" fontId="37" fillId="6" borderId="12" xfId="0" applyNumberFormat="1" applyFont="1" applyFill="1" applyBorder="1" applyAlignment="1">
      <alignment horizontal="center" wrapText="1"/>
    </xf>
    <xf numFmtId="0" fontId="38" fillId="6" borderId="16" xfId="0" applyFont="1" applyFill="1" applyBorder="1" applyAlignment="1">
      <alignment wrapText="1"/>
    </xf>
    <xf numFmtId="0" fontId="37" fillId="6" borderId="12" xfId="0" applyFont="1" applyFill="1" applyBorder="1" applyAlignment="1">
      <alignment horizontal="center" wrapText="1"/>
    </xf>
    <xf numFmtId="0" fontId="38" fillId="6" borderId="27" xfId="0" applyFont="1" applyFill="1" applyBorder="1" applyAlignment="1">
      <alignment horizontal="center" wrapText="1"/>
    </xf>
    <xf numFmtId="0" fontId="36" fillId="6" borderId="3" xfId="0" applyFont="1" applyFill="1" applyBorder="1" applyAlignment="1" applyProtection="1">
      <alignment wrapText="1"/>
      <protection locked="0"/>
    </xf>
    <xf numFmtId="0" fontId="122" fillId="6" borderId="0" xfId="0" applyFont="1" applyFill="1" applyAlignment="1" applyProtection="1">
      <alignment horizontal="center" wrapText="1"/>
      <protection locked="0"/>
    </xf>
    <xf numFmtId="0" fontId="36" fillId="6" borderId="5" xfId="0" applyFont="1" applyFill="1" applyBorder="1" applyAlignment="1" applyProtection="1">
      <alignment wrapText="1"/>
      <protection locked="0"/>
    </xf>
    <xf numFmtId="0" fontId="36" fillId="6" borderId="7" xfId="0" applyFont="1" applyFill="1" applyBorder="1" applyAlignment="1" applyProtection="1">
      <alignment horizontal="center" vertical="center" wrapText="1"/>
      <protection locked="0"/>
    </xf>
    <xf numFmtId="0" fontId="36" fillId="6" borderId="8" xfId="0" applyFont="1" applyFill="1" applyBorder="1" applyAlignment="1" applyProtection="1">
      <alignment wrapText="1"/>
      <protection locked="0"/>
    </xf>
    <xf numFmtId="14" fontId="30" fillId="3" borderId="12" xfId="0" applyNumberFormat="1" applyFont="1" applyFill="1" applyBorder="1" applyAlignment="1">
      <alignment horizontal="center" wrapText="1"/>
    </xf>
    <xf numFmtId="14" fontId="30" fillId="3" borderId="13" xfId="0" applyNumberFormat="1" applyFont="1" applyFill="1" applyBorder="1" applyAlignment="1">
      <alignment horizontal="center" wrapText="1"/>
    </xf>
    <xf numFmtId="0" fontId="30" fillId="3" borderId="4" xfId="0" applyFont="1" applyFill="1" applyBorder="1" applyAlignment="1">
      <alignment horizontal="center" wrapText="1"/>
    </xf>
    <xf numFmtId="0" fontId="30" fillId="3" borderId="29" xfId="0" applyFont="1" applyFill="1" applyBorder="1" applyAlignment="1">
      <alignment horizontal="center" wrapText="1"/>
    </xf>
    <xf numFmtId="0" fontId="23" fillId="7" borderId="12" xfId="0" applyFont="1" applyFill="1" applyBorder="1" applyAlignment="1">
      <alignment horizontal="center" wrapText="1"/>
    </xf>
    <xf numFmtId="0" fontId="34" fillId="2" borderId="18" xfId="0" applyFont="1" applyFill="1" applyBorder="1" applyAlignment="1">
      <alignment horizontal="center" wrapText="1"/>
    </xf>
    <xf numFmtId="0" fontId="75" fillId="0" borderId="40" xfId="1" applyFont="1" applyBorder="1" applyAlignment="1">
      <alignment horizontal="center" vertical="center" wrapText="1"/>
    </xf>
    <xf numFmtId="0" fontId="12" fillId="0" borderId="57" xfId="1" applyBorder="1" applyAlignment="1">
      <alignment horizontal="center" vertical="center" wrapText="1"/>
    </xf>
    <xf numFmtId="0" fontId="12" fillId="0" borderId="37" xfId="1" applyBorder="1" applyAlignment="1">
      <alignment horizontal="center" vertical="center" wrapText="1"/>
    </xf>
    <xf numFmtId="9" fontId="56" fillId="0" borderId="58" xfId="1" applyNumberFormat="1" applyFont="1" applyBorder="1" applyAlignment="1">
      <alignment horizontal="center" vertical="center" wrapText="1"/>
    </xf>
    <xf numFmtId="9" fontId="12" fillId="0" borderId="0" xfId="1" applyNumberFormat="1" applyAlignment="1">
      <alignment horizontal="center" vertical="center" wrapText="1"/>
    </xf>
    <xf numFmtId="9" fontId="12" fillId="0" borderId="59" xfId="1" applyNumberFormat="1" applyBorder="1" applyAlignment="1">
      <alignment horizontal="center" vertical="center" wrapText="1"/>
    </xf>
    <xf numFmtId="0" fontId="80" fillId="0" borderId="40" xfId="1" applyFont="1" applyBorder="1" applyAlignment="1">
      <alignment horizontal="center" vertical="center" wrapText="1"/>
    </xf>
    <xf numFmtId="0" fontId="78" fillId="0" borderId="57" xfId="4" applyFont="1" applyBorder="1" applyAlignment="1">
      <alignment horizontal="center" vertical="center" wrapText="1"/>
    </xf>
    <xf numFmtId="0" fontId="78" fillId="0" borderId="37" xfId="4" applyFont="1" applyBorder="1" applyAlignment="1">
      <alignment horizontal="center" vertical="center" wrapText="1"/>
    </xf>
    <xf numFmtId="0" fontId="77" fillId="0" borderId="57" xfId="4" applyFont="1" applyBorder="1" applyAlignment="1">
      <alignment horizontal="center" vertical="center" wrapText="1"/>
    </xf>
    <xf numFmtId="0" fontId="77" fillId="0" borderId="37" xfId="4" applyFont="1" applyBorder="1" applyAlignment="1">
      <alignment horizontal="center" vertical="center" wrapText="1"/>
    </xf>
    <xf numFmtId="0" fontId="75" fillId="0" borderId="57" xfId="1" applyFont="1" applyBorder="1" applyAlignment="1">
      <alignment horizontal="center" vertical="center" wrapText="1"/>
    </xf>
    <xf numFmtId="0" fontId="75" fillId="0" borderId="37" xfId="1" applyFont="1" applyBorder="1" applyAlignment="1">
      <alignment horizontal="center" vertical="center" wrapText="1"/>
    </xf>
    <xf numFmtId="9" fontId="56" fillId="0" borderId="0" xfId="1" applyNumberFormat="1" applyFont="1" applyAlignment="1">
      <alignment horizontal="center" vertical="center" wrapText="1"/>
    </xf>
    <xf numFmtId="0" fontId="12" fillId="0" borderId="0" xfId="1" applyAlignment="1">
      <alignment wrapText="1"/>
    </xf>
    <xf numFmtId="0" fontId="76" fillId="0" borderId="0" xfId="4" applyAlignment="1">
      <alignment wrapText="1"/>
    </xf>
    <xf numFmtId="0" fontId="76" fillId="0" borderId="7" xfId="4" applyBorder="1" applyAlignment="1">
      <alignment wrapText="1"/>
    </xf>
    <xf numFmtId="0" fontId="85" fillId="0" borderId="40" xfId="1" applyFont="1" applyBorder="1" applyAlignment="1">
      <alignment horizontal="center" vertical="center" wrapText="1"/>
    </xf>
    <xf numFmtId="0" fontId="85" fillId="0" borderId="57" xfId="1" applyFont="1" applyBorder="1" applyAlignment="1">
      <alignment horizontal="center" vertical="center" wrapText="1"/>
    </xf>
    <xf numFmtId="0" fontId="85" fillId="0" borderId="37" xfId="1" applyFont="1" applyBorder="1" applyAlignment="1">
      <alignment horizontal="center" vertical="center" wrapText="1"/>
    </xf>
    <xf numFmtId="171" fontId="50" fillId="0" borderId="27" xfId="1" applyNumberFormat="1" applyFont="1" applyBorder="1" applyAlignment="1">
      <alignment horizontal="center" wrapText="1"/>
    </xf>
    <xf numFmtId="0" fontId="12" fillId="0" borderId="18" xfId="1" applyBorder="1" applyAlignment="1">
      <alignment horizontal="center" wrapText="1"/>
    </xf>
    <xf numFmtId="0" fontId="25" fillId="0" borderId="40" xfId="1" applyFont="1" applyBorder="1" applyAlignment="1">
      <alignment horizontal="center" vertical="center" wrapText="1"/>
    </xf>
    <xf numFmtId="0" fontId="76" fillId="0" borderId="57" xfId="4" applyBorder="1" applyAlignment="1">
      <alignment horizontal="center" vertical="center" wrapText="1"/>
    </xf>
    <xf numFmtId="0" fontId="76" fillId="0" borderId="37" xfId="4" applyBorder="1" applyAlignment="1">
      <alignment horizontal="center" vertical="center" wrapText="1"/>
    </xf>
    <xf numFmtId="0" fontId="75" fillId="0" borderId="57" xfId="4" applyFont="1" applyBorder="1" applyAlignment="1">
      <alignment horizontal="center" vertical="center" wrapText="1"/>
    </xf>
    <xf numFmtId="0" fontId="75" fillId="0" borderId="37" xfId="4" applyFont="1" applyBorder="1" applyAlignment="1">
      <alignment horizontal="center" vertical="center" wrapText="1"/>
    </xf>
    <xf numFmtId="0" fontId="46" fillId="6" borderId="1" xfId="1" applyFont="1" applyFill="1" applyBorder="1" applyAlignment="1">
      <alignment horizontal="center" vertical="center" wrapText="1"/>
    </xf>
    <xf numFmtId="0" fontId="46" fillId="6" borderId="2" xfId="0" applyFont="1" applyFill="1" applyBorder="1" applyAlignment="1">
      <alignment horizontal="center" vertical="center" wrapText="1"/>
    </xf>
    <xf numFmtId="0" fontId="46" fillId="6" borderId="3" xfId="0" applyFont="1" applyFill="1" applyBorder="1" applyAlignment="1">
      <alignment horizontal="center" vertical="center" wrapText="1"/>
    </xf>
    <xf numFmtId="0" fontId="46" fillId="6" borderId="6" xfId="0" applyFont="1" applyFill="1" applyBorder="1" applyAlignment="1">
      <alignment horizontal="center" vertical="center" wrapText="1"/>
    </xf>
    <xf numFmtId="0" fontId="46" fillId="6" borderId="7" xfId="0" applyFont="1" applyFill="1" applyBorder="1" applyAlignment="1">
      <alignment horizontal="center" vertical="center" wrapText="1"/>
    </xf>
    <xf numFmtId="0" fontId="46" fillId="6" borderId="8" xfId="0" applyFont="1" applyFill="1" applyBorder="1" applyAlignment="1">
      <alignment horizontal="center" vertical="center" wrapText="1"/>
    </xf>
    <xf numFmtId="0" fontId="49" fillId="12" borderId="1" xfId="2" applyFont="1" applyFill="1" applyBorder="1" applyAlignment="1">
      <alignment horizontal="center" vertical="center" wrapText="1"/>
    </xf>
    <xf numFmtId="0" fontId="11" fillId="12" borderId="4" xfId="2" applyFill="1" applyBorder="1" applyAlignment="1">
      <alignment horizontal="center" vertical="center" wrapText="1"/>
    </xf>
    <xf numFmtId="0" fontId="11" fillId="12" borderId="6" xfId="2" applyFill="1" applyBorder="1" applyAlignment="1">
      <alignment horizontal="center" vertical="center" wrapText="1"/>
    </xf>
    <xf numFmtId="0" fontId="49" fillId="12" borderId="3" xfId="2" applyFont="1" applyFill="1" applyBorder="1" applyAlignment="1">
      <alignment horizontal="center" vertical="center" wrapText="1"/>
    </xf>
    <xf numFmtId="0" fontId="11" fillId="12" borderId="5" xfId="2" applyFill="1" applyBorder="1" applyAlignment="1">
      <alignment horizontal="center" vertical="center" wrapText="1"/>
    </xf>
    <xf numFmtId="0" fontId="11" fillId="12" borderId="8" xfId="2" applyFill="1" applyBorder="1" applyAlignment="1">
      <alignment horizontal="center" vertical="center" wrapText="1"/>
    </xf>
    <xf numFmtId="0" fontId="49" fillId="2" borderId="3" xfId="2" applyFont="1" applyFill="1" applyBorder="1" applyAlignment="1">
      <alignment horizontal="center" vertical="center" wrapText="1"/>
    </xf>
    <xf numFmtId="0" fontId="11" fillId="2" borderId="5" xfId="2" applyFill="1" applyBorder="1" applyAlignment="1">
      <alignment horizontal="center" vertical="center" wrapText="1"/>
    </xf>
    <xf numFmtId="0" fontId="11" fillId="2" borderId="8" xfId="2" applyFill="1" applyBorder="1" applyAlignment="1">
      <alignment horizontal="center" vertical="center" wrapText="1"/>
    </xf>
    <xf numFmtId="0" fontId="49" fillId="2" borderId="1" xfId="2" applyFont="1" applyFill="1" applyBorder="1" applyAlignment="1">
      <alignment horizontal="center" vertical="center" wrapText="1"/>
    </xf>
    <xf numFmtId="0" fontId="11" fillId="2" borderId="4" xfId="2" applyFill="1" applyBorder="1" applyAlignment="1">
      <alignment horizontal="center" vertical="center" wrapText="1"/>
    </xf>
    <xf numFmtId="0" fontId="11" fillId="2" borderId="6" xfId="2" applyFill="1" applyBorder="1" applyAlignment="1">
      <alignment horizontal="center" vertical="center" wrapText="1"/>
    </xf>
    <xf numFmtId="0" fontId="57" fillId="12" borderId="58" xfId="0" applyFont="1" applyFill="1" applyBorder="1" applyAlignment="1">
      <alignment horizontal="center" vertical="center" wrapText="1"/>
    </xf>
    <xf numFmtId="0" fontId="57" fillId="12" borderId="0" xfId="0" applyFont="1" applyFill="1" applyBorder="1" applyAlignment="1">
      <alignment horizontal="center" vertical="center" wrapText="1"/>
    </xf>
    <xf numFmtId="0" fontId="0" fillId="0" borderId="0" xfId="0" applyAlignment="1">
      <alignment horizontal="center" vertical="center" wrapText="1"/>
    </xf>
    <xf numFmtId="0" fontId="48" fillId="8" borderId="5" xfId="0" applyFont="1" applyFill="1" applyBorder="1" applyAlignment="1">
      <alignment horizontal="center" vertical="center" wrapText="1"/>
    </xf>
    <xf numFmtId="0" fontId="50" fillId="0" borderId="0" xfId="0" applyFont="1" applyAlignment="1">
      <alignment horizontal="center" vertical="center" wrapText="1"/>
    </xf>
    <xf numFmtId="0" fontId="47" fillId="10" borderId="53" xfId="0" applyFont="1" applyFill="1" applyBorder="1" applyAlignment="1">
      <alignment horizontal="center" vertical="center" wrapText="1"/>
    </xf>
    <xf numFmtId="0" fontId="47" fillId="10" borderId="54" xfId="0" applyFont="1" applyFill="1" applyBorder="1" applyAlignment="1">
      <alignment horizontal="center" vertical="center" wrapText="1"/>
    </xf>
    <xf numFmtId="0" fontId="47" fillId="10" borderId="55" xfId="0" applyFont="1" applyFill="1" applyBorder="1" applyAlignment="1">
      <alignment horizontal="center" vertical="center" wrapText="1"/>
    </xf>
    <xf numFmtId="0" fontId="49" fillId="10" borderId="1" xfId="2" applyFont="1" applyFill="1" applyBorder="1" applyAlignment="1">
      <alignment horizontal="center" vertical="center" wrapText="1"/>
    </xf>
    <xf numFmtId="0" fontId="11" fillId="10" borderId="4" xfId="2" applyFill="1" applyBorder="1" applyAlignment="1">
      <alignment horizontal="center" vertical="center" wrapText="1"/>
    </xf>
    <xf numFmtId="0" fontId="11" fillId="10" borderId="6" xfId="2" applyFill="1" applyBorder="1" applyAlignment="1">
      <alignment horizontal="center" vertical="center" wrapText="1"/>
    </xf>
    <xf numFmtId="0" fontId="49" fillId="10" borderId="3" xfId="2" applyFont="1" applyFill="1" applyBorder="1" applyAlignment="1">
      <alignment horizontal="center" vertical="center" wrapText="1"/>
    </xf>
    <xf numFmtId="0" fontId="11" fillId="10" borderId="5" xfId="2" applyFill="1" applyBorder="1" applyAlignment="1">
      <alignment horizontal="center" vertical="center" wrapText="1"/>
    </xf>
    <xf numFmtId="0" fontId="11" fillId="10" borderId="8" xfId="2" applyFill="1" applyBorder="1" applyAlignment="1">
      <alignment horizontal="center" vertical="center" wrapText="1"/>
    </xf>
    <xf numFmtId="0" fontId="47" fillId="2" borderId="53" xfId="0" applyFont="1" applyFill="1" applyBorder="1" applyAlignment="1">
      <alignment horizontal="center" vertical="center" wrapText="1"/>
    </xf>
    <xf numFmtId="0" fontId="47" fillId="2" borderId="54" xfId="0" applyFont="1" applyFill="1" applyBorder="1" applyAlignment="1">
      <alignment horizontal="center" vertical="center" wrapText="1"/>
    </xf>
    <xf numFmtId="0" fontId="47" fillId="2" borderId="55" xfId="0" applyFont="1" applyFill="1" applyBorder="1" applyAlignment="1">
      <alignment horizontal="center" vertical="center" wrapText="1"/>
    </xf>
    <xf numFmtId="0" fontId="67" fillId="10" borderId="1" xfId="2" applyFont="1" applyFill="1" applyBorder="1" applyAlignment="1">
      <alignment horizontal="center" vertical="center" wrapText="1"/>
    </xf>
    <xf numFmtId="0" fontId="10" fillId="10" borderId="4" xfId="2" applyFont="1" applyFill="1" applyBorder="1" applyAlignment="1">
      <alignment horizontal="center" vertical="center" wrapText="1"/>
    </xf>
    <xf numFmtId="0" fontId="10" fillId="10" borderId="6" xfId="2" applyFont="1" applyFill="1" applyBorder="1" applyAlignment="1">
      <alignment horizontal="center" vertical="center" wrapText="1"/>
    </xf>
    <xf numFmtId="0" fontId="47" fillId="11" borderId="56" xfId="0" applyFont="1" applyFill="1" applyBorder="1" applyAlignment="1">
      <alignment horizontal="center" vertical="center" wrapText="1"/>
    </xf>
    <xf numFmtId="0" fontId="48" fillId="8" borderId="57" xfId="0" applyFont="1" applyFill="1" applyBorder="1" applyAlignment="1">
      <alignment horizontal="center" vertical="center" wrapText="1"/>
    </xf>
    <xf numFmtId="0" fontId="49" fillId="11" borderId="1" xfId="2" applyFont="1" applyFill="1" applyBorder="1" applyAlignment="1">
      <alignment horizontal="center" vertical="center" wrapText="1"/>
    </xf>
    <xf numFmtId="0" fontId="11" fillId="11" borderId="4" xfId="2" applyFill="1" applyBorder="1" applyAlignment="1">
      <alignment horizontal="center" vertical="center" wrapText="1"/>
    </xf>
    <xf numFmtId="0" fontId="11" fillId="11" borderId="6" xfId="2" applyFill="1" applyBorder="1" applyAlignment="1">
      <alignment horizontal="center" vertical="center" wrapText="1"/>
    </xf>
    <xf numFmtId="0" fontId="49" fillId="11" borderId="3" xfId="2" applyFont="1" applyFill="1" applyBorder="1" applyAlignment="1">
      <alignment horizontal="center" vertical="center" wrapText="1"/>
    </xf>
    <xf numFmtId="0" fontId="11" fillId="11" borderId="5" xfId="2" applyFill="1" applyBorder="1" applyAlignment="1">
      <alignment horizontal="center" vertical="center" wrapText="1"/>
    </xf>
    <xf numFmtId="0" fontId="11" fillId="11" borderId="8" xfId="2" applyFill="1" applyBorder="1" applyAlignment="1">
      <alignment horizontal="center" vertical="center" wrapText="1"/>
    </xf>
    <xf numFmtId="0" fontId="49" fillId="11" borderId="4" xfId="2" applyFont="1" applyFill="1" applyBorder="1" applyAlignment="1">
      <alignment horizontal="center" vertical="center" wrapText="1"/>
    </xf>
    <xf numFmtId="0" fontId="49" fillId="11" borderId="5" xfId="2" applyFont="1" applyFill="1" applyBorder="1" applyAlignment="1">
      <alignment horizontal="center" vertical="center" wrapText="1"/>
    </xf>
    <xf numFmtId="0" fontId="58" fillId="8" borderId="5" xfId="0" applyFont="1" applyFill="1" applyBorder="1" applyAlignment="1">
      <alignment horizontal="center" vertical="center" wrapText="1"/>
    </xf>
    <xf numFmtId="0" fontId="59" fillId="6" borderId="53" xfId="0" applyFont="1" applyFill="1" applyBorder="1" applyAlignment="1">
      <alignment horizontal="center" vertical="center" wrapText="1"/>
    </xf>
    <xf numFmtId="0" fontId="59" fillId="6" borderId="54" xfId="0" applyFont="1" applyFill="1" applyBorder="1" applyAlignment="1">
      <alignment horizontal="center" vertical="center" wrapText="1"/>
    </xf>
    <xf numFmtId="0" fontId="59" fillId="6" borderId="55" xfId="0" applyFont="1" applyFill="1" applyBorder="1" applyAlignment="1">
      <alignment horizontal="center" vertical="center" wrapText="1"/>
    </xf>
    <xf numFmtId="0" fontId="60" fillId="0" borderId="5" xfId="0" applyFont="1" applyBorder="1" applyAlignment="1">
      <alignment horizontal="center" vertical="center" wrapText="1"/>
    </xf>
    <xf numFmtId="0" fontId="61" fillId="6" borderId="1" xfId="2" applyFont="1" applyFill="1" applyBorder="1" applyAlignment="1">
      <alignment horizontal="center" vertical="center" wrapText="1"/>
    </xf>
    <xf numFmtId="0" fontId="45" fillId="6" borderId="4" xfId="2" applyFont="1" applyFill="1" applyBorder="1" applyAlignment="1">
      <alignment horizontal="center" vertical="center" wrapText="1"/>
    </xf>
    <xf numFmtId="0" fontId="45" fillId="6" borderId="6" xfId="2" applyFont="1" applyFill="1" applyBorder="1" applyAlignment="1">
      <alignment horizontal="center" vertical="center" wrapText="1"/>
    </xf>
    <xf numFmtId="0" fontId="61" fillId="6" borderId="3" xfId="2" applyFont="1" applyFill="1" applyBorder="1" applyAlignment="1">
      <alignment horizontal="center" vertical="center" wrapText="1"/>
    </xf>
    <xf numFmtId="0" fontId="45" fillId="6" borderId="5" xfId="2" applyFont="1" applyFill="1" applyBorder="1" applyAlignment="1">
      <alignment horizontal="center" vertical="center" wrapText="1"/>
    </xf>
    <xf numFmtId="0" fontId="45" fillId="6" borderId="8" xfId="2" applyFont="1" applyFill="1" applyBorder="1" applyAlignment="1">
      <alignment horizontal="center" vertical="center" wrapText="1"/>
    </xf>
    <xf numFmtId="0" fontId="64" fillId="6" borderId="0" xfId="2" applyFont="1" applyFill="1" applyAlignment="1">
      <alignment horizontal="center" wrapText="1"/>
    </xf>
    <xf numFmtId="0" fontId="36" fillId="6" borderId="0" xfId="0" applyFont="1" applyFill="1" applyAlignment="1">
      <alignment horizontal="center" wrapText="1"/>
    </xf>
    <xf numFmtId="173" fontId="44" fillId="9" borderId="0" xfId="2" applyNumberFormat="1" applyFont="1" applyFill="1" applyAlignment="1">
      <alignment horizontal="center" wrapText="1"/>
    </xf>
    <xf numFmtId="173" fontId="34" fillId="9" borderId="0" xfId="0" applyNumberFormat="1" applyFont="1" applyFill="1" applyAlignment="1">
      <alignment horizontal="center" wrapText="1"/>
    </xf>
    <xf numFmtId="171" fontId="44" fillId="9" borderId="0" xfId="2" applyNumberFormat="1" applyFont="1" applyFill="1" applyAlignment="1">
      <alignment horizontal="center" wrapText="1"/>
    </xf>
    <xf numFmtId="171" fontId="34" fillId="9" borderId="0" xfId="0" applyNumberFormat="1" applyFont="1" applyFill="1" applyAlignment="1">
      <alignment horizontal="center" wrapText="1"/>
    </xf>
    <xf numFmtId="172" fontId="44" fillId="9" borderId="0" xfId="2" applyNumberFormat="1" applyFont="1" applyFill="1" applyAlignment="1">
      <alignment horizontal="center" wrapText="1"/>
    </xf>
    <xf numFmtId="172" fontId="34" fillId="9" borderId="0" xfId="0" applyNumberFormat="1" applyFont="1" applyFill="1" applyAlignment="1">
      <alignment horizontal="center" wrapText="1"/>
    </xf>
    <xf numFmtId="0" fontId="62" fillId="6" borderId="0" xfId="2" applyFont="1" applyFill="1" applyAlignment="1">
      <alignment horizontal="center" wrapText="1"/>
    </xf>
    <xf numFmtId="0" fontId="91" fillId="6" borderId="1" xfId="1" applyFont="1" applyFill="1" applyBorder="1" applyAlignment="1">
      <alignment horizontal="center" vertical="center" wrapText="1"/>
    </xf>
    <xf numFmtId="0" fontId="91" fillId="6" borderId="3" xfId="1" applyFont="1" applyFill="1" applyBorder="1" applyAlignment="1">
      <alignment horizontal="center" vertical="center" wrapText="1"/>
    </xf>
    <xf numFmtId="0" fontId="91" fillId="6" borderId="4" xfId="1" applyFont="1" applyFill="1" applyBorder="1" applyAlignment="1">
      <alignment horizontal="center" vertical="center" wrapText="1"/>
    </xf>
    <xf numFmtId="0" fontId="91" fillId="6" borderId="5" xfId="1" applyFont="1" applyFill="1" applyBorder="1" applyAlignment="1">
      <alignment horizontal="center" vertical="center" wrapText="1"/>
    </xf>
    <xf numFmtId="0" fontId="91" fillId="6" borderId="6" xfId="1" applyFont="1" applyFill="1" applyBorder="1" applyAlignment="1">
      <alignment horizontal="center" vertical="center" wrapText="1"/>
    </xf>
    <xf numFmtId="0" fontId="91" fillId="6" borderId="8" xfId="1" applyFont="1" applyFill="1" applyBorder="1" applyAlignment="1">
      <alignment horizontal="center" vertical="center" wrapText="1"/>
    </xf>
    <xf numFmtId="0" fontId="116" fillId="6" borderId="1" xfId="5" applyFont="1" applyFill="1" applyBorder="1" applyAlignment="1">
      <alignment horizontal="center" vertical="center" wrapText="1"/>
    </xf>
    <xf numFmtId="0" fontId="117" fillId="6" borderId="4" xfId="5" applyFont="1" applyFill="1" applyBorder="1" applyAlignment="1">
      <alignment horizontal="center" vertical="center" wrapText="1"/>
    </xf>
    <xf numFmtId="0" fontId="117" fillId="6" borderId="6" xfId="5" applyFont="1" applyFill="1" applyBorder="1" applyAlignment="1">
      <alignment horizontal="center" vertical="center" wrapText="1"/>
    </xf>
    <xf numFmtId="0" fontId="116" fillId="6" borderId="3" xfId="5" applyFont="1" applyFill="1" applyBorder="1" applyAlignment="1">
      <alignment horizontal="center" vertical="center" wrapText="1"/>
    </xf>
    <xf numFmtId="0" fontId="117" fillId="6" borderId="5" xfId="5" applyFont="1" applyFill="1" applyBorder="1" applyAlignment="1">
      <alignment horizontal="center" vertical="center" wrapText="1"/>
    </xf>
    <xf numFmtId="0" fontId="117" fillId="6" borderId="8" xfId="5" applyFont="1" applyFill="1" applyBorder="1" applyAlignment="1">
      <alignment horizontal="center" vertical="center" wrapText="1"/>
    </xf>
    <xf numFmtId="0" fontId="102" fillId="11" borderId="1" xfId="7" applyFont="1" applyFill="1" applyBorder="1" applyAlignment="1" applyProtection="1">
      <alignment horizontal="center" wrapText="1"/>
      <protection locked="0"/>
    </xf>
    <xf numFmtId="0" fontId="102" fillId="11" borderId="3" xfId="7" applyFont="1" applyFill="1" applyBorder="1" applyAlignment="1" applyProtection="1">
      <alignment horizontal="center" wrapText="1"/>
      <protection locked="0"/>
    </xf>
    <xf numFmtId="0" fontId="44" fillId="11" borderId="4" xfId="0" applyFont="1" applyFill="1" applyBorder="1" applyAlignment="1" applyProtection="1">
      <alignment horizontal="center" vertical="center" wrapText="1"/>
      <protection locked="0"/>
    </xf>
    <xf numFmtId="0" fontId="44" fillId="11" borderId="5" xfId="0" applyFont="1" applyFill="1" applyBorder="1" applyAlignment="1" applyProtection="1">
      <alignment horizontal="center" vertical="center" wrapText="1"/>
      <protection locked="0"/>
    </xf>
    <xf numFmtId="0" fontId="44" fillId="11" borderId="6" xfId="0" applyFont="1" applyFill="1" applyBorder="1" applyAlignment="1" applyProtection="1">
      <alignment horizontal="center" vertical="center" wrapText="1"/>
      <protection locked="0"/>
    </xf>
    <xf numFmtId="0" fontId="44" fillId="11" borderId="8" xfId="0" applyFont="1" applyFill="1" applyBorder="1" applyAlignment="1" applyProtection="1">
      <alignment horizontal="center" vertical="center" wrapText="1"/>
      <protection locked="0"/>
    </xf>
    <xf numFmtId="0" fontId="20" fillId="13" borderId="57" xfId="0" applyFont="1" applyFill="1" applyBorder="1" applyAlignment="1" applyProtection="1">
      <alignment horizontal="center" vertical="center" wrapText="1"/>
      <protection locked="0"/>
    </xf>
    <xf numFmtId="0" fontId="96" fillId="0" borderId="37" xfId="0" applyFont="1" applyBorder="1" applyAlignment="1" applyProtection="1">
      <alignment horizontal="center" vertical="center" wrapText="1"/>
      <protection locked="0"/>
    </xf>
    <xf numFmtId="0" fontId="48" fillId="0" borderId="0" xfId="1" applyFont="1" applyAlignment="1">
      <alignment horizontal="right" wrapText="1"/>
    </xf>
    <xf numFmtId="0" fontId="25" fillId="0" borderId="0" xfId="0" applyFont="1" applyAlignment="1">
      <alignment horizontal="right" wrapText="1"/>
    </xf>
    <xf numFmtId="0" fontId="80" fillId="0" borderId="22" xfId="1" applyFont="1" applyBorder="1" applyAlignment="1">
      <alignment horizontal="right"/>
    </xf>
    <xf numFmtId="0" fontId="80" fillId="0" borderId="91" xfId="1" applyFont="1" applyBorder="1" applyAlignment="1">
      <alignment horizontal="right"/>
    </xf>
    <xf numFmtId="0" fontId="151" fillId="23" borderId="27" xfId="1" applyFont="1" applyFill="1" applyBorder="1" applyAlignment="1">
      <alignment horizontal="right"/>
    </xf>
    <xf numFmtId="0" fontId="152" fillId="23" borderId="27" xfId="1" applyFont="1" applyFill="1" applyBorder="1" applyAlignment="1">
      <alignment horizontal="right"/>
    </xf>
    <xf numFmtId="0" fontId="119" fillId="23" borderId="12" xfId="1" applyFont="1" applyFill="1" applyBorder="1" applyAlignment="1">
      <alignment wrapText="1"/>
    </xf>
    <xf numFmtId="0" fontId="119" fillId="23" borderId="27" xfId="1" applyFont="1" applyFill="1" applyBorder="1" applyAlignment="1">
      <alignment wrapText="1"/>
    </xf>
    <xf numFmtId="0" fontId="119" fillId="23" borderId="18" xfId="1" applyFont="1" applyFill="1" applyBorder="1" applyAlignment="1">
      <alignment wrapText="1"/>
    </xf>
    <xf numFmtId="0" fontId="151" fillId="23" borderId="12" xfId="1" applyFont="1" applyFill="1" applyBorder="1" applyAlignment="1">
      <alignment horizontal="center" vertical="center" wrapText="1"/>
    </xf>
    <xf numFmtId="0" fontId="122" fillId="23" borderId="27" xfId="1" applyFont="1" applyFill="1" applyBorder="1" applyAlignment="1">
      <alignment horizontal="center" vertical="center" wrapText="1"/>
    </xf>
    <xf numFmtId="0" fontId="119" fillId="23" borderId="12" xfId="1" applyFont="1" applyFill="1" applyBorder="1" applyAlignment="1">
      <alignment vertical="center" wrapText="1"/>
    </xf>
    <xf numFmtId="0" fontId="122" fillId="23" borderId="27" xfId="1" applyFont="1" applyFill="1" applyBorder="1" applyAlignment="1">
      <alignment wrapText="1"/>
    </xf>
    <xf numFmtId="0" fontId="122" fillId="23" borderId="18" xfId="1" applyFont="1" applyFill="1" applyBorder="1" applyAlignment="1">
      <alignment wrapText="1"/>
    </xf>
    <xf numFmtId="0" fontId="80" fillId="0" borderId="0" xfId="1" applyFont="1" applyAlignment="1">
      <alignment horizontal="right"/>
    </xf>
    <xf numFmtId="0" fontId="48" fillId="0" borderId="0" xfId="1" applyFont="1" applyAlignment="1">
      <alignment horizontal="right" vertical="center" wrapText="1"/>
    </xf>
    <xf numFmtId="0" fontId="48" fillId="0" borderId="0" xfId="0" applyFont="1" applyAlignment="1">
      <alignment horizontal="right" vertical="center" wrapText="1"/>
    </xf>
    <xf numFmtId="0" fontId="0" fillId="0" borderId="0" xfId="0" applyAlignment="1">
      <alignment wrapText="1"/>
    </xf>
    <xf numFmtId="0" fontId="119" fillId="4" borderId="0" xfId="1" applyFont="1" applyFill="1" applyAlignment="1">
      <alignment vertical="center" wrapText="1"/>
    </xf>
    <xf numFmtId="0" fontId="56" fillId="0" borderId="0" xfId="1" applyFont="1" applyAlignment="1">
      <alignment wrapText="1"/>
    </xf>
    <xf numFmtId="0" fontId="56" fillId="0" borderId="5" xfId="1" applyFont="1" applyBorder="1" applyAlignment="1">
      <alignment wrapText="1"/>
    </xf>
    <xf numFmtId="0" fontId="119" fillId="6" borderId="12" xfId="1" applyFont="1" applyFill="1" applyBorder="1" applyAlignment="1">
      <alignment vertical="center" wrapText="1"/>
    </xf>
    <xf numFmtId="0" fontId="56" fillId="0" borderId="27" xfId="1" applyFont="1" applyBorder="1" applyAlignment="1">
      <alignment vertical="center" wrapText="1"/>
    </xf>
    <xf numFmtId="0" fontId="56" fillId="0" borderId="18" xfId="1" applyFont="1" applyBorder="1" applyAlignment="1">
      <alignment vertical="center" wrapText="1"/>
    </xf>
    <xf numFmtId="0" fontId="56" fillId="0" borderId="0" xfId="1" applyFont="1" applyFill="1"/>
    <xf numFmtId="0" fontId="56" fillId="0" borderId="0" xfId="1" applyFont="1"/>
    <xf numFmtId="0" fontId="122" fillId="0" borderId="27" xfId="1" applyFont="1" applyBorder="1" applyAlignment="1">
      <alignment vertical="center" wrapText="1"/>
    </xf>
    <xf numFmtId="0" fontId="122" fillId="0" borderId="18" xfId="1" applyFont="1" applyBorder="1" applyAlignment="1">
      <alignment vertical="center" wrapText="1"/>
    </xf>
    <xf numFmtId="0" fontId="56" fillId="0" borderId="27" xfId="1" applyFont="1" applyBorder="1" applyAlignment="1">
      <alignment wrapText="1"/>
    </xf>
    <xf numFmtId="0" fontId="56" fillId="0" borderId="18" xfId="1" applyFont="1" applyBorder="1" applyAlignment="1">
      <alignment wrapText="1"/>
    </xf>
    <xf numFmtId="0" fontId="119" fillId="6" borderId="12" xfId="1" applyFont="1" applyFill="1" applyBorder="1" applyAlignment="1">
      <alignment horizontal="left" vertical="center" wrapText="1"/>
    </xf>
    <xf numFmtId="0" fontId="144" fillId="0" borderId="27" xfId="23" applyFont="1" applyBorder="1" applyAlignment="1">
      <alignment horizontal="left" vertical="center" wrapText="1"/>
    </xf>
    <xf numFmtId="0" fontId="144" fillId="0" borderId="18" xfId="23" applyFont="1" applyBorder="1" applyAlignment="1">
      <alignment horizontal="left" vertical="center" wrapText="1"/>
    </xf>
    <xf numFmtId="0" fontId="130" fillId="13" borderId="1" xfId="1" applyFont="1" applyFill="1" applyBorder="1"/>
    <xf numFmtId="0" fontId="131" fillId="13" borderId="3" xfId="1" applyFont="1" applyFill="1" applyBorder="1"/>
    <xf numFmtId="0" fontId="116" fillId="6" borderId="1" xfId="19" applyFont="1" applyFill="1" applyBorder="1" applyAlignment="1">
      <alignment horizontal="center" vertical="center" wrapText="1"/>
    </xf>
    <xf numFmtId="0" fontId="117" fillId="6" borderId="4" xfId="19" applyFont="1" applyFill="1" applyBorder="1" applyAlignment="1">
      <alignment horizontal="center" vertical="center" wrapText="1"/>
    </xf>
    <xf numFmtId="0" fontId="117" fillId="6" borderId="6" xfId="19" applyFont="1" applyFill="1" applyBorder="1" applyAlignment="1">
      <alignment horizontal="center" vertical="center" wrapText="1"/>
    </xf>
    <xf numFmtId="0" fontId="116" fillId="6" borderId="3" xfId="19" applyFont="1" applyFill="1" applyBorder="1" applyAlignment="1">
      <alignment horizontal="center" vertical="center" wrapText="1"/>
    </xf>
    <xf numFmtId="0" fontId="117" fillId="6" borderId="5" xfId="19" applyFont="1" applyFill="1" applyBorder="1" applyAlignment="1">
      <alignment horizontal="center" vertical="center" wrapText="1"/>
    </xf>
    <xf numFmtId="0" fontId="117" fillId="6" borderId="8" xfId="19" applyFont="1" applyFill="1" applyBorder="1" applyAlignment="1">
      <alignment horizontal="center" vertical="center" wrapText="1"/>
    </xf>
    <xf numFmtId="0" fontId="130" fillId="13" borderId="4" xfId="1" applyFont="1" applyFill="1" applyBorder="1"/>
    <xf numFmtId="0" fontId="130" fillId="13" borderId="5" xfId="1" applyFont="1" applyFill="1" applyBorder="1"/>
    <xf numFmtId="0" fontId="130" fillId="13" borderId="6" xfId="1" applyFont="1" applyFill="1" applyBorder="1"/>
    <xf numFmtId="0" fontId="130" fillId="13" borderId="8" xfId="1" applyFont="1" applyFill="1" applyBorder="1"/>
    <xf numFmtId="49" fontId="25" fillId="18" borderId="1" xfId="1" applyNumberFormat="1" applyFont="1" applyFill="1" applyBorder="1" applyAlignment="1">
      <alignment horizontal="center" wrapText="1"/>
    </xf>
    <xf numFmtId="0" fontId="25" fillId="0" borderId="3" xfId="1" applyNumberFormat="1" applyFont="1" applyBorder="1" applyAlignment="1">
      <alignment horizontal="center" wrapText="1"/>
    </xf>
    <xf numFmtId="1" fontId="25" fillId="18" borderId="4" xfId="1" applyNumberFormat="1" applyFont="1" applyFill="1" applyBorder="1" applyAlignment="1">
      <alignment horizontal="center" wrapText="1"/>
    </xf>
    <xf numFmtId="1" fontId="25" fillId="0" borderId="5" xfId="1" applyNumberFormat="1" applyFont="1" applyBorder="1" applyAlignment="1">
      <alignment horizontal="center" wrapText="1"/>
    </xf>
    <xf numFmtId="0" fontId="25" fillId="18" borderId="4" xfId="1" applyFont="1" applyFill="1" applyBorder="1" applyAlignment="1">
      <alignment horizontal="center" wrapText="1"/>
    </xf>
    <xf numFmtId="0" fontId="25" fillId="0" borderId="5" xfId="1" applyFont="1" applyBorder="1" applyAlignment="1">
      <alignment horizontal="center" wrapText="1"/>
    </xf>
    <xf numFmtId="172" fontId="25" fillId="18" borderId="6" xfId="1" applyNumberFormat="1" applyFont="1" applyFill="1" applyBorder="1" applyAlignment="1">
      <alignment horizontal="center" wrapText="1"/>
    </xf>
    <xf numFmtId="0" fontId="25" fillId="0" borderId="8" xfId="1" applyFont="1" applyBorder="1" applyAlignment="1">
      <alignment horizontal="center" wrapText="1"/>
    </xf>
    <xf numFmtId="0" fontId="99" fillId="17" borderId="6" xfId="1" applyFont="1" applyFill="1" applyBorder="1" applyAlignment="1">
      <alignment wrapText="1"/>
    </xf>
    <xf numFmtId="0" fontId="126" fillId="0" borderId="8" xfId="20" applyBorder="1" applyAlignment="1">
      <alignment wrapText="1"/>
    </xf>
    <xf numFmtId="0" fontId="30" fillId="6" borderId="12" xfId="1" applyFont="1" applyFill="1" applyBorder="1" applyAlignment="1">
      <alignment wrapText="1"/>
    </xf>
    <xf numFmtId="0" fontId="36" fillId="0" borderId="18" xfId="20" applyFont="1" applyBorder="1" applyAlignment="1">
      <alignment wrapText="1"/>
    </xf>
    <xf numFmtId="0" fontId="30" fillId="23" borderId="1" xfId="1" applyFont="1" applyFill="1" applyBorder="1" applyAlignment="1">
      <alignment horizontal="left" wrapText="1"/>
    </xf>
    <xf numFmtId="0" fontId="30" fillId="23" borderId="3" xfId="20" applyFont="1" applyFill="1" applyBorder="1" applyAlignment="1">
      <alignment horizontal="left" wrapText="1"/>
    </xf>
    <xf numFmtId="0" fontId="30" fillId="23" borderId="6" xfId="1" applyFont="1" applyFill="1" applyBorder="1" applyAlignment="1">
      <alignment horizontal="left" vertical="center" wrapText="1"/>
    </xf>
    <xf numFmtId="0" fontId="25" fillId="23" borderId="8" xfId="20" applyFont="1" applyFill="1" applyBorder="1" applyAlignment="1">
      <alignment horizontal="left" vertical="center" wrapText="1"/>
    </xf>
    <xf numFmtId="0" fontId="58" fillId="13" borderId="4" xfId="1" applyFont="1" applyFill="1" applyBorder="1"/>
    <xf numFmtId="0" fontId="125" fillId="13" borderId="5" xfId="1" applyFont="1" applyFill="1" applyBorder="1"/>
    <xf numFmtId="0" fontId="58" fillId="13" borderId="6" xfId="1" applyFont="1" applyFill="1" applyBorder="1"/>
    <xf numFmtId="0" fontId="125" fillId="13" borderId="8" xfId="1" applyFont="1" applyFill="1" applyBorder="1"/>
    <xf numFmtId="49" fontId="25" fillId="13" borderId="1" xfId="1" applyNumberFormat="1" applyFont="1" applyFill="1" applyBorder="1" applyAlignment="1">
      <alignment horizontal="center" wrapText="1"/>
    </xf>
    <xf numFmtId="1" fontId="25" fillId="13" borderId="4" xfId="1" applyNumberFormat="1" applyFont="1" applyFill="1" applyBorder="1" applyAlignment="1">
      <alignment horizontal="center" wrapText="1"/>
    </xf>
    <xf numFmtId="0" fontId="25" fillId="13" borderId="4" xfId="1" applyFont="1" applyFill="1" applyBorder="1" applyAlignment="1">
      <alignment horizontal="center" wrapText="1"/>
    </xf>
    <xf numFmtId="172" fontId="25" fillId="13" borderId="6" xfId="1" applyNumberFormat="1" applyFont="1" applyFill="1" applyBorder="1" applyAlignment="1">
      <alignment horizontal="center" wrapText="1"/>
    </xf>
    <xf numFmtId="0" fontId="25" fillId="0" borderId="8" xfId="1" applyFont="1" applyBorder="1" applyAlignment="1">
      <alignment wrapText="1"/>
    </xf>
    <xf numFmtId="0" fontId="25" fillId="11" borderId="4" xfId="1" applyFont="1" applyFill="1" applyBorder="1" applyAlignment="1">
      <alignment horizontal="right" wrapText="1"/>
    </xf>
    <xf numFmtId="0" fontId="25" fillId="11" borderId="0" xfId="1" applyFont="1" applyFill="1" applyAlignment="1">
      <alignment horizontal="right" wrapText="1"/>
    </xf>
    <xf numFmtId="0" fontId="58" fillId="13" borderId="1" xfId="1" applyFont="1" applyFill="1" applyBorder="1"/>
    <xf numFmtId="0" fontId="125" fillId="13" borderId="3" xfId="1" applyFont="1" applyFill="1" applyBorder="1"/>
    <xf numFmtId="0" fontId="116" fillId="6" borderId="1" xfId="18" applyFont="1" applyFill="1" applyBorder="1" applyAlignment="1">
      <alignment horizontal="center" vertical="center" wrapText="1"/>
    </xf>
    <xf numFmtId="0" fontId="117" fillId="6" borderId="4" xfId="18" applyFont="1" applyFill="1" applyBorder="1" applyAlignment="1">
      <alignment horizontal="center" vertical="center" wrapText="1"/>
    </xf>
    <xf numFmtId="0" fontId="117" fillId="6" borderId="6" xfId="18" applyFont="1" applyFill="1" applyBorder="1" applyAlignment="1">
      <alignment horizontal="center" vertical="center" wrapText="1"/>
    </xf>
    <xf numFmtId="0" fontId="116" fillId="6" borderId="3" xfId="18" applyFont="1" applyFill="1" applyBorder="1" applyAlignment="1">
      <alignment horizontal="center" vertical="center" wrapText="1"/>
    </xf>
    <xf numFmtId="0" fontId="117" fillId="6" borderId="5" xfId="18" applyFont="1" applyFill="1" applyBorder="1" applyAlignment="1">
      <alignment horizontal="center" vertical="center" wrapText="1"/>
    </xf>
    <xf numFmtId="0" fontId="117" fillId="6" borderId="8" xfId="18" applyFont="1" applyFill="1" applyBorder="1" applyAlignment="1">
      <alignment horizontal="center" vertical="center" wrapText="1"/>
    </xf>
    <xf numFmtId="172" fontId="25" fillId="0" borderId="8" xfId="0" applyNumberFormat="1" applyFont="1" applyBorder="1" applyAlignment="1">
      <alignment horizontal="center" wrapText="1"/>
    </xf>
    <xf numFmtId="0" fontId="23" fillId="13" borderId="1" xfId="1" applyFont="1" applyFill="1" applyBorder="1"/>
    <xf numFmtId="0" fontId="34" fillId="13" borderId="3" xfId="1" applyFont="1" applyFill="1" applyBorder="1"/>
    <xf numFmtId="0" fontId="116" fillId="6" borderId="1" xfId="10" applyFont="1" applyFill="1" applyBorder="1" applyAlignment="1">
      <alignment horizontal="center" vertical="center" wrapText="1"/>
    </xf>
    <xf numFmtId="0" fontId="117" fillId="6" borderId="4" xfId="10" applyFont="1" applyFill="1" applyBorder="1" applyAlignment="1">
      <alignment horizontal="center" vertical="center" wrapText="1"/>
    </xf>
    <xf numFmtId="0" fontId="117" fillId="6" borderId="6" xfId="10" applyFont="1" applyFill="1" applyBorder="1" applyAlignment="1">
      <alignment horizontal="center" vertical="center" wrapText="1"/>
    </xf>
    <xf numFmtId="0" fontId="116" fillId="6" borderId="3" xfId="10" applyFont="1" applyFill="1" applyBorder="1" applyAlignment="1">
      <alignment horizontal="center" vertical="center" wrapText="1"/>
    </xf>
    <xf numFmtId="0" fontId="117" fillId="6" borderId="5" xfId="10" applyFont="1" applyFill="1" applyBorder="1" applyAlignment="1">
      <alignment horizontal="center" vertical="center" wrapText="1"/>
    </xf>
    <xf numFmtId="0" fontId="117" fillId="6" borderId="8" xfId="10" applyFont="1" applyFill="1" applyBorder="1" applyAlignment="1">
      <alignment horizontal="center" vertical="center" wrapText="1"/>
    </xf>
    <xf numFmtId="0" fontId="23" fillId="13" borderId="4" xfId="1" applyFont="1" applyFill="1" applyBorder="1"/>
    <xf numFmtId="0" fontId="34" fillId="13" borderId="5" xfId="1" applyFont="1" applyFill="1" applyBorder="1"/>
    <xf numFmtId="0" fontId="23" fillId="13" borderId="6" xfId="1" applyFont="1" applyFill="1" applyBorder="1"/>
    <xf numFmtId="0" fontId="34" fillId="13" borderId="8" xfId="1" applyFont="1" applyFill="1" applyBorder="1"/>
    <xf numFmtId="0" fontId="25" fillId="0" borderId="3" xfId="0" applyNumberFormat="1" applyFont="1" applyBorder="1" applyAlignment="1">
      <alignment horizontal="center" wrapText="1"/>
    </xf>
    <xf numFmtId="3" fontId="25" fillId="18" borderId="4" xfId="1" applyNumberFormat="1" applyFont="1" applyFill="1" applyBorder="1" applyAlignment="1">
      <alignment horizontal="center" wrapText="1"/>
    </xf>
    <xf numFmtId="0" fontId="25" fillId="0" borderId="5" xfId="0" applyFont="1" applyBorder="1" applyAlignment="1">
      <alignment horizontal="center" wrapText="1"/>
    </xf>
    <xf numFmtId="0" fontId="92" fillId="6" borderId="1" xfId="13" applyFont="1" applyFill="1" applyBorder="1" applyAlignment="1">
      <alignment horizontal="center" vertical="center" wrapText="1"/>
    </xf>
    <xf numFmtId="0" fontId="93" fillId="6" borderId="4" xfId="13" applyFont="1" applyFill="1" applyBorder="1" applyAlignment="1">
      <alignment horizontal="center" vertical="center" wrapText="1"/>
    </xf>
    <xf numFmtId="0" fontId="93" fillId="6" borderId="6" xfId="13" applyFont="1" applyFill="1" applyBorder="1" applyAlignment="1">
      <alignment horizontal="center" vertical="center" wrapText="1"/>
    </xf>
    <xf numFmtId="0" fontId="92" fillId="6" borderId="3" xfId="13" applyFont="1" applyFill="1" applyBorder="1" applyAlignment="1">
      <alignment horizontal="center" vertical="center" wrapText="1"/>
    </xf>
    <xf numFmtId="0" fontId="93" fillId="6" borderId="5" xfId="13" applyFont="1" applyFill="1" applyBorder="1" applyAlignment="1">
      <alignment horizontal="center" vertical="center" wrapText="1"/>
    </xf>
    <xf numFmtId="0" fontId="93" fillId="6" borderId="8" xfId="13" applyFont="1" applyFill="1" applyBorder="1" applyAlignment="1">
      <alignment horizontal="center" vertical="center" wrapText="1"/>
    </xf>
    <xf numFmtId="0" fontId="16" fillId="13" borderId="1" xfId="1" applyFont="1" applyFill="1" applyBorder="1"/>
    <xf numFmtId="0" fontId="12" fillId="13" borderId="3" xfId="1" applyFill="1" applyBorder="1"/>
    <xf numFmtId="0" fontId="116" fillId="6" borderId="1" xfId="13" applyFont="1" applyFill="1" applyBorder="1" applyAlignment="1">
      <alignment horizontal="center" vertical="center" wrapText="1"/>
    </xf>
    <xf numFmtId="0" fontId="117" fillId="6" borderId="4" xfId="13" applyFont="1" applyFill="1" applyBorder="1" applyAlignment="1">
      <alignment horizontal="center" vertical="center" wrapText="1"/>
    </xf>
    <xf numFmtId="0" fontId="117" fillId="6" borderId="6" xfId="13" applyFont="1" applyFill="1" applyBorder="1" applyAlignment="1">
      <alignment horizontal="center" vertical="center" wrapText="1"/>
    </xf>
    <xf numFmtId="0" fontId="116" fillId="6" borderId="3" xfId="13" applyFont="1" applyFill="1" applyBorder="1" applyAlignment="1">
      <alignment horizontal="center" vertical="center" wrapText="1"/>
    </xf>
    <xf numFmtId="0" fontId="117" fillId="6" borderId="5" xfId="13" applyFont="1" applyFill="1" applyBorder="1" applyAlignment="1">
      <alignment horizontal="center" vertical="center" wrapText="1"/>
    </xf>
    <xf numFmtId="0" fontId="117" fillId="6" borderId="8" xfId="13" applyFont="1" applyFill="1" applyBorder="1" applyAlignment="1">
      <alignment horizontal="center" vertical="center" wrapText="1"/>
    </xf>
    <xf numFmtId="0" fontId="16" fillId="13" borderId="4" xfId="1" applyFont="1" applyFill="1" applyBorder="1"/>
    <xf numFmtId="0" fontId="12" fillId="13" borderId="5" xfId="1" applyFill="1" applyBorder="1"/>
    <xf numFmtId="0" fontId="16" fillId="13" borderId="6" xfId="1" applyFont="1" applyFill="1" applyBorder="1"/>
    <xf numFmtId="0" fontId="12" fillId="13" borderId="8" xfId="1" applyFill="1" applyBorder="1"/>
    <xf numFmtId="49" fontId="12" fillId="18" borderId="1" xfId="1" applyNumberFormat="1" applyFill="1" applyBorder="1" applyAlignment="1">
      <alignment horizontal="center" wrapText="1"/>
    </xf>
    <xf numFmtId="0" fontId="0" fillId="0" borderId="3" xfId="0" applyNumberFormat="1" applyBorder="1" applyAlignment="1">
      <alignment horizontal="center" wrapText="1"/>
    </xf>
    <xf numFmtId="0" fontId="12" fillId="18" borderId="4" xfId="1" applyFill="1" applyBorder="1" applyAlignment="1">
      <alignment horizontal="center" wrapText="1"/>
    </xf>
    <xf numFmtId="0" fontId="0" fillId="0" borderId="5" xfId="0" applyBorder="1" applyAlignment="1">
      <alignment horizontal="center" wrapText="1"/>
    </xf>
    <xf numFmtId="0" fontId="23" fillId="13" borderId="1" xfId="0" applyFont="1" applyFill="1" applyBorder="1" applyProtection="1"/>
    <xf numFmtId="0" fontId="34" fillId="13" borderId="3" xfId="0" applyFont="1" applyFill="1" applyBorder="1" applyProtection="1"/>
    <xf numFmtId="0" fontId="23" fillId="13" borderId="4" xfId="0" applyFont="1" applyFill="1" applyBorder="1" applyProtection="1"/>
    <xf numFmtId="0" fontId="34" fillId="13" borderId="5" xfId="0" applyFont="1" applyFill="1" applyBorder="1" applyProtection="1"/>
    <xf numFmtId="0" fontId="23" fillId="13" borderId="6" xfId="0" applyFont="1" applyFill="1" applyBorder="1" applyProtection="1"/>
    <xf numFmtId="0" fontId="34" fillId="13" borderId="8" xfId="0" applyFont="1" applyFill="1" applyBorder="1" applyProtection="1"/>
    <xf numFmtId="49" fontId="25" fillId="18" borderId="1" xfId="0" applyNumberFormat="1" applyFont="1" applyFill="1" applyBorder="1" applyAlignment="1">
      <alignment horizontal="center" wrapText="1"/>
    </xf>
    <xf numFmtId="0" fontId="25" fillId="0" borderId="3" xfId="0" applyFont="1" applyBorder="1" applyAlignment="1">
      <alignment horizontal="center" wrapText="1"/>
    </xf>
    <xf numFmtId="165" fontId="25" fillId="18" borderId="6" xfId="1" applyNumberFormat="1" applyFont="1" applyFill="1" applyBorder="1" applyAlignment="1">
      <alignment horizontal="center" wrapText="1"/>
    </xf>
    <xf numFmtId="165" fontId="25" fillId="0" borderId="8" xfId="16" applyNumberFormat="1" applyFont="1" applyBorder="1" applyAlignment="1">
      <alignment horizontal="center" wrapText="1"/>
    </xf>
    <xf numFmtId="0" fontId="116" fillId="6" borderId="1" xfId="15" applyFont="1" applyFill="1" applyBorder="1" applyAlignment="1">
      <alignment horizontal="center" vertical="center" wrapText="1"/>
    </xf>
    <xf numFmtId="0" fontId="117" fillId="6" borderId="4" xfId="15" applyFont="1" applyFill="1" applyBorder="1" applyAlignment="1">
      <alignment horizontal="center" vertical="center" wrapText="1"/>
    </xf>
    <xf numFmtId="0" fontId="117" fillId="6" borderId="6" xfId="15" applyFont="1" applyFill="1" applyBorder="1" applyAlignment="1">
      <alignment horizontal="center" vertical="center" wrapText="1"/>
    </xf>
    <xf numFmtId="0" fontId="116" fillId="6" borderId="3" xfId="15" applyFont="1" applyFill="1" applyBorder="1" applyAlignment="1">
      <alignment horizontal="center" vertical="center" wrapText="1"/>
    </xf>
    <xf numFmtId="0" fontId="117" fillId="6" borderId="5" xfId="15" applyFont="1" applyFill="1" applyBorder="1" applyAlignment="1">
      <alignment horizontal="center" vertical="center" wrapText="1"/>
    </xf>
    <xf numFmtId="0" fontId="117" fillId="6" borderId="8" xfId="15" applyFont="1" applyFill="1" applyBorder="1" applyAlignment="1">
      <alignment horizontal="center" vertical="center" wrapText="1"/>
    </xf>
    <xf numFmtId="0" fontId="25" fillId="0" borderId="3" xfId="16" applyNumberFormat="1" applyFont="1" applyBorder="1" applyAlignment="1">
      <alignment horizontal="center" wrapText="1"/>
    </xf>
    <xf numFmtId="0" fontId="25" fillId="0" borderId="5" xfId="16" applyFont="1" applyBorder="1" applyAlignment="1">
      <alignment horizontal="center" wrapText="1"/>
    </xf>
    <xf numFmtId="164" fontId="1" fillId="0" borderId="0" xfId="5" applyNumberFormat="1" applyFont="1"/>
  </cellXfs>
  <cellStyles count="24">
    <cellStyle name="Lien hypertexte" xfId="7" builtinId="8"/>
    <cellStyle name="Milliers 2" xfId="21" xr:uid="{14AE5192-59C0-6E47-B891-4CD6873607EF}"/>
    <cellStyle name="Monétaire" xfId="8" builtinId="4"/>
    <cellStyle name="Monétaire 2 2" xfId="6" xr:uid="{05F5C4A5-8EFC-9342-808C-04F9B6ADDE68}"/>
    <cellStyle name="Monétaire 2 2 2" xfId="22" xr:uid="{59E9298B-32D7-BA40-818C-03AED46A3E5B}"/>
    <cellStyle name="Monétaire 4" xfId="17" xr:uid="{0159624C-9C9A-E248-8B60-4593FA35CFB5}"/>
    <cellStyle name="Monétaire 5" xfId="11" xr:uid="{DB9AE810-EDAB-BA46-AAB1-567C96F1FA41}"/>
    <cellStyle name="Monétaire 5 2" xfId="14" xr:uid="{2EC0505F-68BC-8B4F-88CF-222F316314F0}"/>
    <cellStyle name="Normal" xfId="0" builtinId="0"/>
    <cellStyle name="Normal 2" xfId="1" xr:uid="{86A5D925-9503-1049-A77D-DF2B122CC54F}"/>
    <cellStyle name="Normal 2 2" xfId="4" xr:uid="{407002A1-60B4-DB4E-BC75-782B34BA71A4}"/>
    <cellStyle name="Normal 3" xfId="3" xr:uid="{179188D3-A9ED-754D-8DA1-047C734FD9E3}"/>
    <cellStyle name="Normal 3 2" xfId="2" xr:uid="{2C7B5307-EA86-8D49-ACB2-624D80B120C0}"/>
    <cellStyle name="Normal 3 2 2" xfId="5" xr:uid="{480976B8-A649-4841-B3EE-86C5EB99FB28}"/>
    <cellStyle name="Normal 3 2 3" xfId="10" xr:uid="{3977D292-0014-DB43-A635-68A4E15AA267}"/>
    <cellStyle name="Normal 3 2 4" xfId="13" xr:uid="{B53BE3AF-2F13-6544-9950-20E5771C1FF3}"/>
    <cellStyle name="Normal 3 2 5" xfId="15" xr:uid="{783C03CA-F670-F246-99D6-35E8805690B3}"/>
    <cellStyle name="Normal 3 2 6" xfId="18" xr:uid="{93AEC211-2F2A-AB4D-9060-9F3F2A032E5D}"/>
    <cellStyle name="Normal 3 2 7" xfId="19" xr:uid="{32D3D269-7B3D-8944-A16D-D320E10CF681}"/>
    <cellStyle name="Normal 3 3" xfId="23" xr:uid="{DE851C88-AB97-E744-857A-4DB1FF1D979E}"/>
    <cellStyle name="Normal 4" xfId="16" xr:uid="{4CAC299B-28C4-DD4B-BD2D-C84CBA313FD6}"/>
    <cellStyle name="Normal 5" xfId="20" xr:uid="{D928616A-9E82-3542-AB00-88B37D3316F6}"/>
    <cellStyle name="Pourcentage" xfId="9" builtinId="5"/>
    <cellStyle name="Pourcentage 2" xfId="12" xr:uid="{8A29BDC9-0A60-9C4C-ACBD-E22D7973CC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de&#768;leBudge&#769;tai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2021"/>
      <sheetName val="Achalandage 2021"/>
      <sheetName val="% Occupation"/>
      <sheetName val="Formule pour le calcul D"/>
      <sheetName val="Calcul CmO et PmO"/>
      <sheetName val="Coût marchandises vendues"/>
      <sheetName val="État des Résultats"/>
      <sheetName val=" Total des coûts de MO"/>
      <sheetName val="Salaire (planification)"/>
      <sheetName val="Coût d'occupation "/>
      <sheetName val="Coût direct d'exploitation "/>
      <sheetName val="Musique &amp; Divertissement"/>
      <sheetName val="Mark &amp; Communication marketing"/>
      <sheetName val="Services publics"/>
      <sheetName val="Administration &amp; Frais généraux"/>
      <sheetName val="Entretien &amp; Réparation"/>
      <sheetName val="Frais financier"/>
      <sheetName val="Amortissement"/>
      <sheetName val="Feuil1"/>
      <sheetName val="Bilan début-fin"/>
      <sheetName val="Tableau de trésorerie"/>
      <sheetName val="Ind. de performance"/>
      <sheetName val="Questions"/>
      <sheetName val="État des Résultats (2)"/>
      <sheetName val="Bilan"/>
    </sheetNames>
    <sheetDataSet>
      <sheetData sheetId="0">
        <row r="8">
          <cell r="L8">
            <v>30</v>
          </cell>
        </row>
        <row r="34">
          <cell r="C34" t="str">
            <v>Vendredi</v>
          </cell>
        </row>
      </sheetData>
      <sheetData sheetId="1"/>
      <sheetData sheetId="2"/>
      <sheetData sheetId="3">
        <row r="103">
          <cell r="BA103" t="str">
            <v>Coût annuel</v>
          </cell>
          <cell r="BC103" t="str">
            <v>Achalandage annuelle</v>
          </cell>
          <cell r="BF103" t="str">
            <v>Um/A</v>
          </cell>
          <cell r="BH103" t="str">
            <v>CmO</v>
          </cell>
          <cell r="BM103" t="str">
            <v>Bénéfice annuel</v>
          </cell>
          <cell r="BO103" t="str">
            <v>Achalandage annuelle</v>
          </cell>
          <cell r="BR103" t="str">
            <v>Um/A</v>
          </cell>
          <cell r="BT103" t="str">
            <v>BmO</v>
          </cell>
        </row>
        <row r="105">
          <cell r="BA105" t="str">
            <v xml:space="preserve">C </v>
          </cell>
          <cell r="BC105" t="str">
            <v>A</v>
          </cell>
          <cell r="BM105" t="str">
            <v xml:space="preserve">B </v>
          </cell>
          <cell r="BO105" t="str">
            <v>A</v>
          </cell>
        </row>
      </sheetData>
      <sheetData sheetId="4"/>
      <sheetData sheetId="5"/>
      <sheetData sheetId="6">
        <row r="14">
          <cell r="AR14">
            <v>1054528.0191666665</v>
          </cell>
        </row>
        <row r="21">
          <cell r="C21" t="str">
            <v xml:space="preserve">   Total des coûts de la main-d’œuvre</v>
          </cell>
        </row>
      </sheetData>
      <sheetData sheetId="7"/>
      <sheetData sheetId="8"/>
      <sheetData sheetId="9"/>
      <sheetData sheetId="10"/>
      <sheetData sheetId="11"/>
      <sheetData sheetId="12">
        <row r="6">
          <cell r="E6" t="str">
            <v>Coût / place / jour</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rimag.com/Cout-d-occupation-GL-7300-7399" TargetMode="External"/></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rimag.com/Cout-direct-d-exploitation-GL-7400-7499" TargetMode="External"/></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hrimag.com/Musique-Divertissement-GL-7500-7599" TargetMode="External"/></Relationships>
</file>

<file path=xl/worksheets/_rels/sheet1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hyperlink" Target="https://www.hrimag.com/Services-publics-GL-7700-7799" TargetMode="External"/></Relationships>
</file>

<file path=xl/worksheets/_rels/sheet1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hyperlink" Target="https://www.hrimag.com/Entretien-Reparations-GL-7900-7999"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hyperlink" Target="https://www.hrimag.com/Le-code-7225-Groupe-industriel-Restaurants-a-service-complet-et-etabliss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D62D7-C640-6249-BE23-37FCE9E311DD}">
  <sheetPr codeName="Feuil1">
    <tabColor theme="1"/>
  </sheetPr>
  <dimension ref="B1:R53"/>
  <sheetViews>
    <sheetView tabSelected="1" zoomScale="125" workbookViewId="0">
      <pane xSplit="3" ySplit="7" topLeftCell="D8" activePane="bottomRight" state="frozen"/>
      <selection activeCell="B5" sqref="B5"/>
      <selection pane="topRight" activeCell="D7" sqref="D7"/>
      <selection pane="bottomLeft" activeCell="C47" sqref="C47"/>
      <selection pane="bottomRight" activeCell="B47" sqref="B47"/>
    </sheetView>
  </sheetViews>
  <sheetFormatPr baseColWidth="10" defaultRowHeight="13" x14ac:dyDescent="0.15"/>
  <cols>
    <col min="1" max="1" width="1.5" customWidth="1"/>
    <col min="2" max="2" width="2.5" customWidth="1"/>
    <col min="4" max="16" width="15.83203125" customWidth="1"/>
    <col min="17" max="17" width="3.6640625" customWidth="1"/>
    <col min="18" max="18" width="21.83203125" customWidth="1"/>
    <col min="22" max="23" width="12.33203125" bestFit="1" customWidth="1"/>
  </cols>
  <sheetData>
    <row r="1" spans="2:18" ht="14" thickBot="1" x14ac:dyDescent="0.2"/>
    <row r="2" spans="2:18" ht="19" thickTop="1" x14ac:dyDescent="0.2">
      <c r="B2" s="1264" t="s">
        <v>35</v>
      </c>
      <c r="C2" s="1265"/>
      <c r="D2" s="1265"/>
      <c r="E2" s="1265"/>
      <c r="F2" s="1265"/>
      <c r="G2" s="1265"/>
      <c r="H2" s="1265"/>
      <c r="I2" s="1265"/>
      <c r="J2" s="1265"/>
      <c r="K2" s="1265"/>
      <c r="L2" s="1265"/>
      <c r="M2" s="1265"/>
      <c r="N2" s="1265"/>
      <c r="O2" s="1265"/>
      <c r="P2" s="1266"/>
    </row>
    <row r="3" spans="2:18" ht="16" x14ac:dyDescent="0.2">
      <c r="B3" s="1267" t="s">
        <v>204</v>
      </c>
      <c r="C3" s="1268"/>
      <c r="D3" s="1268"/>
      <c r="E3" s="1268"/>
      <c r="F3" s="1268"/>
      <c r="G3" s="1268"/>
      <c r="H3" s="1268"/>
      <c r="I3" s="1268"/>
      <c r="J3" s="1268"/>
      <c r="K3" s="1268"/>
      <c r="L3" s="1268"/>
      <c r="M3" s="1268"/>
      <c r="N3" s="1268"/>
      <c r="O3" s="1268"/>
      <c r="P3" s="1269"/>
    </row>
    <row r="4" spans="2:18" ht="14" thickBot="1" x14ac:dyDescent="0.2">
      <c r="B4" s="1270"/>
      <c r="C4" s="1271"/>
      <c r="D4" s="1271"/>
      <c r="E4" s="1271"/>
      <c r="F4" s="1271"/>
      <c r="G4" s="1271"/>
      <c r="H4" s="1271"/>
      <c r="I4" s="1271"/>
      <c r="J4" s="1271"/>
      <c r="K4" s="1271"/>
      <c r="L4" s="1271"/>
      <c r="M4" s="1271"/>
      <c r="N4" s="1271"/>
      <c r="O4" s="1271"/>
      <c r="P4" s="1272"/>
    </row>
    <row r="5" spans="2:18" ht="15" thickTop="1" thickBot="1" x14ac:dyDescent="0.2">
      <c r="B5" s="656"/>
      <c r="C5" s="657"/>
      <c r="D5" s="658" t="s">
        <v>189</v>
      </c>
      <c r="E5" s="659" t="s">
        <v>190</v>
      </c>
      <c r="F5" s="659" t="s">
        <v>191</v>
      </c>
      <c r="G5" s="659" t="s">
        <v>192</v>
      </c>
      <c r="H5" s="659" t="s">
        <v>193</v>
      </c>
      <c r="I5" s="659" t="s">
        <v>194</v>
      </c>
      <c r="J5" s="659" t="s">
        <v>195</v>
      </c>
      <c r="K5" s="659" t="s">
        <v>196</v>
      </c>
      <c r="L5" s="659" t="s">
        <v>197</v>
      </c>
      <c r="M5" s="659" t="s">
        <v>198</v>
      </c>
      <c r="N5" s="659" t="s">
        <v>199</v>
      </c>
      <c r="O5" s="659" t="s">
        <v>200</v>
      </c>
      <c r="P5" s="660" t="s">
        <v>201</v>
      </c>
    </row>
    <row r="6" spans="2:18" ht="15" thickTop="1" thickBot="1" x14ac:dyDescent="0.2">
      <c r="B6" s="1273" t="s">
        <v>202</v>
      </c>
      <c r="C6" s="1274"/>
      <c r="D6" s="1258">
        <v>30</v>
      </c>
      <c r="E6" s="661">
        <f t="shared" ref="E6:P6" si="0">+D6</f>
        <v>30</v>
      </c>
      <c r="F6" s="662">
        <f t="shared" si="0"/>
        <v>30</v>
      </c>
      <c r="G6" s="662">
        <f t="shared" si="0"/>
        <v>30</v>
      </c>
      <c r="H6" s="662">
        <f t="shared" si="0"/>
        <v>30</v>
      </c>
      <c r="I6" s="662">
        <f t="shared" si="0"/>
        <v>30</v>
      </c>
      <c r="J6" s="662">
        <f t="shared" si="0"/>
        <v>30</v>
      </c>
      <c r="K6" s="662">
        <f t="shared" si="0"/>
        <v>30</v>
      </c>
      <c r="L6" s="662">
        <f t="shared" si="0"/>
        <v>30</v>
      </c>
      <c r="M6" s="662">
        <f t="shared" si="0"/>
        <v>30</v>
      </c>
      <c r="N6" s="662">
        <f t="shared" si="0"/>
        <v>30</v>
      </c>
      <c r="O6" s="663">
        <f t="shared" si="0"/>
        <v>30</v>
      </c>
      <c r="P6" s="663">
        <f t="shared" si="0"/>
        <v>30</v>
      </c>
    </row>
    <row r="7" spans="2:18" ht="15" thickTop="1" thickBot="1" x14ac:dyDescent="0.2">
      <c r="B7" s="1275" t="s">
        <v>203</v>
      </c>
      <c r="C7" s="1276"/>
      <c r="D7" s="664">
        <v>28</v>
      </c>
      <c r="E7" s="664">
        <v>28</v>
      </c>
      <c r="F7" s="664">
        <v>28</v>
      </c>
      <c r="G7" s="664">
        <v>28</v>
      </c>
      <c r="H7" s="664">
        <v>28</v>
      </c>
      <c r="I7" s="664">
        <v>28</v>
      </c>
      <c r="J7" s="664">
        <v>28</v>
      </c>
      <c r="K7" s="664">
        <v>28</v>
      </c>
      <c r="L7" s="664">
        <v>28</v>
      </c>
      <c r="M7" s="664">
        <v>28</v>
      </c>
      <c r="N7" s="664">
        <v>28</v>
      </c>
      <c r="O7" s="665">
        <v>28</v>
      </c>
      <c r="P7" s="665">
        <v>28</v>
      </c>
      <c r="Q7" s="491"/>
      <c r="R7" s="492">
        <f>+D7+E7+F7+G7+H7+I7+J7+K7+L7+M7+N7+O7+P7</f>
        <v>364</v>
      </c>
    </row>
    <row r="8" spans="2:18" ht="14" thickTop="1" x14ac:dyDescent="0.15">
      <c r="B8" s="493">
        <v>1</v>
      </c>
      <c r="C8" s="494" t="s">
        <v>27</v>
      </c>
      <c r="D8" s="495">
        <v>44928</v>
      </c>
      <c r="E8" s="653">
        <v>44956</v>
      </c>
      <c r="F8" s="496">
        <v>44984</v>
      </c>
      <c r="G8" s="496">
        <v>45012</v>
      </c>
      <c r="H8" s="497">
        <v>45040</v>
      </c>
      <c r="I8" s="498">
        <v>45068</v>
      </c>
      <c r="J8" s="496">
        <v>45096</v>
      </c>
      <c r="K8" s="496">
        <v>45124</v>
      </c>
      <c r="L8" s="496">
        <v>45152</v>
      </c>
      <c r="M8" s="496">
        <v>45180</v>
      </c>
      <c r="N8" s="496">
        <v>45208</v>
      </c>
      <c r="O8" s="497">
        <v>45236</v>
      </c>
      <c r="P8" s="499">
        <v>45264</v>
      </c>
    </row>
    <row r="9" spans="2:18" x14ac:dyDescent="0.15">
      <c r="B9" s="500" t="s">
        <v>1</v>
      </c>
      <c r="C9" s="501" t="s">
        <v>28</v>
      </c>
      <c r="D9" s="502">
        <v>44929</v>
      </c>
      <c r="E9" s="654">
        <v>44957</v>
      </c>
      <c r="F9" s="503">
        <v>44985</v>
      </c>
      <c r="G9" s="503">
        <v>45013</v>
      </c>
      <c r="H9" s="504">
        <v>45041</v>
      </c>
      <c r="I9" s="505">
        <v>45069</v>
      </c>
      <c r="J9" s="503">
        <v>45097</v>
      </c>
      <c r="K9" s="503">
        <v>45125</v>
      </c>
      <c r="L9" s="506">
        <v>45153</v>
      </c>
      <c r="M9" s="506">
        <v>45181</v>
      </c>
      <c r="N9" s="503">
        <v>45209</v>
      </c>
      <c r="O9" s="504">
        <v>45237</v>
      </c>
      <c r="P9" s="507">
        <v>45265</v>
      </c>
    </row>
    <row r="10" spans="2:18" x14ac:dyDescent="0.15">
      <c r="B10" s="500" t="s">
        <v>1</v>
      </c>
      <c r="C10" s="501" t="s">
        <v>29</v>
      </c>
      <c r="D10" s="502">
        <v>44930</v>
      </c>
      <c r="E10" s="503">
        <v>44958</v>
      </c>
      <c r="F10" s="503">
        <v>44986</v>
      </c>
      <c r="G10" s="503">
        <v>45014</v>
      </c>
      <c r="H10" s="504">
        <v>45042</v>
      </c>
      <c r="I10" s="505">
        <v>45070</v>
      </c>
      <c r="J10" s="503">
        <v>45098</v>
      </c>
      <c r="K10" s="503">
        <v>45126</v>
      </c>
      <c r="L10" s="506">
        <v>45154</v>
      </c>
      <c r="M10" s="506">
        <v>45182</v>
      </c>
      <c r="N10" s="503">
        <v>45210</v>
      </c>
      <c r="O10" s="504">
        <v>45238</v>
      </c>
      <c r="P10" s="507">
        <v>45266</v>
      </c>
    </row>
    <row r="11" spans="2:18" x14ac:dyDescent="0.15">
      <c r="B11" s="500" t="s">
        <v>1</v>
      </c>
      <c r="C11" s="501" t="s">
        <v>30</v>
      </c>
      <c r="D11" s="502">
        <v>44931</v>
      </c>
      <c r="E11" s="503">
        <v>44959</v>
      </c>
      <c r="F11" s="503">
        <v>44987</v>
      </c>
      <c r="G11" s="503">
        <v>45015</v>
      </c>
      <c r="H11" s="504">
        <v>45043</v>
      </c>
      <c r="I11" s="505">
        <v>45071</v>
      </c>
      <c r="J11" s="503">
        <v>45099</v>
      </c>
      <c r="K11" s="503">
        <v>45127</v>
      </c>
      <c r="L11" s="506">
        <v>45155</v>
      </c>
      <c r="M11" s="506">
        <v>45183</v>
      </c>
      <c r="N11" s="503">
        <v>45211</v>
      </c>
      <c r="O11" s="504">
        <v>45239</v>
      </c>
      <c r="P11" s="507">
        <v>45267</v>
      </c>
      <c r="R11" t="s">
        <v>1</v>
      </c>
    </row>
    <row r="12" spans="2:18" x14ac:dyDescent="0.15">
      <c r="B12" s="500" t="s">
        <v>1</v>
      </c>
      <c r="C12" s="501" t="s">
        <v>31</v>
      </c>
      <c r="D12" s="502">
        <v>44932</v>
      </c>
      <c r="E12" s="503">
        <v>44960</v>
      </c>
      <c r="F12" s="503">
        <v>44988</v>
      </c>
      <c r="G12" s="503">
        <v>45016</v>
      </c>
      <c r="H12" s="504">
        <v>45044</v>
      </c>
      <c r="I12" s="505">
        <v>45072</v>
      </c>
      <c r="J12" s="503">
        <v>45100</v>
      </c>
      <c r="K12" s="503">
        <v>45128</v>
      </c>
      <c r="L12" s="506">
        <v>45156</v>
      </c>
      <c r="M12" s="506">
        <v>45184</v>
      </c>
      <c r="N12" s="503">
        <v>45212</v>
      </c>
      <c r="O12" s="504">
        <v>45240</v>
      </c>
      <c r="P12" s="507">
        <v>45268</v>
      </c>
    </row>
    <row r="13" spans="2:18" x14ac:dyDescent="0.15">
      <c r="B13" s="500" t="s">
        <v>1</v>
      </c>
      <c r="C13" s="501" t="s">
        <v>32</v>
      </c>
      <c r="D13" s="502">
        <v>44933</v>
      </c>
      <c r="E13" s="503">
        <v>44961</v>
      </c>
      <c r="F13" s="503">
        <v>44989</v>
      </c>
      <c r="G13" s="503">
        <v>45017</v>
      </c>
      <c r="H13" s="504">
        <v>45045</v>
      </c>
      <c r="I13" s="505">
        <v>45073</v>
      </c>
      <c r="J13" s="503">
        <v>45101</v>
      </c>
      <c r="K13" s="503">
        <v>45129</v>
      </c>
      <c r="L13" s="506">
        <v>45157</v>
      </c>
      <c r="M13" s="506">
        <v>45185</v>
      </c>
      <c r="N13" s="503">
        <v>45213</v>
      </c>
      <c r="O13" s="504">
        <v>45241</v>
      </c>
      <c r="P13" s="507">
        <v>45269</v>
      </c>
    </row>
    <row r="14" spans="2:18" ht="14" thickBot="1" x14ac:dyDescent="0.2">
      <c r="B14" s="508" t="s">
        <v>1</v>
      </c>
      <c r="C14" s="509" t="s">
        <v>33</v>
      </c>
      <c r="D14" s="518">
        <v>44934</v>
      </c>
      <c r="E14" s="511">
        <v>44962</v>
      </c>
      <c r="F14" s="511">
        <v>44990</v>
      </c>
      <c r="G14" s="511">
        <v>45018</v>
      </c>
      <c r="H14" s="511">
        <v>45046</v>
      </c>
      <c r="I14" s="511">
        <v>45074</v>
      </c>
      <c r="J14" s="511">
        <v>45102</v>
      </c>
      <c r="K14" s="511">
        <v>45130</v>
      </c>
      <c r="L14" s="512">
        <v>45158</v>
      </c>
      <c r="M14" s="512">
        <v>45186</v>
      </c>
      <c r="N14" s="511">
        <v>45214</v>
      </c>
      <c r="O14" s="513">
        <v>45242</v>
      </c>
      <c r="P14" s="514">
        <v>45270</v>
      </c>
    </row>
    <row r="15" spans="2:18" ht="14" thickTop="1" x14ac:dyDescent="0.15">
      <c r="B15" s="515">
        <v>2</v>
      </c>
      <c r="C15" s="501" t="str">
        <f>C8</f>
        <v>Lundi</v>
      </c>
      <c r="D15" s="502">
        <v>44935</v>
      </c>
      <c r="E15" s="503">
        <v>44963</v>
      </c>
      <c r="F15" s="503">
        <v>44991</v>
      </c>
      <c r="G15" s="503">
        <v>45019</v>
      </c>
      <c r="H15" s="503">
        <v>45047</v>
      </c>
      <c r="I15" s="516">
        <v>45075</v>
      </c>
      <c r="J15" s="503">
        <v>45103</v>
      </c>
      <c r="K15" s="503">
        <v>45131</v>
      </c>
      <c r="L15" s="506">
        <v>45159</v>
      </c>
      <c r="M15" s="506">
        <v>45187</v>
      </c>
      <c r="N15" s="503">
        <v>45215</v>
      </c>
      <c r="O15" s="504">
        <v>45243</v>
      </c>
      <c r="P15" s="507">
        <v>45271</v>
      </c>
    </row>
    <row r="16" spans="2:18" x14ac:dyDescent="0.15">
      <c r="B16" s="500" t="s">
        <v>1</v>
      </c>
      <c r="C16" s="501" t="str">
        <f>C9</f>
        <v>Mardi</v>
      </c>
      <c r="D16" s="502">
        <v>44936</v>
      </c>
      <c r="E16" s="503">
        <v>44964</v>
      </c>
      <c r="F16" s="503">
        <v>44992</v>
      </c>
      <c r="G16" s="503">
        <v>45020</v>
      </c>
      <c r="H16" s="503">
        <v>45048</v>
      </c>
      <c r="I16" s="517">
        <v>45076</v>
      </c>
      <c r="J16" s="503">
        <v>45104</v>
      </c>
      <c r="K16" s="503">
        <v>45132</v>
      </c>
      <c r="L16" s="506">
        <v>45160</v>
      </c>
      <c r="M16" s="506">
        <v>45188</v>
      </c>
      <c r="N16" s="503">
        <v>45216</v>
      </c>
      <c r="O16" s="504">
        <v>45244</v>
      </c>
      <c r="P16" s="507">
        <v>45272</v>
      </c>
    </row>
    <row r="17" spans="2:16" x14ac:dyDescent="0.15">
      <c r="B17" s="500" t="s">
        <v>1</v>
      </c>
      <c r="C17" s="501" t="str">
        <f t="shared" ref="C17:C35" si="1">+C10</f>
        <v>Mercredi</v>
      </c>
      <c r="D17" s="502">
        <v>44937</v>
      </c>
      <c r="E17" s="503">
        <v>44965</v>
      </c>
      <c r="F17" s="503">
        <v>44993</v>
      </c>
      <c r="G17" s="503">
        <v>45021</v>
      </c>
      <c r="H17" s="503">
        <v>45049</v>
      </c>
      <c r="I17" s="517">
        <v>45077</v>
      </c>
      <c r="J17" s="503">
        <v>45105</v>
      </c>
      <c r="K17" s="503">
        <v>45133</v>
      </c>
      <c r="L17" s="506">
        <v>45161</v>
      </c>
      <c r="M17" s="506">
        <v>45189</v>
      </c>
      <c r="N17" s="503">
        <v>45217</v>
      </c>
      <c r="O17" s="504">
        <v>45245</v>
      </c>
      <c r="P17" s="507">
        <v>45273</v>
      </c>
    </row>
    <row r="18" spans="2:16" x14ac:dyDescent="0.15">
      <c r="B18" s="500" t="s">
        <v>1</v>
      </c>
      <c r="C18" s="501" t="str">
        <f t="shared" si="1"/>
        <v>Jeudi</v>
      </c>
      <c r="D18" s="502">
        <v>44938</v>
      </c>
      <c r="E18" s="503">
        <v>44966</v>
      </c>
      <c r="F18" s="503">
        <v>44994</v>
      </c>
      <c r="G18" s="503">
        <v>45022</v>
      </c>
      <c r="H18" s="503">
        <v>45050</v>
      </c>
      <c r="I18" s="517">
        <v>45078</v>
      </c>
      <c r="J18" s="503">
        <v>45106</v>
      </c>
      <c r="K18" s="503">
        <v>45134</v>
      </c>
      <c r="L18" s="506">
        <v>45162</v>
      </c>
      <c r="M18" s="506">
        <v>45190</v>
      </c>
      <c r="N18" s="503">
        <v>45218</v>
      </c>
      <c r="O18" s="504">
        <v>45246</v>
      </c>
      <c r="P18" s="507">
        <v>45274</v>
      </c>
    </row>
    <row r="19" spans="2:16" x14ac:dyDescent="0.15">
      <c r="B19" s="500" t="s">
        <v>1</v>
      </c>
      <c r="C19" s="501" t="str">
        <f t="shared" si="1"/>
        <v>Vendredi</v>
      </c>
      <c r="D19" s="502">
        <v>44939</v>
      </c>
      <c r="E19" s="503">
        <v>44967</v>
      </c>
      <c r="F19" s="503">
        <v>44995</v>
      </c>
      <c r="G19" s="503">
        <v>45023</v>
      </c>
      <c r="H19" s="503">
        <v>45051</v>
      </c>
      <c r="I19" s="517">
        <v>45079</v>
      </c>
      <c r="J19" s="503">
        <v>45107</v>
      </c>
      <c r="K19" s="503">
        <v>45135</v>
      </c>
      <c r="L19" s="506">
        <v>45163</v>
      </c>
      <c r="M19" s="506">
        <v>45191</v>
      </c>
      <c r="N19" s="503">
        <v>45219</v>
      </c>
      <c r="O19" s="504">
        <v>45247</v>
      </c>
      <c r="P19" s="507">
        <v>45275</v>
      </c>
    </row>
    <row r="20" spans="2:16" x14ac:dyDescent="0.15">
      <c r="B20" s="500" t="s">
        <v>1</v>
      </c>
      <c r="C20" s="501" t="str">
        <f t="shared" si="1"/>
        <v>Samedi</v>
      </c>
      <c r="D20" s="502">
        <v>44940</v>
      </c>
      <c r="E20" s="503">
        <v>44968</v>
      </c>
      <c r="F20" s="503">
        <v>44996</v>
      </c>
      <c r="G20" s="503">
        <v>45024</v>
      </c>
      <c r="H20" s="503">
        <v>45052</v>
      </c>
      <c r="I20" s="498">
        <v>45080</v>
      </c>
      <c r="J20" s="503">
        <v>45108</v>
      </c>
      <c r="K20" s="503">
        <v>45136</v>
      </c>
      <c r="L20" s="506">
        <v>45164</v>
      </c>
      <c r="M20" s="506">
        <v>45192</v>
      </c>
      <c r="N20" s="503">
        <v>45220</v>
      </c>
      <c r="O20" s="504">
        <v>45248</v>
      </c>
      <c r="P20" s="507">
        <v>45276</v>
      </c>
    </row>
    <row r="21" spans="2:16" ht="14" thickBot="1" x14ac:dyDescent="0.2">
      <c r="B21" s="508" t="s">
        <v>1</v>
      </c>
      <c r="C21" s="509" t="str">
        <f t="shared" si="1"/>
        <v>Dimanche</v>
      </c>
      <c r="D21" s="510">
        <v>44941</v>
      </c>
      <c r="E21" s="511">
        <v>44969</v>
      </c>
      <c r="F21" s="511">
        <v>44997</v>
      </c>
      <c r="G21" s="511">
        <v>45025</v>
      </c>
      <c r="H21" s="511">
        <v>45053</v>
      </c>
      <c r="I21" s="511">
        <v>45081</v>
      </c>
      <c r="J21" s="511">
        <v>45109</v>
      </c>
      <c r="K21" s="511">
        <v>45137</v>
      </c>
      <c r="L21" s="512">
        <v>45165</v>
      </c>
      <c r="M21" s="512">
        <v>45193</v>
      </c>
      <c r="N21" s="511">
        <v>45221</v>
      </c>
      <c r="O21" s="513">
        <v>45249</v>
      </c>
      <c r="P21" s="514">
        <v>45277</v>
      </c>
    </row>
    <row r="22" spans="2:16" ht="14" thickTop="1" x14ac:dyDescent="0.15">
      <c r="B22" s="515">
        <v>3</v>
      </c>
      <c r="C22" s="501" t="str">
        <f t="shared" si="1"/>
        <v>Lundi</v>
      </c>
      <c r="D22" s="502">
        <v>44942</v>
      </c>
      <c r="E22" s="503">
        <v>44970</v>
      </c>
      <c r="F22" s="503">
        <v>44998</v>
      </c>
      <c r="G22" s="503">
        <v>45026</v>
      </c>
      <c r="H22" s="503">
        <v>45054</v>
      </c>
      <c r="I22" s="503">
        <v>45082</v>
      </c>
      <c r="J22" s="503">
        <v>45110</v>
      </c>
      <c r="K22" s="503">
        <v>45138</v>
      </c>
      <c r="L22" s="506">
        <v>45166</v>
      </c>
      <c r="M22" s="506">
        <v>45194</v>
      </c>
      <c r="N22" s="503">
        <v>45222</v>
      </c>
      <c r="O22" s="504">
        <v>45250</v>
      </c>
      <c r="P22" s="507">
        <v>45278</v>
      </c>
    </row>
    <row r="23" spans="2:16" x14ac:dyDescent="0.15">
      <c r="B23" s="500" t="s">
        <v>1</v>
      </c>
      <c r="C23" s="501" t="str">
        <f t="shared" si="1"/>
        <v>Mardi</v>
      </c>
      <c r="D23" s="502">
        <v>44943</v>
      </c>
      <c r="E23" s="654">
        <v>44971</v>
      </c>
      <c r="F23" s="503">
        <v>44999</v>
      </c>
      <c r="G23" s="503">
        <v>45027</v>
      </c>
      <c r="H23" s="503">
        <v>45055</v>
      </c>
      <c r="I23" s="503">
        <v>45083</v>
      </c>
      <c r="J23" s="503">
        <v>45111</v>
      </c>
      <c r="K23" s="503">
        <v>45139</v>
      </c>
      <c r="L23" s="506">
        <v>45167</v>
      </c>
      <c r="M23" s="506">
        <v>45195</v>
      </c>
      <c r="N23" s="503">
        <v>45223</v>
      </c>
      <c r="O23" s="504">
        <v>45251</v>
      </c>
      <c r="P23" s="507">
        <v>45279</v>
      </c>
    </row>
    <row r="24" spans="2:16" x14ac:dyDescent="0.15">
      <c r="B24" s="500" t="s">
        <v>1</v>
      </c>
      <c r="C24" s="501" t="str">
        <f t="shared" si="1"/>
        <v>Mercredi</v>
      </c>
      <c r="D24" s="502">
        <v>44944</v>
      </c>
      <c r="E24" s="503">
        <v>44972</v>
      </c>
      <c r="F24" s="503">
        <v>45000</v>
      </c>
      <c r="G24" s="503">
        <v>45028</v>
      </c>
      <c r="H24" s="503">
        <v>45056</v>
      </c>
      <c r="I24" s="503">
        <v>45084</v>
      </c>
      <c r="J24" s="503">
        <v>45112</v>
      </c>
      <c r="K24" s="503">
        <v>45140</v>
      </c>
      <c r="L24" s="506">
        <v>45168</v>
      </c>
      <c r="M24" s="506">
        <v>45196</v>
      </c>
      <c r="N24" s="503">
        <v>45224</v>
      </c>
      <c r="O24" s="504">
        <v>45252</v>
      </c>
      <c r="P24" s="507">
        <v>45280</v>
      </c>
    </row>
    <row r="25" spans="2:16" x14ac:dyDescent="0.15">
      <c r="B25" s="500" t="s">
        <v>1</v>
      </c>
      <c r="C25" s="501" t="str">
        <f t="shared" si="1"/>
        <v>Jeudi</v>
      </c>
      <c r="D25" s="502">
        <v>44945</v>
      </c>
      <c r="E25" s="503">
        <v>44973</v>
      </c>
      <c r="F25" s="503">
        <v>45001</v>
      </c>
      <c r="G25" s="503">
        <v>45029</v>
      </c>
      <c r="H25" s="503">
        <v>45057</v>
      </c>
      <c r="I25" s="503">
        <v>45085</v>
      </c>
      <c r="J25" s="503">
        <v>45113</v>
      </c>
      <c r="K25" s="503">
        <v>45141</v>
      </c>
      <c r="L25" s="506">
        <v>45169</v>
      </c>
      <c r="M25" s="506">
        <v>45197</v>
      </c>
      <c r="N25" s="503">
        <v>45225</v>
      </c>
      <c r="O25" s="504">
        <v>45253</v>
      </c>
      <c r="P25" s="507">
        <v>45281</v>
      </c>
    </row>
    <row r="26" spans="2:16" x14ac:dyDescent="0.15">
      <c r="B26" s="500" t="s">
        <v>1</v>
      </c>
      <c r="C26" s="501" t="str">
        <f t="shared" si="1"/>
        <v>Vendredi</v>
      </c>
      <c r="D26" s="502">
        <v>44946</v>
      </c>
      <c r="E26" s="503">
        <v>44974</v>
      </c>
      <c r="F26" s="503">
        <v>45002</v>
      </c>
      <c r="G26" s="503">
        <v>45030</v>
      </c>
      <c r="H26" s="503">
        <v>45058</v>
      </c>
      <c r="I26" s="503">
        <v>45086</v>
      </c>
      <c r="J26" s="503">
        <v>45114</v>
      </c>
      <c r="K26" s="503">
        <v>45142</v>
      </c>
      <c r="L26" s="506">
        <v>45170</v>
      </c>
      <c r="M26" s="506">
        <v>45198</v>
      </c>
      <c r="N26" s="503">
        <v>45226</v>
      </c>
      <c r="O26" s="504">
        <v>45254</v>
      </c>
      <c r="P26" s="507">
        <v>45282</v>
      </c>
    </row>
    <row r="27" spans="2:16" x14ac:dyDescent="0.15">
      <c r="B27" s="500" t="s">
        <v>1</v>
      </c>
      <c r="C27" s="501" t="str">
        <f t="shared" si="1"/>
        <v>Samedi</v>
      </c>
      <c r="D27" s="502">
        <v>44947</v>
      </c>
      <c r="E27" s="503">
        <v>44975</v>
      </c>
      <c r="F27" s="503">
        <v>45003</v>
      </c>
      <c r="G27" s="503">
        <v>45031</v>
      </c>
      <c r="H27" s="503">
        <v>45059</v>
      </c>
      <c r="I27" s="503">
        <v>45087</v>
      </c>
      <c r="J27" s="503">
        <v>45115</v>
      </c>
      <c r="K27" s="503">
        <v>45143</v>
      </c>
      <c r="L27" s="506">
        <v>45171</v>
      </c>
      <c r="M27" s="506">
        <v>45199</v>
      </c>
      <c r="N27" s="503">
        <v>45227</v>
      </c>
      <c r="O27" s="504">
        <v>45255</v>
      </c>
      <c r="P27" s="507">
        <v>45283</v>
      </c>
    </row>
    <row r="28" spans="2:16" ht="14" thickBot="1" x14ac:dyDescent="0.2">
      <c r="B28" s="508" t="s">
        <v>1</v>
      </c>
      <c r="C28" s="509" t="str">
        <f t="shared" si="1"/>
        <v>Dimanche</v>
      </c>
      <c r="D28" s="510">
        <v>44948</v>
      </c>
      <c r="E28" s="511">
        <v>44976</v>
      </c>
      <c r="F28" s="511">
        <v>45004</v>
      </c>
      <c r="G28" s="511">
        <v>45032</v>
      </c>
      <c r="H28" s="511">
        <v>45060</v>
      </c>
      <c r="I28" s="511">
        <v>45088</v>
      </c>
      <c r="J28" s="511">
        <v>45116</v>
      </c>
      <c r="K28" s="511">
        <v>45144</v>
      </c>
      <c r="L28" s="512">
        <v>45172</v>
      </c>
      <c r="M28" s="512">
        <v>45200</v>
      </c>
      <c r="N28" s="524">
        <v>45228</v>
      </c>
      <c r="O28" s="513">
        <v>45256</v>
      </c>
      <c r="P28" s="514">
        <v>45284</v>
      </c>
    </row>
    <row r="29" spans="2:16" ht="14" thickTop="1" x14ac:dyDescent="0.15">
      <c r="B29" s="515">
        <v>4</v>
      </c>
      <c r="C29" s="501" t="str">
        <f t="shared" si="1"/>
        <v>Lundi</v>
      </c>
      <c r="D29" s="502">
        <v>44949</v>
      </c>
      <c r="E29" s="503">
        <v>44977</v>
      </c>
      <c r="F29" s="503">
        <v>45005</v>
      </c>
      <c r="G29" s="503">
        <v>45033</v>
      </c>
      <c r="H29" s="503">
        <v>45061</v>
      </c>
      <c r="I29" s="503">
        <v>45089</v>
      </c>
      <c r="J29" s="503">
        <v>45117</v>
      </c>
      <c r="K29" s="503">
        <v>45145</v>
      </c>
      <c r="L29" s="506">
        <v>45173</v>
      </c>
      <c r="M29" s="506">
        <v>45201</v>
      </c>
      <c r="N29" s="503">
        <v>45229</v>
      </c>
      <c r="O29" s="504">
        <v>45257</v>
      </c>
      <c r="P29" s="655">
        <v>45285</v>
      </c>
    </row>
    <row r="30" spans="2:16" x14ac:dyDescent="0.15">
      <c r="B30" s="500" t="s">
        <v>1</v>
      </c>
      <c r="C30" s="501" t="str">
        <f t="shared" si="1"/>
        <v>Mardi</v>
      </c>
      <c r="D30" s="502">
        <v>44950</v>
      </c>
      <c r="E30" s="503">
        <v>44978</v>
      </c>
      <c r="F30" s="503">
        <v>45006</v>
      </c>
      <c r="G30" s="503">
        <v>45034</v>
      </c>
      <c r="H30" s="503">
        <v>45062</v>
      </c>
      <c r="I30" s="503">
        <v>45090</v>
      </c>
      <c r="J30" s="503">
        <v>45118</v>
      </c>
      <c r="K30" s="503">
        <v>45146</v>
      </c>
      <c r="L30" s="506">
        <v>45174</v>
      </c>
      <c r="M30" s="506">
        <v>45202</v>
      </c>
      <c r="N30" s="503">
        <v>45230</v>
      </c>
      <c r="O30" s="504">
        <v>45258</v>
      </c>
      <c r="P30" s="655">
        <v>45286</v>
      </c>
    </row>
    <row r="31" spans="2:16" x14ac:dyDescent="0.15">
      <c r="B31" s="500" t="s">
        <v>1</v>
      </c>
      <c r="C31" s="501" t="str">
        <f t="shared" si="1"/>
        <v>Mercredi</v>
      </c>
      <c r="D31" s="502">
        <v>44951</v>
      </c>
      <c r="E31" s="503">
        <v>44979</v>
      </c>
      <c r="F31" s="503">
        <v>45007</v>
      </c>
      <c r="G31" s="503">
        <v>45035</v>
      </c>
      <c r="H31" s="503">
        <v>45063</v>
      </c>
      <c r="I31" s="503">
        <v>45091</v>
      </c>
      <c r="J31" s="503">
        <v>45119</v>
      </c>
      <c r="K31" s="503">
        <v>45147</v>
      </c>
      <c r="L31" s="506">
        <v>45175</v>
      </c>
      <c r="M31" s="506">
        <v>45203</v>
      </c>
      <c r="N31" s="503">
        <v>45231</v>
      </c>
      <c r="O31" s="504">
        <v>45259</v>
      </c>
      <c r="P31" s="507">
        <v>45287</v>
      </c>
    </row>
    <row r="32" spans="2:16" x14ac:dyDescent="0.15">
      <c r="B32" s="500" t="s">
        <v>1</v>
      </c>
      <c r="C32" s="501" t="str">
        <f t="shared" si="1"/>
        <v>Jeudi</v>
      </c>
      <c r="D32" s="502">
        <v>44952</v>
      </c>
      <c r="E32" s="503">
        <v>44980</v>
      </c>
      <c r="F32" s="503">
        <v>45008</v>
      </c>
      <c r="G32" s="503">
        <v>45036</v>
      </c>
      <c r="H32" s="503">
        <v>45064</v>
      </c>
      <c r="I32" s="503">
        <v>45092</v>
      </c>
      <c r="J32" s="503">
        <v>45120</v>
      </c>
      <c r="K32" s="503">
        <v>45148</v>
      </c>
      <c r="L32" s="506">
        <v>45176</v>
      </c>
      <c r="M32" s="506">
        <v>45204</v>
      </c>
      <c r="N32" s="503">
        <v>45232</v>
      </c>
      <c r="O32" s="504">
        <v>45260</v>
      </c>
      <c r="P32" s="507">
        <v>45288</v>
      </c>
    </row>
    <row r="33" spans="2:16" x14ac:dyDescent="0.15">
      <c r="B33" s="500" t="s">
        <v>1</v>
      </c>
      <c r="C33" s="501" t="str">
        <f t="shared" si="1"/>
        <v>Vendredi</v>
      </c>
      <c r="D33" s="502">
        <v>44953</v>
      </c>
      <c r="E33" s="503">
        <v>44981</v>
      </c>
      <c r="F33" s="503">
        <v>45009</v>
      </c>
      <c r="G33" s="503">
        <v>45037</v>
      </c>
      <c r="H33" s="503">
        <v>45065</v>
      </c>
      <c r="I33" s="503">
        <v>45093</v>
      </c>
      <c r="J33" s="503">
        <v>45121</v>
      </c>
      <c r="K33" s="503">
        <v>45149</v>
      </c>
      <c r="L33" s="506">
        <v>45177</v>
      </c>
      <c r="M33" s="506">
        <v>45205</v>
      </c>
      <c r="N33" s="503">
        <v>45233</v>
      </c>
      <c r="O33" s="504">
        <v>45261</v>
      </c>
      <c r="P33" s="507">
        <v>45289</v>
      </c>
    </row>
    <row r="34" spans="2:16" x14ac:dyDescent="0.15">
      <c r="B34" s="500" t="s">
        <v>1</v>
      </c>
      <c r="C34" s="501" t="str">
        <f t="shared" si="1"/>
        <v>Samedi</v>
      </c>
      <c r="D34" s="502">
        <v>44954</v>
      </c>
      <c r="E34" s="503">
        <v>44982</v>
      </c>
      <c r="F34" s="503">
        <v>45010</v>
      </c>
      <c r="G34" s="503">
        <v>45038</v>
      </c>
      <c r="H34" s="503">
        <v>45066</v>
      </c>
      <c r="I34" s="503">
        <v>45094</v>
      </c>
      <c r="J34" s="503">
        <v>45122</v>
      </c>
      <c r="K34" s="503">
        <v>45150</v>
      </c>
      <c r="L34" s="506">
        <v>45178</v>
      </c>
      <c r="M34" s="506">
        <v>45206</v>
      </c>
      <c r="N34" s="503">
        <v>45234</v>
      </c>
      <c r="O34" s="504">
        <v>45262</v>
      </c>
      <c r="P34" s="507">
        <v>45290</v>
      </c>
    </row>
    <row r="35" spans="2:16" ht="14" thickBot="1" x14ac:dyDescent="0.2">
      <c r="B35" s="508"/>
      <c r="C35" s="509" t="str">
        <f t="shared" si="1"/>
        <v>Dimanche</v>
      </c>
      <c r="D35" s="510">
        <v>44955</v>
      </c>
      <c r="E35" s="511">
        <v>44983</v>
      </c>
      <c r="F35" s="511">
        <v>45011</v>
      </c>
      <c r="G35" s="511">
        <v>45039</v>
      </c>
      <c r="H35" s="511">
        <v>45067</v>
      </c>
      <c r="I35" s="511">
        <v>45095</v>
      </c>
      <c r="J35" s="511">
        <v>45123</v>
      </c>
      <c r="K35" s="511">
        <v>45151</v>
      </c>
      <c r="L35" s="512">
        <v>45179</v>
      </c>
      <c r="M35" s="512">
        <v>45207</v>
      </c>
      <c r="N35" s="511">
        <v>45235</v>
      </c>
      <c r="O35" s="513">
        <v>45263</v>
      </c>
      <c r="P35" s="514">
        <v>45291</v>
      </c>
    </row>
    <row r="36" spans="2:16" ht="14" thickTop="1" x14ac:dyDescent="0.15"/>
    <row r="51" spans="2:2" x14ac:dyDescent="0.15">
      <c r="B51" s="458" t="s">
        <v>1</v>
      </c>
    </row>
    <row r="52" spans="2:2" x14ac:dyDescent="0.15">
      <c r="B52" s="458" t="s">
        <v>1</v>
      </c>
    </row>
    <row r="53" spans="2:2" x14ac:dyDescent="0.15">
      <c r="B53" s="458" t="s">
        <v>1</v>
      </c>
    </row>
  </sheetData>
  <sheetProtection algorithmName="SHA-512" hashValue="gv6zeVD+x+xEtVL5jKoplq60x36VQlIEut9i7daogC2VUccMKxLzVOyMk5qvE/+zCbm9qyAQVmPOQ2F4X5oASQ==" saltValue="C9BHpdZyCvrc4OeQ8PBw8Q==" spinCount="100000" sheet="1" objects="1" scenarios="1"/>
  <mergeCells count="5">
    <mergeCell ref="B2:P2"/>
    <mergeCell ref="B3:P3"/>
    <mergeCell ref="B4:P4"/>
    <mergeCell ref="B6:C6"/>
    <mergeCell ref="B7:C7"/>
  </mergeCells>
  <phoneticPr fontId="28" type="noConversion"/>
  <pageMargins left="0.75" right="0.75" top="1" bottom="1" header="0.4921259845" footer="0.4921259845"/>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C08AA-E971-134D-BFAA-17C757377BC0}">
  <sheetPr>
    <tabColor theme="2" tint="-0.499984740745262"/>
    <pageSetUpPr fitToPage="1"/>
  </sheetPr>
  <dimension ref="B1:BS42"/>
  <sheetViews>
    <sheetView zoomScale="125" zoomScaleNormal="125" zoomScalePageLayoutView="125" workbookViewId="0">
      <pane xSplit="3" ySplit="9" topLeftCell="D10" activePane="bottomRight" state="frozen"/>
      <selection pane="topRight" activeCell="D1" sqref="D1"/>
      <selection pane="bottomLeft" activeCell="A11" sqref="A11"/>
      <selection pane="bottomRight"/>
    </sheetView>
  </sheetViews>
  <sheetFormatPr baseColWidth="10" defaultRowHeight="13" x14ac:dyDescent="0.15"/>
  <cols>
    <col min="1" max="1" width="1.83203125" style="138" customWidth="1"/>
    <col min="2" max="2" width="10.83203125" style="138" customWidth="1"/>
    <col min="3" max="3" width="57.6640625" style="138" customWidth="1"/>
    <col min="4" max="4" width="0.83203125" style="138" customWidth="1"/>
    <col min="5" max="5" width="15.6640625" style="138" bestFit="1" customWidth="1"/>
    <col min="6" max="6" width="8.33203125" style="138" customWidth="1"/>
    <col min="7" max="7" width="0.83203125" style="138" customWidth="1"/>
    <col min="8" max="8" width="15.6640625" style="138" bestFit="1" customWidth="1"/>
    <col min="9" max="9" width="8.1640625" style="138" customWidth="1"/>
    <col min="10" max="10" width="0.83203125" style="138" customWidth="1"/>
    <col min="11" max="11" width="15.6640625" style="138" bestFit="1" customWidth="1"/>
    <col min="12" max="12" width="8.1640625" style="138" bestFit="1" customWidth="1"/>
    <col min="13" max="13" width="0.83203125" style="138" customWidth="1"/>
    <col min="14" max="14" width="15.6640625" style="138" bestFit="1" customWidth="1"/>
    <col min="15" max="15" width="8.1640625" style="138" bestFit="1" customWidth="1"/>
    <col min="16" max="16" width="0.83203125" style="138" customWidth="1"/>
    <col min="17" max="17" width="14.6640625" style="138" bestFit="1" customWidth="1"/>
    <col min="18" max="18" width="8.1640625" style="138" bestFit="1" customWidth="1"/>
    <col min="19" max="19" width="0.83203125" style="138" customWidth="1"/>
    <col min="20" max="20" width="15.6640625" style="138" bestFit="1" customWidth="1"/>
    <col min="21" max="21" width="8.1640625" style="138" bestFit="1" customWidth="1"/>
    <col min="22" max="22" width="0.83203125" style="138" customWidth="1"/>
    <col min="23" max="23" width="15.6640625" style="138" bestFit="1" customWidth="1"/>
    <col min="24" max="24" width="8.1640625" style="138" bestFit="1" customWidth="1"/>
    <col min="25" max="25" width="0.83203125" style="138" customWidth="1"/>
    <col min="26" max="26" width="15.6640625" style="138" bestFit="1" customWidth="1"/>
    <col min="27" max="27" width="8.1640625" style="138" bestFit="1" customWidth="1"/>
    <col min="28" max="28" width="0.83203125" style="138" customWidth="1"/>
    <col min="29" max="29" width="15.6640625" style="138" bestFit="1" customWidth="1"/>
    <col min="30" max="30" width="8.1640625" style="138" bestFit="1" customWidth="1"/>
    <col min="31" max="31" width="0.83203125" style="138" customWidth="1"/>
    <col min="32" max="32" width="15.6640625" style="138" bestFit="1" customWidth="1"/>
    <col min="33" max="33" width="8.1640625" style="138" bestFit="1" customWidth="1"/>
    <col min="34" max="34" width="0.83203125" style="138" customWidth="1"/>
    <col min="35" max="35" width="15.6640625" style="138" bestFit="1" customWidth="1"/>
    <col min="36" max="36" width="8.1640625" style="138" bestFit="1" customWidth="1"/>
    <col min="37" max="37" width="0.83203125" style="138" customWidth="1"/>
    <col min="38" max="38" width="15.6640625" style="138" bestFit="1" customWidth="1"/>
    <col min="39" max="39" width="8.1640625" style="138" bestFit="1" customWidth="1"/>
    <col min="40" max="40" width="0.83203125" style="138" customWidth="1"/>
    <col min="41" max="41" width="15.6640625" style="138" bestFit="1" customWidth="1"/>
    <col min="42" max="42" width="8.1640625" style="138" customWidth="1"/>
    <col min="43" max="43" width="2.1640625" style="138" customWidth="1"/>
    <col min="44" max="44" width="15.6640625" style="138" bestFit="1" customWidth="1"/>
    <col min="45" max="45" width="8.1640625" style="138" customWidth="1"/>
    <col min="46" max="46" width="3.1640625" style="138" customWidth="1"/>
    <col min="47" max="47" width="8.5" style="138" bestFit="1" customWidth="1"/>
    <col min="48" max="48" width="14.6640625" style="138" bestFit="1" customWidth="1"/>
    <col min="49" max="49" width="2.5" style="138" bestFit="1" customWidth="1"/>
    <col min="50" max="50" width="26.83203125" style="138" bestFit="1" customWidth="1"/>
    <col min="51" max="51" width="2.5" style="138" bestFit="1" customWidth="1"/>
    <col min="52" max="52" width="2" style="138" bestFit="1" customWidth="1"/>
    <col min="53" max="53" width="10.83203125" style="138"/>
    <col min="54" max="54" width="2.5" style="138" bestFit="1" customWidth="1"/>
    <col min="55" max="55" width="10.83203125" style="138"/>
    <col min="56" max="56" width="2" style="138" bestFit="1" customWidth="1"/>
    <col min="57" max="57" width="8.5" style="138" bestFit="1" customWidth="1"/>
    <col min="58" max="16384" width="10.83203125" style="138"/>
  </cols>
  <sheetData>
    <row r="1" spans="2:57" ht="14" thickBot="1" x14ac:dyDescent="0.2"/>
    <row r="2" spans="2:57" ht="20" customHeight="1" thickTop="1" x14ac:dyDescent="0.2">
      <c r="B2" s="1477" t="str">
        <f>'État des Résultats'!C2</f>
        <v>Votre entreprise inc.</v>
      </c>
      <c r="C2" s="1478"/>
      <c r="AU2" s="1479" t="s">
        <v>45</v>
      </c>
      <c r="AV2" s="780"/>
      <c r="AW2" s="780"/>
      <c r="AX2" s="780"/>
      <c r="AY2" s="780"/>
      <c r="AZ2" s="780"/>
      <c r="BA2" s="780"/>
      <c r="BB2" s="780"/>
      <c r="BC2" s="780"/>
      <c r="BD2" s="780"/>
      <c r="BE2" s="1482" t="s">
        <v>46</v>
      </c>
    </row>
    <row r="3" spans="2:57" ht="20" customHeight="1" x14ac:dyDescent="0.2">
      <c r="B3" s="1485" t="str">
        <f>'État des Résultats'!C3</f>
        <v xml:space="preserve">États des résultats </v>
      </c>
      <c r="C3" s="1486"/>
      <c r="AU3" s="1480"/>
      <c r="AV3" s="781"/>
      <c r="AW3" s="781"/>
      <c r="AX3" s="781"/>
      <c r="AY3" s="781"/>
      <c r="AZ3" s="781"/>
      <c r="BA3" s="781"/>
      <c r="BB3" s="781"/>
      <c r="BC3" s="781"/>
      <c r="BD3" s="781"/>
      <c r="BE3" s="1483"/>
    </row>
    <row r="4" spans="2:57" ht="20" customHeight="1" thickBot="1" x14ac:dyDescent="0.3">
      <c r="B4" s="1487" t="str">
        <f>'État des Résultats'!C4</f>
        <v>Pour la période du 2 janvier 2023 au 31 décembre 2023</v>
      </c>
      <c r="C4" s="1488"/>
      <c r="AU4" s="1480"/>
      <c r="AV4" s="782" t="str">
        <f>'[1]Formule pour le calcul D'!BA103</f>
        <v>Coût annuel</v>
      </c>
      <c r="AW4" s="782" t="s">
        <v>48</v>
      </c>
      <c r="AX4" s="782" t="str">
        <f>'[1]Formule pour le calcul D'!BC103</f>
        <v>Achalandage annuelle</v>
      </c>
      <c r="AY4" s="782" t="s">
        <v>50</v>
      </c>
      <c r="AZ4" s="782" t="s">
        <v>51</v>
      </c>
      <c r="BA4" s="782" t="str">
        <f>'[1]Formule pour le calcul D'!BF103</f>
        <v>Um/A</v>
      </c>
      <c r="BB4" s="782" t="s">
        <v>50</v>
      </c>
      <c r="BC4" s="782" t="str">
        <f>'[1]Formule pour le calcul D'!BH103</f>
        <v>CmO</v>
      </c>
      <c r="BD4" s="782" t="s">
        <v>54</v>
      </c>
      <c r="BE4" s="1483"/>
    </row>
    <row r="5" spans="2:57" ht="21" thickTop="1" thickBot="1" x14ac:dyDescent="0.3">
      <c r="AU5" s="1480"/>
      <c r="AV5" s="783" t="s">
        <v>1</v>
      </c>
      <c r="AW5" s="184"/>
      <c r="AX5" s="783"/>
      <c r="AY5" s="184"/>
      <c r="AZ5" s="184"/>
      <c r="BA5" s="184"/>
      <c r="BB5" s="184"/>
      <c r="BC5" s="184"/>
      <c r="BD5" s="184"/>
      <c r="BE5" s="1483"/>
    </row>
    <row r="6" spans="2:57" ht="27" thickTop="1" x14ac:dyDescent="0.3">
      <c r="B6" s="1489" t="str">
        <f>'État des Résultats'!C6</f>
        <v>Nb de places</v>
      </c>
      <c r="C6" s="1490"/>
      <c r="E6" s="869" t="str">
        <f>'Salaire (planification)'!E6</f>
        <v>Coût / place / jour</v>
      </c>
      <c r="F6" s="870">
        <f>E38/B7/'% Occupation'!D9</f>
        <v>15.350177452380951</v>
      </c>
      <c r="G6" s="336"/>
      <c r="H6" s="869" t="str">
        <f>+E6</f>
        <v>Coût / place / jour</v>
      </c>
      <c r="I6" s="870">
        <f>H38/B7/'% Occupation'!E9</f>
        <v>15.350177452380951</v>
      </c>
      <c r="J6" s="336"/>
      <c r="K6" s="869" t="str">
        <f>+H6</f>
        <v>Coût / place / jour</v>
      </c>
      <c r="L6" s="870">
        <f>K38/B7/'% Occupation'!F9</f>
        <v>20.327069142857145</v>
      </c>
      <c r="M6" s="336"/>
      <c r="N6" s="869" t="str">
        <f>+K6</f>
        <v>Coût / place / jour</v>
      </c>
      <c r="O6" s="870">
        <f>N38/B7/'% Occupation'!G9</f>
        <v>26.18650078125</v>
      </c>
      <c r="P6" s="532"/>
      <c r="Q6" s="871" t="str">
        <f>+N6</f>
        <v>Coût / place / jour</v>
      </c>
      <c r="R6" s="870">
        <f>Q38/B7/'% Occupation'!H9</f>
        <v>31.369565669642856</v>
      </c>
      <c r="S6" s="532"/>
      <c r="T6" s="869" t="str">
        <f>+Q6</f>
        <v>Coût / place / jour</v>
      </c>
      <c r="U6" s="870">
        <f>T38/B7/'% Occupation'!I9</f>
        <v>36.552630558035723</v>
      </c>
      <c r="V6" s="336"/>
      <c r="W6" s="869" t="str">
        <f>+T6</f>
        <v>Coût / place / jour</v>
      </c>
      <c r="X6" s="870">
        <f>W38/B7/'% Occupation'!J9</f>
        <v>43.16696629345239</v>
      </c>
      <c r="Y6" s="788"/>
      <c r="Z6" s="869" t="str">
        <f>+W6</f>
        <v>Coût / place / jour</v>
      </c>
      <c r="AA6" s="870">
        <f>Z38/B7/'% Occupation'!K9</f>
        <v>48.625993074404775</v>
      </c>
      <c r="AB6" s="336"/>
      <c r="AC6" s="869" t="str">
        <f>+Z6</f>
        <v>Coût / place / jour</v>
      </c>
      <c r="AD6" s="870">
        <f>AC38/B7/'% Occupation'!L9</f>
        <v>48.625993074404775</v>
      </c>
      <c r="AE6" s="336"/>
      <c r="AF6" s="869" t="str">
        <f>+AC6</f>
        <v>Coût / place / jour</v>
      </c>
      <c r="AG6" s="870">
        <f>AF38/B7/'% Occupation'!M9</f>
        <v>50.333225813988101</v>
      </c>
      <c r="AH6" s="336"/>
      <c r="AI6" s="869" t="str">
        <f>+AF6</f>
        <v>Coût / place / jour</v>
      </c>
      <c r="AJ6" s="870">
        <f>AI38/B7/'% Occupation'!N9</f>
        <v>50.333225813988101</v>
      </c>
      <c r="AK6" s="749"/>
      <c r="AL6" s="869" t="str">
        <f>+AI6</f>
        <v>Coût / place / jour</v>
      </c>
      <c r="AM6" s="870">
        <f>AL38/B7/'% Occupation'!O9</f>
        <v>44.737814529761906</v>
      </c>
      <c r="AN6" s="336"/>
      <c r="AO6" s="872" t="str">
        <f>+AL6</f>
        <v>Coût / place / jour</v>
      </c>
      <c r="AP6" s="870">
        <f>AO38/B7/'% Occupation'!P9</f>
        <v>46.238874071428562</v>
      </c>
      <c r="AQ6"/>
      <c r="AR6" s="1055" t="str">
        <f>+AO6</f>
        <v>Coût / place / jour</v>
      </c>
      <c r="AS6" s="1056">
        <f>AR38/B7/'% Occupation'!Q9</f>
        <v>36.707554902152026</v>
      </c>
      <c r="AU6" s="1480"/>
      <c r="AV6" s="790" t="str">
        <f>'[1]Formule pour le calcul D'!BA105</f>
        <v xml:space="preserve">C </v>
      </c>
      <c r="AW6" s="791"/>
      <c r="AX6" s="790" t="str">
        <f>'[1]Formule pour le calcul D'!BC105</f>
        <v>A</v>
      </c>
      <c r="AY6" s="791"/>
      <c r="AZ6" s="791"/>
      <c r="BA6" s="790" t="str">
        <f>BA4</f>
        <v>Um/A</v>
      </c>
      <c r="BB6" s="791"/>
      <c r="BC6" s="790" t="str">
        <f>BC4</f>
        <v>CmO</v>
      </c>
      <c r="BD6" s="791"/>
      <c r="BE6" s="1483"/>
    </row>
    <row r="7" spans="2:57" ht="21" x14ac:dyDescent="0.25">
      <c r="B7" s="1491">
        <f>'État des Résultats'!C7</f>
        <v>30</v>
      </c>
      <c r="C7" s="1492"/>
      <c r="E7" s="873">
        <f>+E38/$AR$38</f>
        <v>3.2167298641924968E-2</v>
      </c>
      <c r="F7" s="874"/>
      <c r="G7" s="541"/>
      <c r="H7" s="873">
        <f>+H38/$AR$38</f>
        <v>3.2167298641924968E-2</v>
      </c>
      <c r="I7" s="874"/>
      <c r="J7" s="541"/>
      <c r="K7" s="873">
        <f>+K38/$AR$38</f>
        <v>4.2596699983551194E-2</v>
      </c>
      <c r="L7" s="874"/>
      <c r="M7" s="541"/>
      <c r="N7" s="873">
        <f>+N38/$AR$38</f>
        <v>5.4875521382771644E-2</v>
      </c>
      <c r="O7" s="874"/>
      <c r="P7" s="542"/>
      <c r="Q7" s="873">
        <f>+Q38/$AR$38</f>
        <v>6.5736972116003919E-2</v>
      </c>
      <c r="R7" s="537"/>
      <c r="S7" s="542"/>
      <c r="T7" s="873">
        <f>+T38/$AR$38</f>
        <v>7.6598422849236195E-2</v>
      </c>
      <c r="U7" s="874"/>
      <c r="V7" s="541"/>
      <c r="W7" s="873">
        <f>+W38/$AR$38</f>
        <v>9.0459195050674332E-2</v>
      </c>
      <c r="X7" s="874"/>
      <c r="Y7" s="399"/>
      <c r="Z7" s="873">
        <f>+Z38/$AR$38</f>
        <v>0.1018989419397192</v>
      </c>
      <c r="AA7" s="874"/>
      <c r="AB7" s="541"/>
      <c r="AC7" s="873">
        <f>+AC38/$AR$38</f>
        <v>0.1018989419397192</v>
      </c>
      <c r="AD7" s="874"/>
      <c r="AE7" s="541"/>
      <c r="AF7" s="873">
        <f>+AF38/$AR$38</f>
        <v>0.10547655956373764</v>
      </c>
      <c r="AG7" s="874"/>
      <c r="AH7" s="541"/>
      <c r="AI7" s="873">
        <f>+AI38/$AR$38</f>
        <v>0.10547655956373764</v>
      </c>
      <c r="AJ7" s="874"/>
      <c r="AK7" s="875"/>
      <c r="AL7" s="873">
        <f>+AL38/$AR$38</f>
        <v>9.3751010047293262E-2</v>
      </c>
      <c r="AM7" s="874"/>
      <c r="AN7" s="876">
        <f>+AN38/$AO$38</f>
        <v>0</v>
      </c>
      <c r="AO7" s="873">
        <f>+AO38/$AR$38</f>
        <v>9.6896578279705659E-2</v>
      </c>
      <c r="AP7" s="877"/>
      <c r="AQ7"/>
      <c r="AR7" s="350">
        <f>+E7+H7+K7+N7+Q7+T7+W7+Z7+AC7+AF7+AI7+AL7+AO7</f>
        <v>0.99999999999999978</v>
      </c>
      <c r="AS7" s="1057"/>
      <c r="AU7" s="1480"/>
      <c r="AV7" s="969">
        <f>AR38</f>
        <v>400846.4995315001</v>
      </c>
      <c r="AW7" s="782" t="s">
        <v>48</v>
      </c>
      <c r="AX7" s="970">
        <f>'Formule pour le calcul D'!G114</f>
        <v>54651</v>
      </c>
      <c r="AY7" s="782" t="s">
        <v>50</v>
      </c>
      <c r="AZ7" s="782" t="s">
        <v>51</v>
      </c>
      <c r="BA7" s="971">
        <f>'Formule pour le calcul D'!J114</f>
        <v>2.2692307692307692</v>
      </c>
      <c r="BB7" s="782" t="s">
        <v>50</v>
      </c>
      <c r="BC7" s="969">
        <f>AV7/AX7/BA7</f>
        <v>3.232223017557327</v>
      </c>
      <c r="BD7" s="782" t="s">
        <v>54</v>
      </c>
      <c r="BE7" s="1483"/>
    </row>
    <row r="8" spans="2:57" ht="17" thickBot="1" x14ac:dyDescent="0.25">
      <c r="B8" s="1493" t="s">
        <v>341</v>
      </c>
      <c r="C8" s="1494"/>
      <c r="E8" s="878" t="str">
        <f>'% Occupation'!D5</f>
        <v>Pér.01</v>
      </c>
      <c r="F8" s="796" t="str">
        <f>'État des Résultats'!F8</f>
        <v>(%)</v>
      </c>
      <c r="G8" s="366"/>
      <c r="H8" s="878" t="str">
        <f>'% Occupation'!E5</f>
        <v>Pér.02</v>
      </c>
      <c r="I8" s="796" t="str">
        <f>F8</f>
        <v>(%)</v>
      </c>
      <c r="J8" s="366"/>
      <c r="K8" s="878" t="str">
        <f>'% Occupation'!F5</f>
        <v>Pér.03</v>
      </c>
      <c r="L8" s="796" t="str">
        <f>I8</f>
        <v>(%)</v>
      </c>
      <c r="M8" s="366"/>
      <c r="N8" s="878" t="str">
        <f>'% Occupation'!G5</f>
        <v>Pér.04</v>
      </c>
      <c r="O8" s="796" t="str">
        <f>L8</f>
        <v>(%)</v>
      </c>
      <c r="P8" s="879"/>
      <c r="Q8" s="880" t="str">
        <f>'% Occupation'!H5</f>
        <v>Pér.05</v>
      </c>
      <c r="R8" s="798" t="str">
        <f>O8</f>
        <v>(%)</v>
      </c>
      <c r="S8" s="879"/>
      <c r="T8" s="878" t="str">
        <f>'% Occupation'!I5</f>
        <v>Pér.06</v>
      </c>
      <c r="U8" s="796" t="str">
        <f>R8</f>
        <v>(%)</v>
      </c>
      <c r="V8" s="366"/>
      <c r="W8" s="878" t="str">
        <f>'% Occupation'!J5</f>
        <v>Pér.07</v>
      </c>
      <c r="X8" s="796" t="str">
        <f>U8</f>
        <v>(%)</v>
      </c>
      <c r="Y8" s="395"/>
      <c r="Z8" s="878" t="str">
        <f>'% Occupation'!K5</f>
        <v>Pér.08</v>
      </c>
      <c r="AA8" s="796" t="str">
        <f>X8</f>
        <v>(%)</v>
      </c>
      <c r="AB8" s="366"/>
      <c r="AC8" s="878" t="str">
        <f>'% Occupation'!L5</f>
        <v>Pér.09</v>
      </c>
      <c r="AD8" s="796" t="str">
        <f>AA8</f>
        <v>(%)</v>
      </c>
      <c r="AE8" s="366"/>
      <c r="AF8" s="878" t="str">
        <f>'% Occupation'!M5</f>
        <v>Pér.10</v>
      </c>
      <c r="AG8" s="796" t="str">
        <f>AD8</f>
        <v>(%)</v>
      </c>
      <c r="AH8" s="366"/>
      <c r="AI8" s="878" t="str">
        <f>'% Occupation'!N5</f>
        <v>Pér.11</v>
      </c>
      <c r="AJ8" s="796" t="str">
        <f>AG8</f>
        <v>(%)</v>
      </c>
      <c r="AK8" s="881"/>
      <c r="AL8" s="878" t="str">
        <f>'% Occupation'!O5</f>
        <v>Pér.12</v>
      </c>
      <c r="AM8" s="796" t="str">
        <f>AJ8</f>
        <v>(%)</v>
      </c>
      <c r="AN8" s="366"/>
      <c r="AO8" s="882" t="str">
        <f>'% Occupation'!P5</f>
        <v>Pér.13</v>
      </c>
      <c r="AP8" s="796" t="str">
        <f>AM8</f>
        <v>(%)</v>
      </c>
      <c r="AQ8"/>
      <c r="AR8" s="1058" t="str">
        <f>'% Occupation'!Q5</f>
        <v>Année</v>
      </c>
      <c r="AS8" s="1059" t="str">
        <f>AP8</f>
        <v>(%)</v>
      </c>
      <c r="AU8" s="1481"/>
      <c r="AV8" s="800"/>
      <c r="AW8" s="800"/>
      <c r="AX8" s="800"/>
      <c r="AY8" s="800"/>
      <c r="AZ8" s="800"/>
      <c r="BA8" s="800"/>
      <c r="BB8" s="800"/>
      <c r="BC8" s="800"/>
      <c r="BD8" s="800"/>
      <c r="BE8" s="1484"/>
    </row>
    <row r="9" spans="2:57" ht="15" thickTop="1" thickBot="1" x14ac:dyDescent="0.2">
      <c r="B9" s="1495">
        <f>AO38/B7</f>
        <v>1294.6884739999998</v>
      </c>
      <c r="C9" s="1496"/>
      <c r="D9" s="545"/>
      <c r="E9" s="883">
        <f>'% Occupation'!D6</f>
        <v>44928</v>
      </c>
      <c r="F9" s="884"/>
      <c r="G9" s="546"/>
      <c r="H9" s="883">
        <f>'% Occupation'!E6</f>
        <v>44956</v>
      </c>
      <c r="I9" s="885"/>
      <c r="J9" s="546"/>
      <c r="K9" s="883">
        <f>'% Occupation'!F6</f>
        <v>44984</v>
      </c>
      <c r="L9" s="885"/>
      <c r="M9" s="546"/>
      <c r="N9" s="883">
        <f>'% Occupation'!G6</f>
        <v>45012</v>
      </c>
      <c r="O9" s="886"/>
      <c r="P9" s="547"/>
      <c r="Q9" s="574">
        <f>'% Occupation'!H6</f>
        <v>45040</v>
      </c>
      <c r="R9" s="575"/>
      <c r="S9" s="547"/>
      <c r="T9" s="883">
        <f>'% Occupation'!I6</f>
        <v>45068</v>
      </c>
      <c r="U9" s="885"/>
      <c r="V9" s="546"/>
      <c r="W9" s="883">
        <f>'% Occupation'!J6</f>
        <v>45096</v>
      </c>
      <c r="X9" s="885"/>
      <c r="Y9" s="395"/>
      <c r="Z9" s="883">
        <f>'% Occupation'!K6</f>
        <v>45124</v>
      </c>
      <c r="AA9" s="885"/>
      <c r="AB9" s="546"/>
      <c r="AC9" s="883">
        <f>'% Occupation'!L6</f>
        <v>45152</v>
      </c>
      <c r="AD9" s="885"/>
      <c r="AE9" s="546"/>
      <c r="AF9" s="883">
        <f>'% Occupation'!M6</f>
        <v>45180</v>
      </c>
      <c r="AG9" s="885"/>
      <c r="AH9" s="546"/>
      <c r="AI9" s="883">
        <f>'% Occupation'!N6</f>
        <v>45208</v>
      </c>
      <c r="AJ9" s="885"/>
      <c r="AK9" s="887"/>
      <c r="AL9" s="883">
        <f>'% Occupation'!O6</f>
        <v>45236</v>
      </c>
      <c r="AM9" s="885"/>
      <c r="AN9" s="546"/>
      <c r="AO9" s="888">
        <f>'% Occupation'!P6</f>
        <v>45264</v>
      </c>
      <c r="AP9" s="889"/>
      <c r="AQ9"/>
      <c r="AR9" s="1060" t="str">
        <f>'% Occupation'!Q6</f>
        <v>Total</v>
      </c>
      <c r="AS9" s="1061"/>
    </row>
    <row r="10" spans="2:57" ht="15" thickTop="1" thickBot="1" x14ac:dyDescent="0.2">
      <c r="B10" s="890"/>
      <c r="C10" s="891"/>
      <c r="D10" s="771"/>
      <c r="E10" s="892"/>
      <c r="F10" s="893"/>
      <c r="G10" s="804"/>
      <c r="H10" s="892"/>
      <c r="I10" s="892"/>
      <c r="J10" s="804"/>
      <c r="K10" s="892"/>
      <c r="L10" s="892"/>
      <c r="M10" s="804"/>
      <c r="N10" s="892"/>
      <c r="O10" s="892"/>
      <c r="P10" s="892"/>
      <c r="Q10" s="892"/>
      <c r="R10" s="892"/>
      <c r="S10" s="892"/>
      <c r="T10" s="892"/>
      <c r="U10" s="892"/>
      <c r="V10" s="804"/>
      <c r="W10" s="892"/>
      <c r="X10" s="892"/>
      <c r="Y10" s="797"/>
      <c r="Z10" s="892"/>
      <c r="AA10" s="892"/>
      <c r="AB10" s="804"/>
      <c r="AC10" s="892"/>
      <c r="AD10" s="892"/>
      <c r="AE10" s="804"/>
      <c r="AF10" s="892"/>
      <c r="AG10" s="892"/>
      <c r="AH10" s="804"/>
      <c r="AI10" s="892"/>
      <c r="AJ10" s="892"/>
      <c r="AK10" s="804"/>
      <c r="AL10" s="892"/>
      <c r="AM10" s="892"/>
      <c r="AN10" s="804"/>
      <c r="AO10" s="894"/>
      <c r="AP10" s="893"/>
      <c r="AQ10"/>
      <c r="AR10" s="894"/>
      <c r="AS10" s="893"/>
    </row>
    <row r="11" spans="2:57" ht="14" thickTop="1" x14ac:dyDescent="0.15">
      <c r="B11" s="895">
        <v>6100</v>
      </c>
      <c r="C11" s="896" t="s">
        <v>342</v>
      </c>
      <c r="D11" s="381"/>
      <c r="E11" s="897"/>
      <c r="F11" s="898"/>
      <c r="G11" s="381"/>
      <c r="H11" s="897"/>
      <c r="I11" s="898"/>
      <c r="J11" s="381"/>
      <c r="K11" s="897"/>
      <c r="L11" s="898"/>
      <c r="M11" s="381"/>
      <c r="N11" s="897"/>
      <c r="O11" s="898"/>
      <c r="P11" s="381"/>
      <c r="Q11" s="897"/>
      <c r="R11" s="898"/>
      <c r="S11" s="381"/>
      <c r="T11" s="897"/>
      <c r="U11" s="898"/>
      <c r="V11" s="381"/>
      <c r="W11" s="897"/>
      <c r="X11" s="898"/>
      <c r="Y11" s="381"/>
      <c r="Z11" s="897"/>
      <c r="AA11" s="898"/>
      <c r="AB11" s="381"/>
      <c r="AC11" s="897"/>
      <c r="AD11" s="898"/>
      <c r="AE11" s="381"/>
      <c r="AF11" s="897"/>
      <c r="AG11" s="898"/>
      <c r="AH11" s="381"/>
      <c r="AI11" s="897"/>
      <c r="AJ11" s="898"/>
      <c r="AK11" s="381"/>
      <c r="AL11" s="897"/>
      <c r="AM11" s="898"/>
      <c r="AN11" s="381"/>
      <c r="AO11" s="897"/>
      <c r="AP11" s="898"/>
      <c r="AQ11"/>
      <c r="AR11" s="899"/>
      <c r="AS11" s="900"/>
    </row>
    <row r="12" spans="2:57" x14ac:dyDescent="0.15">
      <c r="B12" s="901"/>
      <c r="C12" s="902"/>
      <c r="D12" s="860"/>
      <c r="E12" s="903"/>
      <c r="F12" s="904"/>
      <c r="G12" s="860"/>
      <c r="H12" s="903"/>
      <c r="I12" s="904"/>
      <c r="J12" s="860"/>
      <c r="K12" s="903"/>
      <c r="L12" s="904"/>
      <c r="M12" s="860"/>
      <c r="N12" s="903"/>
      <c r="O12" s="904"/>
      <c r="P12" s="860"/>
      <c r="Q12" s="903"/>
      <c r="R12" s="904"/>
      <c r="S12" s="860"/>
      <c r="T12" s="903"/>
      <c r="U12" s="904"/>
      <c r="V12" s="860"/>
      <c r="W12" s="903"/>
      <c r="X12" s="904"/>
      <c r="Y12" s="860"/>
      <c r="Z12" s="903"/>
      <c r="AA12" s="904"/>
      <c r="AB12" s="860"/>
      <c r="AC12" s="903"/>
      <c r="AD12" s="904"/>
      <c r="AE12" s="860"/>
      <c r="AF12" s="903"/>
      <c r="AG12" s="904"/>
      <c r="AH12" s="860"/>
      <c r="AI12" s="903"/>
      <c r="AJ12" s="904"/>
      <c r="AK12" s="860"/>
      <c r="AL12" s="903"/>
      <c r="AM12" s="904"/>
      <c r="AN12" s="860"/>
      <c r="AO12" s="903"/>
      <c r="AP12" s="904"/>
      <c r="AQ12"/>
      <c r="AR12" s="981"/>
      <c r="AS12" s="982"/>
      <c r="AT12" s="139"/>
    </row>
    <row r="13" spans="2:57" x14ac:dyDescent="0.15">
      <c r="B13" s="370">
        <v>6110</v>
      </c>
      <c r="C13" s="414" t="s">
        <v>343</v>
      </c>
      <c r="E13" s="905">
        <f>'Salaire (planification)'!E12</f>
        <v>500</v>
      </c>
      <c r="F13" s="906">
        <f>E13/'État des Résultats'!E$14</f>
        <v>1.8213476515543382E-2</v>
      </c>
      <c r="H13" s="905">
        <f>'Salaire (planification)'!H12</f>
        <v>500</v>
      </c>
      <c r="I13" s="906">
        <f>H13/'État des Résultats'!H$14</f>
        <v>1.8213476515543382E-2</v>
      </c>
      <c r="K13" s="905">
        <f>'Salaire (planification)'!K12</f>
        <v>500</v>
      </c>
      <c r="L13" s="906">
        <f>K13/'État des Résultats'!K$14</f>
        <v>1.2661561525059763E-2</v>
      </c>
      <c r="N13" s="905">
        <f>'Salaire (planification)'!N12</f>
        <v>500</v>
      </c>
      <c r="O13" s="906">
        <f>N13/'État des Résultats'!N$14</f>
        <v>9.3176563764799051E-3</v>
      </c>
      <c r="Q13" s="905">
        <f>'Salaire (planification)'!Q12</f>
        <v>500</v>
      </c>
      <c r="R13" s="906">
        <f>Q13/'État des Résultats'!Q$14</f>
        <v>7.553141068127444E-3</v>
      </c>
      <c r="T13" s="905">
        <f>'Salaire (planification)'!T12</f>
        <v>500</v>
      </c>
      <c r="U13" s="906">
        <f>T13/'État des Résultats'!T$14</f>
        <v>6.3505218144393394E-3</v>
      </c>
      <c r="W13" s="905">
        <f>'Salaire (planification)'!W12</f>
        <v>500</v>
      </c>
      <c r="X13" s="906">
        <f>W13/'État des Résultats'!W$14</f>
        <v>5.2780751240044154E-3</v>
      </c>
      <c r="Z13" s="905">
        <f>'Salaire (planification)'!Z12</f>
        <v>500</v>
      </c>
      <c r="AA13" s="906">
        <f>Z13/'État des Résultats'!Z$14</f>
        <v>4.6324165858116946E-3</v>
      </c>
      <c r="AC13" s="905">
        <f>'Salaire (planification)'!AC12</f>
        <v>500</v>
      </c>
      <c r="AD13" s="906">
        <f>AC13/'État des Résultats'!AC$14</f>
        <v>4.6324165858116946E-3</v>
      </c>
      <c r="AF13" s="905">
        <f>'Salaire (planification)'!AF12</f>
        <v>500</v>
      </c>
      <c r="AG13" s="906">
        <f>AF13/'État des Résultats'!AF$14</f>
        <v>4.461726694923525E-3</v>
      </c>
      <c r="AI13" s="905">
        <f>'Salaire (planification)'!AI12</f>
        <v>500</v>
      </c>
      <c r="AJ13" s="906">
        <f>AI13/'État des Résultats'!AI$14</f>
        <v>4.461726694923525E-3</v>
      </c>
      <c r="AL13" s="905">
        <f>'Salaire (planification)'!AL12</f>
        <v>500</v>
      </c>
      <c r="AM13" s="906">
        <f>AL13/'État des Résultats'!AL$14</f>
        <v>5.0745527923487929E-3</v>
      </c>
      <c r="AO13" s="905">
        <f>'Salaire (planification)'!AO12</f>
        <v>500</v>
      </c>
      <c r="AP13" s="906">
        <f>AO13/'État des Résultats'!AO$14</f>
        <v>4.894216406588007E-3</v>
      </c>
      <c r="AQ13"/>
      <c r="AR13" s="983">
        <f>SUM(+$AO13+$AL13+$AI13+$AF13+$AC13+$Z13+$W13+$T13+$Q13+$N13+$K13+$H13+$E13)</f>
        <v>6500</v>
      </c>
      <c r="AS13" s="984">
        <f>AR13/'État des Résultats'!AR$14</f>
        <v>6.3204415950575627E-3</v>
      </c>
    </row>
    <row r="14" spans="2:57" x14ac:dyDescent="0.15">
      <c r="B14" s="370">
        <v>6120</v>
      </c>
      <c r="C14" s="414" t="s">
        <v>344</v>
      </c>
      <c r="E14" s="907">
        <f>'Salaire (planification)'!E18</f>
        <v>4666.8740000000007</v>
      </c>
      <c r="F14" s="906">
        <f>E14/'État des Résultats'!E$14</f>
        <v>0.17</v>
      </c>
      <c r="G14" s="908">
        <v>2.6770411418212836E-6</v>
      </c>
      <c r="H14" s="907">
        <f>'Salaire (planification)'!H18</f>
        <v>4666.8740000000007</v>
      </c>
      <c r="I14" s="906">
        <f>H14/'État des Résultats'!H$14</f>
        <v>0.17</v>
      </c>
      <c r="K14" s="907">
        <f>'Salaire (planification)'!K18</f>
        <v>6713.232</v>
      </c>
      <c r="L14" s="906">
        <f>K14/'État des Résultats'!K$14</f>
        <v>0.17</v>
      </c>
      <c r="N14" s="907">
        <f>'Salaire (planification)'!N18</f>
        <v>9122.4656250000007</v>
      </c>
      <c r="O14" s="906">
        <f>N14/'État des Résultats'!N$14</f>
        <v>0.17</v>
      </c>
      <c r="Q14" s="907">
        <f>'Salaire (planification)'!Q18</f>
        <v>11253.596250000001</v>
      </c>
      <c r="R14" s="906">
        <f>Q14/'État des Résultats'!Q$14</f>
        <v>0.17</v>
      </c>
      <c r="T14" s="907">
        <f>'Salaire (planification)'!T18</f>
        <v>13384.726875000004</v>
      </c>
      <c r="U14" s="906">
        <f>T14/'État des Résultats'!T$14</f>
        <v>0.17</v>
      </c>
      <c r="W14" s="907">
        <f>'Salaire (planification)'!W18</f>
        <v>16104.355850000004</v>
      </c>
      <c r="X14" s="906">
        <f>W14/'État des Résultats'!W$14</f>
        <v>0.17</v>
      </c>
      <c r="Z14" s="907">
        <f>'Salaire (planification)'!Z18</f>
        <v>18348.954250000006</v>
      </c>
      <c r="AA14" s="906">
        <f>Z14/'État des Résultats'!Z$14</f>
        <v>0.17</v>
      </c>
      <c r="AC14" s="907">
        <f>'Salaire (planification)'!AC18</f>
        <v>18348.954250000006</v>
      </c>
      <c r="AD14" s="906">
        <f>AC14/'État des Résultats'!AC$14</f>
        <v>0.17</v>
      </c>
      <c r="AF14" s="907">
        <f>'Salaire (planification)'!AF18</f>
        <v>19050.920375000002</v>
      </c>
      <c r="AG14" s="906">
        <f>AF14/'État des Résultats'!AF$14</f>
        <v>0.17</v>
      </c>
      <c r="AI14" s="907">
        <f>'Salaire (planification)'!AI18</f>
        <v>19050.920375000002</v>
      </c>
      <c r="AJ14" s="906">
        <f>AI14/'État des Résultats'!AI$14</f>
        <v>0.17</v>
      </c>
      <c r="AL14" s="907">
        <f>'Salaire (planification)'!AL18</f>
        <v>16750.244500000001</v>
      </c>
      <c r="AM14" s="906">
        <f>AL14/'État des Résultats'!AL$14</f>
        <v>0.17</v>
      </c>
      <c r="AO14" s="907">
        <f>'Salaire (planification)'!AO18</f>
        <v>17367.438000000002</v>
      </c>
      <c r="AP14" s="906">
        <f>AO14/'État des Résultats'!AO$14</f>
        <v>0.17000000000000004</v>
      </c>
      <c r="AQ14"/>
      <c r="AR14" s="983">
        <f t="shared" ref="AR14:AR21" si="0">SUM(+$AO14+$AL14+$AI14+$AF14+$AC14+$Z14+$W14+$T14+$Q14+$N14+$K14+$H14+$E14)</f>
        <v>174829.55635000006</v>
      </c>
      <c r="AS14" s="984">
        <f>AR14/'État des Résultats'!AR$14</f>
        <v>0.17000000000000007</v>
      </c>
    </row>
    <row r="15" spans="2:57" x14ac:dyDescent="0.15">
      <c r="B15" s="370">
        <v>6130</v>
      </c>
      <c r="C15" s="414" t="s">
        <v>345</v>
      </c>
      <c r="E15" s="907">
        <f>'Salaire (planification)'!E24</f>
        <v>3568.7860000000001</v>
      </c>
      <c r="F15" s="906">
        <f>E15/'État des Résultats'!E$14</f>
        <v>0.13</v>
      </c>
      <c r="H15" s="907">
        <f>'Salaire (planification)'!H24</f>
        <v>3568.7860000000001</v>
      </c>
      <c r="I15" s="906">
        <f>H15/'État des Résultats'!H$14</f>
        <v>0.13</v>
      </c>
      <c r="K15" s="907">
        <f>'Salaire (planification)'!K24</f>
        <v>5133.6480000000001</v>
      </c>
      <c r="L15" s="906">
        <f>K15/'État des Résultats'!K$14</f>
        <v>0.13</v>
      </c>
      <c r="N15" s="907">
        <f>'Salaire (planification)'!N24</f>
        <v>6976.0031250000002</v>
      </c>
      <c r="O15" s="906">
        <f>N15/'État des Résultats'!N$14</f>
        <v>0.13</v>
      </c>
      <c r="Q15" s="907">
        <f>'Salaire (planification)'!Q24</f>
        <v>8605.6912499999999</v>
      </c>
      <c r="R15" s="906">
        <f>Q15/'État des Résultats'!Q$14</f>
        <v>0.13</v>
      </c>
      <c r="T15" s="907">
        <f>'Salaire (planification)'!T24</f>
        <v>10235.379375000002</v>
      </c>
      <c r="U15" s="906">
        <f>T15/'État des Résultats'!T$14</f>
        <v>0.13</v>
      </c>
      <c r="W15" s="907">
        <f>'Salaire (planification)'!W24</f>
        <v>12315.095650000003</v>
      </c>
      <c r="X15" s="906">
        <f>W15/'État des Résultats'!W$14</f>
        <v>0.13</v>
      </c>
      <c r="Z15" s="907">
        <f>'Salaire (planification)'!Z24</f>
        <v>14031.553250000003</v>
      </c>
      <c r="AA15" s="906">
        <f>Z15/'État des Résultats'!Z$14</f>
        <v>0.13</v>
      </c>
      <c r="AC15" s="907">
        <f>'Salaire (planification)'!AC24</f>
        <v>14031.553250000003</v>
      </c>
      <c r="AD15" s="906">
        <f>AC15/'État des Résultats'!AC$14</f>
        <v>0.13</v>
      </c>
      <c r="AF15" s="907">
        <f>'Salaire (planification)'!AF24</f>
        <v>14568.350875</v>
      </c>
      <c r="AG15" s="906">
        <f>AF15/'État des Résultats'!AF$14</f>
        <v>0.13</v>
      </c>
      <c r="AI15" s="907">
        <f>'Salaire (planification)'!AI24</f>
        <v>14568.350875</v>
      </c>
      <c r="AJ15" s="906">
        <f>AI15/'État des Résultats'!AI$14</f>
        <v>0.13</v>
      </c>
      <c r="AL15" s="907">
        <f>'Salaire (planification)'!AL24</f>
        <v>12809.010499999999</v>
      </c>
      <c r="AM15" s="906">
        <f>AL15/'État des Résultats'!AL$14</f>
        <v>0.13</v>
      </c>
      <c r="AO15" s="907">
        <f>'Salaire (planification)'!AO24</f>
        <v>13280.982</v>
      </c>
      <c r="AP15" s="906">
        <f>AO15/'État des Résultats'!AO$14</f>
        <v>0.13</v>
      </c>
      <c r="AQ15"/>
      <c r="AR15" s="983">
        <f t="shared" si="0"/>
        <v>133693.19015000001</v>
      </c>
      <c r="AS15" s="984">
        <f>AR15/'État des Résultats'!AR$14</f>
        <v>0.13000000000000003</v>
      </c>
    </row>
    <row r="16" spans="2:57" x14ac:dyDescent="0.15">
      <c r="B16" s="370">
        <v>6140</v>
      </c>
      <c r="C16" s="414" t="s">
        <v>346</v>
      </c>
      <c r="E16" s="907">
        <f>'Salaire (planification)'!E30</f>
        <v>500</v>
      </c>
      <c r="F16" s="906">
        <f>E16/'État des Résultats'!E$14</f>
        <v>1.8213476515543382E-2</v>
      </c>
      <c r="H16" s="907">
        <f>'Salaire (planification)'!H30</f>
        <v>500</v>
      </c>
      <c r="I16" s="906">
        <f>H16/'État des Résultats'!H$14</f>
        <v>1.8213476515543382E-2</v>
      </c>
      <c r="K16" s="907">
        <f>'Salaire (planification)'!K30</f>
        <v>500</v>
      </c>
      <c r="L16" s="906">
        <f>K16/'État des Résultats'!K$14</f>
        <v>1.2661561525059763E-2</v>
      </c>
      <c r="N16" s="907">
        <f>'Salaire (planification)'!N30</f>
        <v>500</v>
      </c>
      <c r="O16" s="906">
        <f>N16/'État des Résultats'!N$14</f>
        <v>9.3176563764799051E-3</v>
      </c>
      <c r="Q16" s="907">
        <f>'Salaire (planification)'!Q30</f>
        <v>500</v>
      </c>
      <c r="R16" s="906">
        <f>Q16/'État des Résultats'!Q$14</f>
        <v>7.553141068127444E-3</v>
      </c>
      <c r="T16" s="907">
        <f>'Salaire (planification)'!T30</f>
        <v>500</v>
      </c>
      <c r="U16" s="906">
        <f>T16/'État des Résultats'!T$14</f>
        <v>6.3505218144393394E-3</v>
      </c>
      <c r="W16" s="907">
        <f>'Salaire (planification)'!W30</f>
        <v>500</v>
      </c>
      <c r="X16" s="906">
        <f>W16/'État des Résultats'!W$14</f>
        <v>5.2780751240044154E-3</v>
      </c>
      <c r="Z16" s="907">
        <f>'Salaire (planification)'!Z30</f>
        <v>500</v>
      </c>
      <c r="AA16" s="906">
        <f>Z16/'État des Résultats'!Z$14</f>
        <v>4.6324165858116946E-3</v>
      </c>
      <c r="AC16" s="907">
        <f>'Salaire (planification)'!AC30</f>
        <v>500</v>
      </c>
      <c r="AD16" s="906">
        <f>AC16/'État des Résultats'!AC$14</f>
        <v>4.6324165858116946E-3</v>
      </c>
      <c r="AF16" s="907">
        <f>'Salaire (planification)'!AF30</f>
        <v>500</v>
      </c>
      <c r="AG16" s="906">
        <f>AF16/'État des Résultats'!AF$14</f>
        <v>4.461726694923525E-3</v>
      </c>
      <c r="AI16" s="907">
        <f>'Salaire (planification)'!AI30</f>
        <v>500</v>
      </c>
      <c r="AJ16" s="906">
        <f>AI16/'État des Résultats'!AI$14</f>
        <v>4.461726694923525E-3</v>
      </c>
      <c r="AL16" s="907">
        <f>'Salaire (planification)'!AL30</f>
        <v>500</v>
      </c>
      <c r="AM16" s="906">
        <f>AL16/'État des Résultats'!AL$14</f>
        <v>5.0745527923487929E-3</v>
      </c>
      <c r="AO16" s="907">
        <f>'Salaire (planification)'!AO30</f>
        <v>500</v>
      </c>
      <c r="AP16" s="906">
        <f>AO16/'État des Résultats'!AO$14</f>
        <v>4.894216406588007E-3</v>
      </c>
      <c r="AQ16"/>
      <c r="AR16" s="983">
        <f t="shared" si="0"/>
        <v>6500</v>
      </c>
      <c r="AS16" s="984">
        <f>AR16/'État des Résultats'!AR$14</f>
        <v>6.3204415950575627E-3</v>
      </c>
    </row>
    <row r="17" spans="2:71" x14ac:dyDescent="0.15">
      <c r="B17" s="370">
        <v>6150</v>
      </c>
      <c r="C17" s="414" t="s">
        <v>347</v>
      </c>
      <c r="E17" s="907">
        <f>'Salaire (planification)'!E36</f>
        <v>500</v>
      </c>
      <c r="F17" s="906">
        <f>E17/'État des Résultats'!E$14</f>
        <v>1.8213476515543382E-2</v>
      </c>
      <c r="H17" s="907">
        <f>'Salaire (planification)'!H36</f>
        <v>500</v>
      </c>
      <c r="I17" s="906">
        <f>H17/'État des Résultats'!H$14</f>
        <v>1.8213476515543382E-2</v>
      </c>
      <c r="K17" s="907">
        <f>'Salaire (planification)'!K36</f>
        <v>500</v>
      </c>
      <c r="L17" s="906">
        <f>K17/'État des Résultats'!K$14</f>
        <v>1.2661561525059763E-2</v>
      </c>
      <c r="N17" s="907">
        <f>'Salaire (planification)'!N36</f>
        <v>500</v>
      </c>
      <c r="O17" s="906">
        <f>N17/'État des Résultats'!N$14</f>
        <v>9.3176563764799051E-3</v>
      </c>
      <c r="Q17" s="907">
        <f>'Salaire (planification)'!Q36</f>
        <v>500</v>
      </c>
      <c r="R17" s="906">
        <f>Q17/'État des Résultats'!Q$14</f>
        <v>7.553141068127444E-3</v>
      </c>
      <c r="T17" s="907">
        <f>'Salaire (planification)'!T36</f>
        <v>500</v>
      </c>
      <c r="U17" s="906">
        <f>T17/'État des Résultats'!T$14</f>
        <v>6.3505218144393394E-3</v>
      </c>
      <c r="W17" s="907">
        <f>'Salaire (planification)'!W36</f>
        <v>500</v>
      </c>
      <c r="X17" s="906">
        <f>W17/'État des Résultats'!W$14</f>
        <v>5.2780751240044154E-3</v>
      </c>
      <c r="Z17" s="907">
        <f>'Salaire (planification)'!Z36</f>
        <v>500</v>
      </c>
      <c r="AA17" s="906">
        <f>Z17/'État des Résultats'!Z$14</f>
        <v>4.6324165858116946E-3</v>
      </c>
      <c r="AC17" s="907">
        <f>'Salaire (planification)'!AC36</f>
        <v>500</v>
      </c>
      <c r="AD17" s="906">
        <f>AC17/'État des Résultats'!AC$14</f>
        <v>4.6324165858116946E-3</v>
      </c>
      <c r="AF17" s="907">
        <f>'Salaire (planification)'!AF36</f>
        <v>500</v>
      </c>
      <c r="AG17" s="906">
        <f>AF17/'État des Résultats'!AF$14</f>
        <v>4.461726694923525E-3</v>
      </c>
      <c r="AI17" s="907">
        <f>'Salaire (planification)'!AI36</f>
        <v>500</v>
      </c>
      <c r="AJ17" s="906">
        <f>AI17/'État des Résultats'!AI$14</f>
        <v>4.461726694923525E-3</v>
      </c>
      <c r="AL17" s="907">
        <f>'Salaire (planification)'!AL36</f>
        <v>500</v>
      </c>
      <c r="AM17" s="906">
        <f>AL17/'État des Résultats'!AL$14</f>
        <v>5.0745527923487929E-3</v>
      </c>
      <c r="AO17" s="907">
        <f>'Salaire (planification)'!AO36</f>
        <v>500</v>
      </c>
      <c r="AP17" s="906">
        <f>AO17/'État des Résultats'!AO$14</f>
        <v>4.894216406588007E-3</v>
      </c>
      <c r="AQ17"/>
      <c r="AR17" s="983">
        <f t="shared" si="0"/>
        <v>6500</v>
      </c>
      <c r="AS17" s="984">
        <f>AR17/'État des Résultats'!AR$14</f>
        <v>6.3204415950575627E-3</v>
      </c>
    </row>
    <row r="18" spans="2:71" x14ac:dyDescent="0.15">
      <c r="B18" s="370">
        <v>6160</v>
      </c>
      <c r="C18" s="414" t="s">
        <v>348</v>
      </c>
      <c r="E18" s="907">
        <f>'Salaire (planification)'!E42</f>
        <v>500</v>
      </c>
      <c r="F18" s="906">
        <f>E18/'État des Résultats'!E$14</f>
        <v>1.8213476515543382E-2</v>
      </c>
      <c r="H18" s="907">
        <f>'Salaire (planification)'!H42</f>
        <v>500</v>
      </c>
      <c r="I18" s="906">
        <f>H18/'État des Résultats'!H$14</f>
        <v>1.8213476515543382E-2</v>
      </c>
      <c r="K18" s="907">
        <f>'Salaire (planification)'!K42</f>
        <v>500</v>
      </c>
      <c r="L18" s="906">
        <f>K18/'État des Résultats'!K$14</f>
        <v>1.2661561525059763E-2</v>
      </c>
      <c r="N18" s="907">
        <f>'Salaire (planification)'!N42</f>
        <v>500</v>
      </c>
      <c r="O18" s="906">
        <f>N18/'État des Résultats'!N$14</f>
        <v>9.3176563764799051E-3</v>
      </c>
      <c r="Q18" s="907">
        <f>'Salaire (planification)'!Q42</f>
        <v>500</v>
      </c>
      <c r="R18" s="906">
        <f>Q18/'État des Résultats'!Q$14</f>
        <v>7.553141068127444E-3</v>
      </c>
      <c r="T18" s="907">
        <f>'Salaire (planification)'!T42</f>
        <v>500</v>
      </c>
      <c r="U18" s="906">
        <f>T18/'État des Résultats'!T$14</f>
        <v>6.3505218144393394E-3</v>
      </c>
      <c r="W18" s="907">
        <f>'Salaire (planification)'!W42</f>
        <v>500</v>
      </c>
      <c r="X18" s="906">
        <f>W18/'État des Résultats'!W$14</f>
        <v>5.2780751240044154E-3</v>
      </c>
      <c r="Z18" s="907">
        <f>'Salaire (planification)'!Z42</f>
        <v>500</v>
      </c>
      <c r="AA18" s="906">
        <f>Z18/'État des Résultats'!Z$14</f>
        <v>4.6324165858116946E-3</v>
      </c>
      <c r="AC18" s="907">
        <f>'Salaire (planification)'!AC42</f>
        <v>500</v>
      </c>
      <c r="AD18" s="906">
        <f>AC18/'État des Résultats'!AC$14</f>
        <v>4.6324165858116946E-3</v>
      </c>
      <c r="AF18" s="907">
        <f>'Salaire (planification)'!AF42</f>
        <v>500</v>
      </c>
      <c r="AG18" s="906">
        <f>AF18/'État des Résultats'!AF$14</f>
        <v>4.461726694923525E-3</v>
      </c>
      <c r="AI18" s="907">
        <f>'Salaire (planification)'!AI42</f>
        <v>500</v>
      </c>
      <c r="AJ18" s="906">
        <f>AI18/'État des Résultats'!AI$14</f>
        <v>4.461726694923525E-3</v>
      </c>
      <c r="AL18" s="907">
        <f>'Salaire (planification)'!AL42</f>
        <v>500</v>
      </c>
      <c r="AM18" s="906">
        <f>AL18/'État des Résultats'!AL$14</f>
        <v>5.0745527923487929E-3</v>
      </c>
      <c r="AO18" s="907">
        <f>'Salaire (planification)'!AO42</f>
        <v>500</v>
      </c>
      <c r="AP18" s="906">
        <f>AO18/'État des Résultats'!AO$14</f>
        <v>4.894216406588007E-3</v>
      </c>
      <c r="AQ18"/>
      <c r="AR18" s="983">
        <f t="shared" si="0"/>
        <v>6500</v>
      </c>
      <c r="AS18" s="984">
        <f>AR18/'État des Résultats'!AR$14</f>
        <v>6.3204415950575627E-3</v>
      </c>
    </row>
    <row r="19" spans="2:71" x14ac:dyDescent="0.15">
      <c r="B19" s="370">
        <v>6170</v>
      </c>
      <c r="C19" s="414" t="s">
        <v>349</v>
      </c>
      <c r="E19" s="907">
        <f>'Salaire (planification)'!E48</f>
        <v>500</v>
      </c>
      <c r="F19" s="906">
        <f>E19/'État des Résultats'!E$14</f>
        <v>1.8213476515543382E-2</v>
      </c>
      <c r="H19" s="907">
        <f>'Salaire (planification)'!H48</f>
        <v>500</v>
      </c>
      <c r="I19" s="906">
        <f>H19/'État des Résultats'!H$14</f>
        <v>1.8213476515543382E-2</v>
      </c>
      <c r="K19" s="907">
        <f>'Salaire (planification)'!K48</f>
        <v>500</v>
      </c>
      <c r="L19" s="906">
        <f>K19/'État des Résultats'!K$14</f>
        <v>1.2661561525059763E-2</v>
      </c>
      <c r="N19" s="907">
        <f>'Salaire (planification)'!N48</f>
        <v>500</v>
      </c>
      <c r="O19" s="906">
        <f>N19/'État des Résultats'!N$14</f>
        <v>9.3176563764799051E-3</v>
      </c>
      <c r="Q19" s="907">
        <f>'Salaire (planification)'!Q48</f>
        <v>500</v>
      </c>
      <c r="R19" s="906">
        <f>Q19/'État des Résultats'!Q$14</f>
        <v>7.553141068127444E-3</v>
      </c>
      <c r="T19" s="907">
        <f>'Salaire (planification)'!T48</f>
        <v>500</v>
      </c>
      <c r="U19" s="906">
        <f>T19/'État des Résultats'!T$14</f>
        <v>6.3505218144393394E-3</v>
      </c>
      <c r="W19" s="907">
        <f>'Salaire (planification)'!W48</f>
        <v>500</v>
      </c>
      <c r="X19" s="906">
        <f>W19/'État des Résultats'!W$14</f>
        <v>5.2780751240044154E-3</v>
      </c>
      <c r="Z19" s="907">
        <f>'Salaire (planification)'!Z48</f>
        <v>500</v>
      </c>
      <c r="AA19" s="906">
        <f>Z19/'État des Résultats'!Z$14</f>
        <v>4.6324165858116946E-3</v>
      </c>
      <c r="AC19" s="907">
        <f>'Salaire (planification)'!AC48</f>
        <v>500</v>
      </c>
      <c r="AD19" s="906">
        <f>AC19/'État des Résultats'!AC$14</f>
        <v>4.6324165858116946E-3</v>
      </c>
      <c r="AF19" s="907">
        <f>'Salaire (planification)'!AF48</f>
        <v>500</v>
      </c>
      <c r="AG19" s="906">
        <f>AF19/'État des Résultats'!AF$14</f>
        <v>4.461726694923525E-3</v>
      </c>
      <c r="AI19" s="907">
        <f>'Salaire (planification)'!AI48</f>
        <v>500</v>
      </c>
      <c r="AJ19" s="906">
        <f>AI19/'État des Résultats'!AI$14</f>
        <v>4.461726694923525E-3</v>
      </c>
      <c r="AL19" s="907">
        <f>'Salaire (planification)'!AL48</f>
        <v>500</v>
      </c>
      <c r="AM19" s="906">
        <f>AL19/'État des Résultats'!AL$14</f>
        <v>5.0745527923487929E-3</v>
      </c>
      <c r="AO19" s="907">
        <f>'Salaire (planification)'!AO48</f>
        <v>500</v>
      </c>
      <c r="AP19" s="906">
        <f>AO19/'État des Résultats'!AO$14</f>
        <v>4.894216406588007E-3</v>
      </c>
      <c r="AQ19"/>
      <c r="AR19" s="983">
        <f t="shared" si="0"/>
        <v>6500</v>
      </c>
      <c r="AS19" s="984">
        <f>AR19/'État des Résultats'!AR$14</f>
        <v>6.3204415950575627E-3</v>
      </c>
    </row>
    <row r="20" spans="2:71" x14ac:dyDescent="0.15">
      <c r="B20" s="370">
        <v>6180</v>
      </c>
      <c r="C20" s="414" t="s">
        <v>350</v>
      </c>
      <c r="E20" s="907">
        <f>'Salaire (planification)'!E54</f>
        <v>500</v>
      </c>
      <c r="F20" s="906">
        <f>E20/'État des Résultats'!E$14</f>
        <v>1.8213476515543382E-2</v>
      </c>
      <c r="H20" s="907">
        <f>'Salaire (planification)'!H54</f>
        <v>500</v>
      </c>
      <c r="I20" s="906">
        <f>H20/'État des Résultats'!H$14</f>
        <v>1.8213476515543382E-2</v>
      </c>
      <c r="K20" s="907">
        <f>'Salaire (planification)'!K54</f>
        <v>500</v>
      </c>
      <c r="L20" s="906">
        <f>K20/'État des Résultats'!K$14</f>
        <v>1.2661561525059763E-2</v>
      </c>
      <c r="N20" s="907">
        <f>'Salaire (planification)'!N54</f>
        <v>500</v>
      </c>
      <c r="O20" s="906">
        <f>N20/'État des Résultats'!N$14</f>
        <v>9.3176563764799051E-3</v>
      </c>
      <c r="Q20" s="907">
        <f>'Salaire (planification)'!Q54</f>
        <v>500</v>
      </c>
      <c r="R20" s="906">
        <f>Q20/'État des Résultats'!Q$14</f>
        <v>7.553141068127444E-3</v>
      </c>
      <c r="T20" s="907">
        <f>'Salaire (planification)'!T54</f>
        <v>500</v>
      </c>
      <c r="U20" s="906">
        <f>T20/'État des Résultats'!T$14</f>
        <v>6.3505218144393394E-3</v>
      </c>
      <c r="W20" s="907">
        <f>'Salaire (planification)'!W54</f>
        <v>500</v>
      </c>
      <c r="X20" s="906">
        <f>W20/'État des Résultats'!W$14</f>
        <v>5.2780751240044154E-3</v>
      </c>
      <c r="Z20" s="907">
        <f>'Salaire (planification)'!Z54</f>
        <v>500</v>
      </c>
      <c r="AA20" s="906">
        <f>Z20/'État des Résultats'!Z$14</f>
        <v>4.6324165858116946E-3</v>
      </c>
      <c r="AC20" s="907">
        <f>'Salaire (planification)'!AC54</f>
        <v>500</v>
      </c>
      <c r="AD20" s="906">
        <f>AC20/'État des Résultats'!AC$14</f>
        <v>4.6324165858116946E-3</v>
      </c>
      <c r="AF20" s="907">
        <f>'Salaire (planification)'!AF54</f>
        <v>500</v>
      </c>
      <c r="AG20" s="906">
        <f>AF20/'État des Résultats'!AF$14</f>
        <v>4.461726694923525E-3</v>
      </c>
      <c r="AI20" s="907">
        <f>'Salaire (planification)'!AI54</f>
        <v>500</v>
      </c>
      <c r="AJ20" s="906">
        <f>AI20/'État des Résultats'!AI$14</f>
        <v>4.461726694923525E-3</v>
      </c>
      <c r="AL20" s="907">
        <f>'Salaire (planification)'!AL54</f>
        <v>500</v>
      </c>
      <c r="AM20" s="906">
        <f>AL20/'État des Résultats'!AL$14</f>
        <v>5.0745527923487929E-3</v>
      </c>
      <c r="AO20" s="907">
        <f>'Salaire (planification)'!AO54</f>
        <v>500</v>
      </c>
      <c r="AP20" s="906">
        <f>AO20/'État des Résultats'!AO$14</f>
        <v>4.894216406588007E-3</v>
      </c>
      <c r="AQ20"/>
      <c r="AR20" s="983">
        <f t="shared" si="0"/>
        <v>6500</v>
      </c>
      <c r="AS20" s="984">
        <f>AR20/'État des Résultats'!AR$14</f>
        <v>6.3204415950575627E-3</v>
      </c>
    </row>
    <row r="21" spans="2:71" x14ac:dyDescent="0.15">
      <c r="B21" s="370">
        <v>6190</v>
      </c>
      <c r="C21" s="414" t="s">
        <v>351</v>
      </c>
      <c r="E21" s="907">
        <f>'Salaire (planification)'!E60</f>
        <v>0</v>
      </c>
      <c r="F21" s="906">
        <f>E21/'État des Résultats'!E$14</f>
        <v>0</v>
      </c>
      <c r="H21" s="907">
        <f>'Salaire (planification)'!H60</f>
        <v>0</v>
      </c>
      <c r="I21" s="906">
        <f>H21/'État des Résultats'!H$14</f>
        <v>0</v>
      </c>
      <c r="K21" s="907">
        <f>'Salaire (planification)'!K60</f>
        <v>0</v>
      </c>
      <c r="L21" s="906">
        <f>K21/'État des Résultats'!K$14</f>
        <v>0</v>
      </c>
      <c r="N21" s="907">
        <f>'Salaire (planification)'!N60</f>
        <v>0</v>
      </c>
      <c r="O21" s="906">
        <f>N21/'État des Résultats'!N$14</f>
        <v>0</v>
      </c>
      <c r="Q21" s="907">
        <f>'Salaire (planification)'!Q60</f>
        <v>0</v>
      </c>
      <c r="R21" s="906">
        <f>Q21/'État des Résultats'!Q$14</f>
        <v>0</v>
      </c>
      <c r="T21" s="907">
        <f>'Salaire (planification)'!T60</f>
        <v>0</v>
      </c>
      <c r="U21" s="906">
        <f>T21/'État des Résultats'!T$14</f>
        <v>0</v>
      </c>
      <c r="W21" s="907">
        <f>'Salaire (planification)'!W60</f>
        <v>0</v>
      </c>
      <c r="X21" s="906">
        <f>W21/'État des Résultats'!W$14</f>
        <v>0</v>
      </c>
      <c r="Z21" s="907">
        <f>'Salaire (planification)'!Z60</f>
        <v>0</v>
      </c>
      <c r="AA21" s="906">
        <f>Z21/'État des Résultats'!Z$14</f>
        <v>0</v>
      </c>
      <c r="AC21" s="907">
        <f>'Salaire (planification)'!AC60</f>
        <v>0</v>
      </c>
      <c r="AD21" s="906">
        <f>AC21/'État des Résultats'!AC$14</f>
        <v>0</v>
      </c>
      <c r="AF21" s="907">
        <f>'Salaire (planification)'!AF60</f>
        <v>0</v>
      </c>
      <c r="AG21" s="906">
        <f>AF21/'État des Résultats'!AF$14</f>
        <v>0</v>
      </c>
      <c r="AI21" s="907">
        <f>'Salaire (planification)'!AI60</f>
        <v>0</v>
      </c>
      <c r="AJ21" s="906">
        <f>AI21/'État des Résultats'!AI$14</f>
        <v>0</v>
      </c>
      <c r="AL21" s="907">
        <f>'Salaire (planification)'!AL60</f>
        <v>0</v>
      </c>
      <c r="AM21" s="906">
        <f>AL21/'État des Résultats'!AL$14</f>
        <v>0</v>
      </c>
      <c r="AO21" s="907">
        <f>'Salaire (planification)'!AO60</f>
        <v>0</v>
      </c>
      <c r="AP21" s="906">
        <f>AO21/'État des Résultats'!AO$14</f>
        <v>0</v>
      </c>
      <c r="AQ21"/>
      <c r="AR21" s="983">
        <f t="shared" si="0"/>
        <v>0</v>
      </c>
      <c r="AS21" s="984">
        <f>AR21/'État des Résultats'!AR$14</f>
        <v>0</v>
      </c>
    </row>
    <row r="22" spans="2:71" x14ac:dyDescent="0.15">
      <c r="B22" s="370"/>
      <c r="C22" s="414"/>
      <c r="E22" s="907"/>
      <c r="F22" s="906"/>
      <c r="H22" s="907"/>
      <c r="I22" s="906"/>
      <c r="K22" s="907"/>
      <c r="L22" s="906"/>
      <c r="N22" s="907"/>
      <c r="O22" s="906"/>
      <c r="Q22" s="907"/>
      <c r="R22" s="906"/>
      <c r="T22" s="907"/>
      <c r="U22" s="906"/>
      <c r="W22" s="907"/>
      <c r="X22" s="906"/>
      <c r="Z22" s="907"/>
      <c r="AA22" s="906"/>
      <c r="AC22" s="907"/>
      <c r="AD22" s="906"/>
      <c r="AF22" s="907"/>
      <c r="AG22" s="906"/>
      <c r="AI22" s="907"/>
      <c r="AJ22" s="906"/>
      <c r="AL22" s="907"/>
      <c r="AM22" s="906"/>
      <c r="AO22" s="907"/>
      <c r="AP22" s="906"/>
      <c r="AQ22"/>
      <c r="AR22" s="983"/>
      <c r="AS22" s="984"/>
    </row>
    <row r="23" spans="2:71" ht="14" thickBot="1" x14ac:dyDescent="0.2">
      <c r="B23" s="909"/>
      <c r="C23" s="910" t="s">
        <v>352</v>
      </c>
      <c r="D23" s="381"/>
      <c r="E23" s="911">
        <f>SUM(E13:E21)</f>
        <v>11235.66</v>
      </c>
      <c r="F23" s="912">
        <f>+SUM(F13:F21)</f>
        <v>0.4092808590932604</v>
      </c>
      <c r="G23" s="381"/>
      <c r="H23" s="911">
        <f>SUM(H13:H21)</f>
        <v>11235.66</v>
      </c>
      <c r="I23" s="912">
        <f>+SUM(I13:I21)</f>
        <v>0.4092808590932604</v>
      </c>
      <c r="J23" s="381"/>
      <c r="K23" s="911">
        <f>SUM(K13:K21)</f>
        <v>14846.880000000001</v>
      </c>
      <c r="L23" s="912">
        <f>+SUM(L13:L21)</f>
        <v>0.37596936915035856</v>
      </c>
      <c r="M23" s="381"/>
      <c r="N23" s="911">
        <f>SUM(N13:N21)</f>
        <v>19098.46875</v>
      </c>
      <c r="O23" s="912">
        <f>+SUM(O13:O21)</f>
        <v>0.35590593825887945</v>
      </c>
      <c r="P23" s="381"/>
      <c r="Q23" s="911">
        <f>SUM(Q13:Q21)</f>
        <v>22859.287499999999</v>
      </c>
      <c r="R23" s="912">
        <f>+SUM(R13:R21)</f>
        <v>0.34531884640876465</v>
      </c>
      <c r="S23" s="381"/>
      <c r="T23" s="911">
        <f>SUM(T13:T21)</f>
        <v>26620.106250000004</v>
      </c>
      <c r="U23" s="912">
        <f>+SUM(U13:U21)</f>
        <v>0.33810313088663607</v>
      </c>
      <c r="V23" s="381"/>
      <c r="W23" s="911">
        <f>SUM(W13:W21)</f>
        <v>31419.451500000006</v>
      </c>
      <c r="X23" s="912">
        <f>+SUM(X13:X21)</f>
        <v>0.33166845074402646</v>
      </c>
      <c r="Y23" s="381"/>
      <c r="Z23" s="911">
        <f>SUM(Z13:Z21)</f>
        <v>35380.507500000007</v>
      </c>
      <c r="AA23" s="912">
        <f>+SUM(AA13:AA21)</f>
        <v>0.32779449951487027</v>
      </c>
      <c r="AB23" s="381"/>
      <c r="AC23" s="911">
        <f>SUM(AC13:AC21)</f>
        <v>35380.507500000007</v>
      </c>
      <c r="AD23" s="912">
        <f>+SUM(AD13:AD21)</f>
        <v>0.32779449951487027</v>
      </c>
      <c r="AE23" s="381"/>
      <c r="AF23" s="911">
        <f>SUM(AF13:AF21)</f>
        <v>36619.271250000005</v>
      </c>
      <c r="AG23" s="912">
        <f>+SUM(AG13:AG21)</f>
        <v>0.32677036016954109</v>
      </c>
      <c r="AH23" s="381"/>
      <c r="AI23" s="911">
        <f>SUM(AI13:AI21)</f>
        <v>36619.271250000005</v>
      </c>
      <c r="AJ23" s="912">
        <f>+SUM(AJ13:AJ21)</f>
        <v>0.32677036016954109</v>
      </c>
      <c r="AK23" s="381"/>
      <c r="AL23" s="911">
        <f>SUM(AL13:AL21)</f>
        <v>32559.254999999997</v>
      </c>
      <c r="AM23" s="912">
        <f>+SUM(AM13:AM21)</f>
        <v>0.33044731675409283</v>
      </c>
      <c r="AN23" s="381"/>
      <c r="AO23" s="911">
        <f>SUM(AO13:AO21)</f>
        <v>33648.42</v>
      </c>
      <c r="AP23" s="912">
        <f>+SUM(AP13:AP21)</f>
        <v>0.32936529843952805</v>
      </c>
      <c r="AQ23"/>
      <c r="AR23" s="985">
        <f>+SUM(AR13:AR21)</f>
        <v>347522.74650000007</v>
      </c>
      <c r="AS23" s="986">
        <f>+SUM(AS13:AS21)</f>
        <v>0.33792264957034551</v>
      </c>
      <c r="AT23" s="545"/>
    </row>
    <row r="24" spans="2:71" ht="15" thickTop="1" thickBot="1" x14ac:dyDescent="0.2">
      <c r="E24" s="914"/>
      <c r="F24" s="915"/>
      <c r="H24" s="914"/>
      <c r="I24" s="915"/>
      <c r="K24" s="914"/>
      <c r="L24" s="915"/>
      <c r="N24" s="914"/>
      <c r="O24" s="915"/>
      <c r="Q24" s="914"/>
      <c r="R24" s="915"/>
      <c r="T24" s="914"/>
      <c r="U24" s="915"/>
      <c r="W24" s="914"/>
      <c r="X24" s="915"/>
      <c r="Z24" s="914"/>
      <c r="AA24" s="915"/>
      <c r="AC24" s="914"/>
      <c r="AD24" s="915"/>
      <c r="AF24" s="914"/>
      <c r="AG24" s="915"/>
      <c r="AI24" s="914"/>
      <c r="AJ24" s="915"/>
      <c r="AL24" s="914"/>
      <c r="AM24" s="915"/>
      <c r="AO24" s="914"/>
      <c r="AP24" s="915"/>
      <c r="AQ24"/>
      <c r="AR24" s="961"/>
      <c r="AS24" s="987"/>
    </row>
    <row r="25" spans="2:71" x14ac:dyDescent="0.15">
      <c r="B25" s="895">
        <v>6200</v>
      </c>
      <c r="C25" s="896" t="s">
        <v>353</v>
      </c>
      <c r="D25" s="381"/>
      <c r="E25" s="916"/>
      <c r="F25" s="917"/>
      <c r="G25" s="381"/>
      <c r="H25" s="916"/>
      <c r="I25" s="917"/>
      <c r="J25" s="381"/>
      <c r="K25" s="916"/>
      <c r="L25" s="917"/>
      <c r="M25" s="381"/>
      <c r="N25" s="916"/>
      <c r="O25" s="917"/>
      <c r="P25" s="381"/>
      <c r="Q25" s="916"/>
      <c r="R25" s="917"/>
      <c r="S25" s="381"/>
      <c r="T25" s="916"/>
      <c r="U25" s="917"/>
      <c r="V25" s="381"/>
      <c r="W25" s="916"/>
      <c r="X25" s="917"/>
      <c r="Y25" s="381"/>
      <c r="Z25" s="916"/>
      <c r="AA25" s="917"/>
      <c r="AB25" s="381"/>
      <c r="AC25" s="916"/>
      <c r="AD25" s="917"/>
      <c r="AE25" s="381"/>
      <c r="AF25" s="916"/>
      <c r="AG25" s="917"/>
      <c r="AH25" s="381"/>
      <c r="AI25" s="916"/>
      <c r="AJ25" s="917"/>
      <c r="AK25" s="381"/>
      <c r="AL25" s="916"/>
      <c r="AM25" s="917"/>
      <c r="AN25" s="381"/>
      <c r="AO25" s="916"/>
      <c r="AP25" s="917"/>
      <c r="AQ25"/>
      <c r="AR25" s="988"/>
      <c r="AS25" s="989"/>
      <c r="AT25" s="381"/>
      <c r="AU25" s="381"/>
      <c r="AV25" s="377"/>
      <c r="AW25" s="377"/>
      <c r="AX25" s="377"/>
      <c r="AY25" s="377"/>
      <c r="AZ25" s="377"/>
      <c r="BA25" s="377"/>
      <c r="BB25" s="377"/>
      <c r="BC25" s="377"/>
      <c r="BD25" s="377"/>
      <c r="BE25" s="377"/>
      <c r="BF25" s="377"/>
      <c r="BG25" s="377"/>
      <c r="BH25" s="377"/>
      <c r="BI25" s="377"/>
      <c r="BJ25" s="377"/>
    </row>
    <row r="26" spans="2:71" x14ac:dyDescent="0.15">
      <c r="B26" s="901"/>
      <c r="C26" s="902"/>
      <c r="D26" s="860"/>
      <c r="E26" s="918"/>
      <c r="F26" s="919"/>
      <c r="G26" s="860"/>
      <c r="H26" s="918"/>
      <c r="I26" s="919"/>
      <c r="J26" s="860"/>
      <c r="K26" s="918"/>
      <c r="L26" s="919"/>
      <c r="M26" s="860"/>
      <c r="N26" s="918"/>
      <c r="O26" s="919"/>
      <c r="P26" s="860"/>
      <c r="Q26" s="918"/>
      <c r="R26" s="919"/>
      <c r="S26" s="860"/>
      <c r="T26" s="918"/>
      <c r="U26" s="919"/>
      <c r="V26" s="860"/>
      <c r="W26" s="918"/>
      <c r="X26" s="919"/>
      <c r="Y26" s="860"/>
      <c r="Z26" s="918"/>
      <c r="AA26" s="919"/>
      <c r="AB26" s="860"/>
      <c r="AC26" s="918"/>
      <c r="AD26" s="919"/>
      <c r="AE26" s="860"/>
      <c r="AF26" s="918"/>
      <c r="AG26" s="919"/>
      <c r="AH26" s="860"/>
      <c r="AI26" s="918"/>
      <c r="AJ26" s="919"/>
      <c r="AK26" s="860"/>
      <c r="AL26" s="918"/>
      <c r="AM26" s="919"/>
      <c r="AN26" s="860"/>
      <c r="AO26" s="918"/>
      <c r="AP26" s="919"/>
      <c r="AQ26"/>
      <c r="AR26" s="990"/>
      <c r="AS26" s="991"/>
      <c r="AT26" s="381"/>
      <c r="AU26" s="381"/>
      <c r="AV26" s="377"/>
      <c r="AW26" s="377"/>
      <c r="AX26" s="377"/>
      <c r="AY26" s="377"/>
      <c r="AZ26" s="377"/>
      <c r="BA26" s="377"/>
      <c r="BB26" s="377"/>
      <c r="BC26" s="377"/>
      <c r="BD26" s="377"/>
      <c r="BE26" s="377"/>
      <c r="BF26" s="377"/>
      <c r="BG26" s="377"/>
      <c r="BH26" s="377"/>
      <c r="BI26" s="377"/>
      <c r="BJ26" s="377"/>
    </row>
    <row r="27" spans="2:71" x14ac:dyDescent="0.15">
      <c r="B27" s="370">
        <v>6205</v>
      </c>
      <c r="C27" s="414" t="s">
        <v>354</v>
      </c>
      <c r="E27" s="907">
        <f>'Salaire (planification)'!E67</f>
        <v>1271.6104600000001</v>
      </c>
      <c r="F27" s="906">
        <f>E27/'État des Résultats'!E$14</f>
        <v>4.6320894500258634E-2</v>
      </c>
      <c r="H27" s="907">
        <f>'Salaire (planification)'!H67</f>
        <v>1271.6104600000001</v>
      </c>
      <c r="I27" s="906">
        <f>H27/'État des Résultats'!H$14</f>
        <v>4.6320894500258634E-2</v>
      </c>
      <c r="K27" s="907">
        <f>'Salaire (planification)'!K67</f>
        <v>1684.4932800000001</v>
      </c>
      <c r="L27" s="906">
        <f>K27/'État des Résultats'!K$14</f>
        <v>4.2656630606539452E-2</v>
      </c>
      <c r="N27" s="907">
        <f>'Salaire (planification)'!N67</f>
        <v>2170.5915937499999</v>
      </c>
      <c r="O27" s="906">
        <f>N27/'État des Résultats'!N$14</f>
        <v>4.0449653208476738E-2</v>
      </c>
      <c r="Q27" s="907">
        <f>'Salaire (planification)'!Q67</f>
        <v>2600.5785375</v>
      </c>
      <c r="R27" s="906">
        <f>Q27/'État des Résultats'!Q$14</f>
        <v>3.9285073104964111E-2</v>
      </c>
      <c r="T27" s="907">
        <f>'Salaire (planification)'!T67</f>
        <v>3030.5654812500006</v>
      </c>
      <c r="U27" s="906">
        <f>T27/'État des Résultats'!T$14</f>
        <v>3.8491344397529964E-2</v>
      </c>
      <c r="W27" s="907">
        <f>'Salaire (planification)'!W67</f>
        <v>3579.2906215000007</v>
      </c>
      <c r="X27" s="906">
        <f>W27/'État des Résultats'!W$14</f>
        <v>3.7783529581842917E-2</v>
      </c>
      <c r="Z27" s="907">
        <f>'Salaire (planification)'!Z67</f>
        <v>4032.1713575000008</v>
      </c>
      <c r="AA27" s="906">
        <f>Z27/'État des Résultats'!Z$14</f>
        <v>3.7357394946635716E-2</v>
      </c>
      <c r="AC27" s="907">
        <f>'Salaire (planification)'!AC67</f>
        <v>4032.1713575000008</v>
      </c>
      <c r="AD27" s="906">
        <f>AC27/'État des Résultats'!AC$14</f>
        <v>3.7357394946635716E-2</v>
      </c>
      <c r="AF27" s="907">
        <f>'Salaire (planification)'!AF67</f>
        <v>4173.8033462500007</v>
      </c>
      <c r="AG27" s="906">
        <f>AF27/'État des Résultats'!AF$14</f>
        <v>3.7244739618649533E-2</v>
      </c>
      <c r="AI27" s="907">
        <f>'Salaire (planification)'!AI67</f>
        <v>4173.8033462500007</v>
      </c>
      <c r="AJ27" s="906">
        <f>AI27/'État des Résultats'!AI$14</f>
        <v>3.7244739618649533E-2</v>
      </c>
      <c r="AL27" s="907">
        <f>'Salaire (planification)'!AL67</f>
        <v>3709.6081549999999</v>
      </c>
      <c r="AM27" s="906">
        <f>AL27/'État des Résultats'!AL$14</f>
        <v>3.7649204842950208E-2</v>
      </c>
      <c r="AO27" s="907">
        <f>'Salaire (planification)'!AO67</f>
        <v>3834.1360199999999</v>
      </c>
      <c r="AP27" s="906">
        <f>AO27/'État des Résultats'!AO$14</f>
        <v>3.7530182828348087E-2</v>
      </c>
      <c r="AQ27"/>
      <c r="AR27" s="992">
        <f>SUM(+AO27+$AL27+$AI27+$AF27+$AC27+$Z27+$W27+$T27+$Q27+$N27+$K27+$H27+$E27)</f>
        <v>39564.43401650001</v>
      </c>
      <c r="AS27" s="984">
        <f>AR27/'État des Résultats'!AR$14</f>
        <v>3.8471491452738003E-2</v>
      </c>
    </row>
    <row r="28" spans="2:71" x14ac:dyDescent="0.15">
      <c r="B28" s="370">
        <v>6220</v>
      </c>
      <c r="C28" s="414" t="s">
        <v>355</v>
      </c>
      <c r="E28" s="920">
        <v>0</v>
      </c>
      <c r="F28" s="906">
        <f>E28/'État des Résultats'!E$14</f>
        <v>0</v>
      </c>
      <c r="H28" s="920">
        <v>0</v>
      </c>
      <c r="I28" s="906">
        <f>H28/'État des Résultats'!H$14</f>
        <v>0</v>
      </c>
      <c r="K28" s="920">
        <v>0</v>
      </c>
      <c r="L28" s="906">
        <f>K28/'État des Résultats'!K$14</f>
        <v>0</v>
      </c>
      <c r="N28" s="920">
        <v>0</v>
      </c>
      <c r="O28" s="906">
        <f>N28/'État des Résultats'!N$14</f>
        <v>0</v>
      </c>
      <c r="Q28" s="920">
        <v>0</v>
      </c>
      <c r="R28" s="906">
        <f>Q28/'État des Résultats'!Q$14</f>
        <v>0</v>
      </c>
      <c r="T28" s="920">
        <v>0</v>
      </c>
      <c r="U28" s="906">
        <f>T28/'État des Résultats'!T$14</f>
        <v>0</v>
      </c>
      <c r="W28" s="920">
        <v>0</v>
      </c>
      <c r="X28" s="906">
        <f>W28/'État des Résultats'!W$14</f>
        <v>0</v>
      </c>
      <c r="Z28" s="920">
        <v>0</v>
      </c>
      <c r="AA28" s="906">
        <f>Z28/'État des Résultats'!Z$14</f>
        <v>0</v>
      </c>
      <c r="AC28" s="920">
        <v>0</v>
      </c>
      <c r="AD28" s="906">
        <f>AC28/'État des Résultats'!AC$14</f>
        <v>0</v>
      </c>
      <c r="AF28" s="920">
        <v>0</v>
      </c>
      <c r="AG28" s="906">
        <f>AF28/'État des Résultats'!AF$14</f>
        <v>0</v>
      </c>
      <c r="AI28" s="920">
        <v>0</v>
      </c>
      <c r="AJ28" s="906">
        <f>AI28/'État des Résultats'!AI$14</f>
        <v>0</v>
      </c>
      <c r="AL28" s="920">
        <v>0</v>
      </c>
      <c r="AM28" s="906">
        <f>AL28/'État des Résultats'!AL$14</f>
        <v>0</v>
      </c>
      <c r="AO28" s="920">
        <v>0</v>
      </c>
      <c r="AP28" s="906">
        <f>AO28/'État des Résultats'!AO$14</f>
        <v>0</v>
      </c>
      <c r="AQ28"/>
      <c r="AR28" s="983">
        <f t="shared" ref="AR28:AR35" si="1">SUM(+AO28+$AL28+$AI28+$AF28+$AC28+$Z28+$W28+$T28+$Q28+$N28+$K28+$H28+$E28)</f>
        <v>0</v>
      </c>
      <c r="AS28" s="984">
        <f>AR28/'État des Résultats'!AR$14</f>
        <v>0</v>
      </c>
    </row>
    <row r="29" spans="2:71" x14ac:dyDescent="0.15">
      <c r="B29" s="370">
        <v>6230</v>
      </c>
      <c r="C29" s="414" t="s">
        <v>356</v>
      </c>
      <c r="E29" s="921">
        <v>0</v>
      </c>
      <c r="F29" s="906">
        <f>E29/'État des Résultats'!E$14</f>
        <v>0</v>
      </c>
      <c r="H29" s="921">
        <v>0</v>
      </c>
      <c r="I29" s="906">
        <f>H29/'État des Résultats'!H$14</f>
        <v>0</v>
      </c>
      <c r="K29" s="921">
        <v>0</v>
      </c>
      <c r="L29" s="906">
        <f>K29/'État des Résultats'!K$14</f>
        <v>0</v>
      </c>
      <c r="N29" s="921">
        <v>0</v>
      </c>
      <c r="O29" s="906">
        <f>N29/'État des Résultats'!N$14</f>
        <v>0</v>
      </c>
      <c r="Q29" s="921">
        <v>0</v>
      </c>
      <c r="R29" s="906">
        <f>Q29/'État des Résultats'!Q$14</f>
        <v>0</v>
      </c>
      <c r="T29" s="921">
        <v>0</v>
      </c>
      <c r="U29" s="906">
        <f>T29/'État des Résultats'!T$14</f>
        <v>0</v>
      </c>
      <c r="W29" s="921">
        <v>0</v>
      </c>
      <c r="X29" s="906">
        <f>W29/'État des Résultats'!W$14</f>
        <v>0</v>
      </c>
      <c r="Z29" s="921">
        <v>0</v>
      </c>
      <c r="AA29" s="906">
        <f>Z29/'État des Résultats'!Z$14</f>
        <v>0</v>
      </c>
      <c r="AC29" s="921">
        <v>0</v>
      </c>
      <c r="AD29" s="906">
        <f>AC29/'État des Résultats'!AC$14</f>
        <v>0</v>
      </c>
      <c r="AF29" s="921">
        <v>0</v>
      </c>
      <c r="AG29" s="906">
        <f>AF29/'État des Résultats'!AF$14</f>
        <v>0</v>
      </c>
      <c r="AI29" s="921">
        <v>0</v>
      </c>
      <c r="AJ29" s="906">
        <f>AI29/'État des Résultats'!AI$14</f>
        <v>0</v>
      </c>
      <c r="AL29" s="921">
        <v>0</v>
      </c>
      <c r="AM29" s="906">
        <f>AL29/'État des Résultats'!AL$14</f>
        <v>0</v>
      </c>
      <c r="AO29" s="921">
        <v>0</v>
      </c>
      <c r="AP29" s="906">
        <f>AO29/'État des Résultats'!AO$14</f>
        <v>0</v>
      </c>
      <c r="AQ29"/>
      <c r="AR29" s="983">
        <f t="shared" si="1"/>
        <v>0</v>
      </c>
      <c r="AS29" s="984">
        <f>AR29/'État des Résultats'!AR$14</f>
        <v>0</v>
      </c>
    </row>
    <row r="30" spans="2:71" x14ac:dyDescent="0.15">
      <c r="B30" s="370">
        <v>6240</v>
      </c>
      <c r="C30" s="414" t="s">
        <v>357</v>
      </c>
      <c r="E30" s="921">
        <v>0</v>
      </c>
      <c r="F30" s="906">
        <f>E30/'État des Résultats'!E$14</f>
        <v>0</v>
      </c>
      <c r="H30" s="921">
        <v>0</v>
      </c>
      <c r="I30" s="906">
        <f>H30/'État des Résultats'!H$14</f>
        <v>0</v>
      </c>
      <c r="K30" s="921">
        <v>0</v>
      </c>
      <c r="L30" s="906">
        <f>K30/'État des Résultats'!K$14</f>
        <v>0</v>
      </c>
      <c r="N30" s="921">
        <v>0</v>
      </c>
      <c r="O30" s="906">
        <f>N30/'État des Résultats'!N$14</f>
        <v>0</v>
      </c>
      <c r="Q30" s="921">
        <v>0</v>
      </c>
      <c r="R30" s="906">
        <f>Q30/'État des Résultats'!Q$14</f>
        <v>0</v>
      </c>
      <c r="T30" s="921">
        <v>0</v>
      </c>
      <c r="U30" s="906">
        <f>T30/'État des Résultats'!T$14</f>
        <v>0</v>
      </c>
      <c r="W30" s="921">
        <v>0</v>
      </c>
      <c r="X30" s="906">
        <f>W30/'État des Résultats'!W$14</f>
        <v>0</v>
      </c>
      <c r="Z30" s="921">
        <v>0</v>
      </c>
      <c r="AA30" s="906">
        <f>Z30/'État des Résultats'!Z$14</f>
        <v>0</v>
      </c>
      <c r="AC30" s="921">
        <v>0</v>
      </c>
      <c r="AD30" s="906">
        <f>AC30/'État des Résultats'!AC$14</f>
        <v>0</v>
      </c>
      <c r="AF30" s="921">
        <v>0</v>
      </c>
      <c r="AG30" s="906">
        <f>AF30/'État des Résultats'!AF$14</f>
        <v>0</v>
      </c>
      <c r="AI30" s="921">
        <v>0</v>
      </c>
      <c r="AJ30" s="906">
        <f>AI30/'État des Résultats'!AI$14</f>
        <v>0</v>
      </c>
      <c r="AL30" s="921">
        <v>0</v>
      </c>
      <c r="AM30" s="906">
        <f>AL30/'État des Résultats'!AL$14</f>
        <v>0</v>
      </c>
      <c r="AO30" s="921">
        <v>0</v>
      </c>
      <c r="AP30" s="906">
        <f>AO30/'État des Résultats'!AO$14</f>
        <v>0</v>
      </c>
      <c r="AQ30"/>
      <c r="AR30" s="983">
        <f t="shared" si="1"/>
        <v>0</v>
      </c>
      <c r="AS30" s="984">
        <f>AR30/'État des Résultats'!AR$14</f>
        <v>0</v>
      </c>
    </row>
    <row r="31" spans="2:71" x14ac:dyDescent="0.15">
      <c r="B31" s="370">
        <v>6245</v>
      </c>
      <c r="C31" s="414" t="s">
        <v>338</v>
      </c>
      <c r="E31" s="905">
        <f>'Salaire (planification)'!E68</f>
        <v>112.35660000000001</v>
      </c>
      <c r="F31" s="906">
        <f>E31/'État des Résultats'!E$14</f>
        <v>4.0928085909326031E-3</v>
      </c>
      <c r="H31" s="905">
        <f>'Salaire (planification)'!H68</f>
        <v>112.35660000000001</v>
      </c>
      <c r="I31" s="906">
        <f>H31/'État des Résultats'!H$14</f>
        <v>4.0928085909326031E-3</v>
      </c>
      <c r="K31" s="905">
        <f>'Salaire (planification)'!K68</f>
        <v>148.46880000000002</v>
      </c>
      <c r="L31" s="906">
        <f>K31/'État des Résultats'!K$14</f>
        <v>3.7596936915035863E-3</v>
      </c>
      <c r="N31" s="905">
        <f>'Salaire (planification)'!N68</f>
        <v>190.98468750000001</v>
      </c>
      <c r="O31" s="906">
        <f>N31/'État des Résultats'!N$14</f>
        <v>3.5590593825887947E-3</v>
      </c>
      <c r="Q31" s="905">
        <f>'Salaire (planification)'!Q68</f>
        <v>228.59287499999999</v>
      </c>
      <c r="R31" s="906">
        <f>Q31/'État des Résultats'!Q$14</f>
        <v>3.4531884640876466E-3</v>
      </c>
      <c r="T31" s="905">
        <f>'Salaire (planification)'!T68</f>
        <v>266.20106250000003</v>
      </c>
      <c r="U31" s="906">
        <f>T31/'État des Résultats'!T$14</f>
        <v>3.3810313088663601E-3</v>
      </c>
      <c r="W31" s="905">
        <f>'Salaire (planification)'!W68</f>
        <v>314.19451500000008</v>
      </c>
      <c r="X31" s="906">
        <f>W31/'État des Résultats'!W$14</f>
        <v>3.316684507440265E-3</v>
      </c>
      <c r="Z31" s="905">
        <f>'Salaire (planification)'!Z68</f>
        <v>353.8050750000001</v>
      </c>
      <c r="AA31" s="906">
        <f>Z31/'État des Résultats'!Z$14</f>
        <v>3.2779449951487018E-3</v>
      </c>
      <c r="AC31" s="905">
        <f>'Salaire (planification)'!AC68</f>
        <v>353.8050750000001</v>
      </c>
      <c r="AD31" s="906">
        <f>AC31/'État des Résultats'!AC$14</f>
        <v>3.2779449951487018E-3</v>
      </c>
      <c r="AF31" s="905">
        <f>'Salaire (planification)'!AF68</f>
        <v>366.19271250000003</v>
      </c>
      <c r="AG31" s="906">
        <f>AF31/'État des Résultats'!AF$14</f>
        <v>3.2677036016954117E-3</v>
      </c>
      <c r="AI31" s="905">
        <f>'Salaire (planification)'!AI68</f>
        <v>366.19271250000003</v>
      </c>
      <c r="AJ31" s="906">
        <f>AI31/'État des Résultats'!AI$14</f>
        <v>3.2677036016954117E-3</v>
      </c>
      <c r="AL31" s="905">
        <f>'Salaire (planification)'!AL68</f>
        <v>325.59255000000002</v>
      </c>
      <c r="AM31" s="906">
        <f>AL31/'État des Résultats'!AL$14</f>
        <v>3.3044731675409278E-3</v>
      </c>
      <c r="AO31" s="905">
        <f>'Salaire (planification)'!AO68</f>
        <v>336.48419999999999</v>
      </c>
      <c r="AP31" s="906">
        <f>AO31/'État des Résultats'!AO$14</f>
        <v>3.2936529843952803E-3</v>
      </c>
      <c r="AQ31"/>
      <c r="AR31" s="992">
        <f t="shared" si="1"/>
        <v>3475.2274650000004</v>
      </c>
      <c r="AS31" s="984">
        <f>AR31/'État des Résultats'!AR$14</f>
        <v>3.3792264957034543E-3</v>
      </c>
    </row>
    <row r="32" spans="2:71" x14ac:dyDescent="0.15">
      <c r="B32" s="370">
        <v>6255</v>
      </c>
      <c r="C32" s="414" t="s">
        <v>358</v>
      </c>
      <c r="E32" s="921">
        <v>0</v>
      </c>
      <c r="F32" s="906">
        <f>E32/'État des Résultats'!E$14</f>
        <v>0</v>
      </c>
      <c r="G32" s="336"/>
      <c r="H32" s="921">
        <v>0</v>
      </c>
      <c r="I32" s="906">
        <f>H32/'État des Résultats'!H$14</f>
        <v>0</v>
      </c>
      <c r="J32" s="336"/>
      <c r="K32" s="921">
        <v>0</v>
      </c>
      <c r="L32" s="906">
        <f>K32/'État des Résultats'!K$14</f>
        <v>0</v>
      </c>
      <c r="M32" s="336"/>
      <c r="N32" s="921">
        <v>0</v>
      </c>
      <c r="O32" s="906">
        <f>N32/'État des Résultats'!N$14</f>
        <v>0</v>
      </c>
      <c r="P32" s="336"/>
      <c r="Q32" s="921">
        <v>0</v>
      </c>
      <c r="R32" s="906">
        <f>Q32/'État des Résultats'!Q$14</f>
        <v>0</v>
      </c>
      <c r="S32" s="336"/>
      <c r="T32" s="921">
        <v>0</v>
      </c>
      <c r="U32" s="906">
        <f>T32/'État des Résultats'!T$14</f>
        <v>0</v>
      </c>
      <c r="V32" s="336"/>
      <c r="W32" s="921">
        <v>0</v>
      </c>
      <c r="X32" s="906">
        <f>W32/'État des Résultats'!W$14</f>
        <v>0</v>
      </c>
      <c r="Z32" s="921">
        <v>0</v>
      </c>
      <c r="AA32" s="906">
        <f>Z32/'État des Résultats'!Z$14</f>
        <v>0</v>
      </c>
      <c r="AB32" s="336"/>
      <c r="AC32" s="921">
        <v>0</v>
      </c>
      <c r="AD32" s="906">
        <f>AC32/'État des Résultats'!AC$14</f>
        <v>0</v>
      </c>
      <c r="AE32" s="336"/>
      <c r="AF32" s="921">
        <v>0</v>
      </c>
      <c r="AG32" s="906">
        <f>AF32/'État des Résultats'!AF$14</f>
        <v>0</v>
      </c>
      <c r="AH32" s="336"/>
      <c r="AI32" s="921">
        <v>0</v>
      </c>
      <c r="AJ32" s="906">
        <f>AI32/'État des Résultats'!AI$14</f>
        <v>0</v>
      </c>
      <c r="AK32" s="336"/>
      <c r="AL32" s="921">
        <v>0</v>
      </c>
      <c r="AM32" s="906">
        <f>AL32/'État des Résultats'!AL$14</f>
        <v>0</v>
      </c>
      <c r="AN32" s="336"/>
      <c r="AO32" s="921">
        <v>0</v>
      </c>
      <c r="AP32" s="906">
        <f>AO32/'État des Résultats'!AO$14</f>
        <v>0</v>
      </c>
      <c r="AQ32"/>
      <c r="AR32" s="983">
        <f t="shared" si="1"/>
        <v>0</v>
      </c>
      <c r="AS32" s="984">
        <f>AR32/'État des Résultats'!AR$14</f>
        <v>0</v>
      </c>
      <c r="AT32" s="922"/>
      <c r="AU32" s="922"/>
      <c r="AV32" s="922"/>
      <c r="AW32" s="377"/>
      <c r="AX32" s="377"/>
      <c r="AY32" s="377"/>
      <c r="AZ32" s="377"/>
      <c r="BA32" s="377"/>
      <c r="BB32" s="377"/>
      <c r="BC32" s="377"/>
      <c r="BD32" s="922"/>
      <c r="BE32" s="922"/>
      <c r="BF32" s="922"/>
      <c r="BG32" s="922"/>
      <c r="BH32" s="922"/>
      <c r="BI32" s="336"/>
      <c r="BJ32" s="336"/>
      <c r="BK32" s="336"/>
      <c r="BL32" s="336"/>
      <c r="BM32" s="336"/>
      <c r="BN32" s="336"/>
      <c r="BO32" s="336"/>
      <c r="BP32" s="336"/>
      <c r="BQ32" s="336"/>
      <c r="BR32" s="336"/>
      <c r="BS32" s="336"/>
    </row>
    <row r="33" spans="2:56" x14ac:dyDescent="0.15">
      <c r="B33" s="370">
        <v>6260</v>
      </c>
      <c r="C33" s="414" t="s">
        <v>359</v>
      </c>
      <c r="E33" s="921">
        <f>0.01*'État des Résultats'!E14</f>
        <v>274.52199999999999</v>
      </c>
      <c r="F33" s="906">
        <f>E33/'État des Résultats'!E$14</f>
        <v>0.01</v>
      </c>
      <c r="H33" s="921">
        <f>0.01*'État des Résultats'!H14</f>
        <v>274.52199999999999</v>
      </c>
      <c r="I33" s="906">
        <f>H33/'État des Résultats'!H$14</f>
        <v>0.01</v>
      </c>
      <c r="K33" s="921">
        <f>0.01*'État des Résultats'!K14</f>
        <v>394.89600000000002</v>
      </c>
      <c r="L33" s="906">
        <f>K33/'État des Résultats'!K$14</f>
        <v>0.01</v>
      </c>
      <c r="N33" s="921">
        <f>0.01*'État des Résultats'!N14</f>
        <v>536.61562500000002</v>
      </c>
      <c r="O33" s="906">
        <f>N33/'État des Résultats'!N$14</f>
        <v>0.01</v>
      </c>
      <c r="Q33" s="921">
        <f>0.01*'État des Résultats'!Q14</f>
        <v>661.97625000000005</v>
      </c>
      <c r="R33" s="906">
        <f>Q33/'État des Résultats'!Q$14</f>
        <v>0.01</v>
      </c>
      <c r="T33" s="921">
        <f>0.01*'État des Résultats'!T14</f>
        <v>787.33687500000019</v>
      </c>
      <c r="U33" s="906">
        <f>T33/'État des Résultats'!T$14</f>
        <v>0.01</v>
      </c>
      <c r="W33" s="921">
        <f>0.01*'État des Résultats'!W14</f>
        <v>947.31505000000016</v>
      </c>
      <c r="X33" s="906">
        <f>W33/'État des Résultats'!W$14</f>
        <v>0.01</v>
      </c>
      <c r="Z33" s="921">
        <f>0.01*'État des Résultats'!Z14</f>
        <v>1079.3502500000002</v>
      </c>
      <c r="AA33" s="906">
        <f>Z33/'État des Résultats'!Z$14</f>
        <v>0.01</v>
      </c>
      <c r="AC33" s="921">
        <f>0.01*'État des Résultats'!AC14</f>
        <v>1079.3502500000002</v>
      </c>
      <c r="AD33" s="906">
        <f>AC33/'État des Résultats'!AC$14</f>
        <v>0.01</v>
      </c>
      <c r="AF33" s="921">
        <f>0.01*'État des Résultats'!AF14</f>
        <v>1120.6423750000001</v>
      </c>
      <c r="AG33" s="906">
        <f>AF33/'État des Résultats'!AF$14</f>
        <v>0.01</v>
      </c>
      <c r="AI33" s="921">
        <f>0.01*'État des Résultats'!AI14</f>
        <v>1120.6423750000001</v>
      </c>
      <c r="AJ33" s="906">
        <f>AI33/'État des Résultats'!AI$14</f>
        <v>0.01</v>
      </c>
      <c r="AL33" s="921">
        <f>0.01*'État des Résultats'!AL14</f>
        <v>985.30849999999998</v>
      </c>
      <c r="AM33" s="906">
        <f>AL33/'État des Résultats'!AL$14</f>
        <v>0.01</v>
      </c>
      <c r="AO33" s="921">
        <f>0.01*'État des Résultats'!AO14</f>
        <v>1021.6139999999999</v>
      </c>
      <c r="AP33" s="906">
        <f>AO33/'État des Résultats'!AO$14</f>
        <v>0.01</v>
      </c>
      <c r="AQ33"/>
      <c r="AR33" s="983">
        <f t="shared" si="1"/>
        <v>10284.091550000005</v>
      </c>
      <c r="AS33" s="984">
        <f>AR33/'État des Résultats'!AR$14</f>
        <v>1.0000000000000005E-2</v>
      </c>
    </row>
    <row r="34" spans="2:56" x14ac:dyDescent="0.15">
      <c r="B34" s="370">
        <v>6265</v>
      </c>
      <c r="C34" s="414" t="s">
        <v>360</v>
      </c>
      <c r="E34" s="921">
        <v>0</v>
      </c>
      <c r="F34" s="906">
        <f>E34/'État des Résultats'!E$14</f>
        <v>0</v>
      </c>
      <c r="H34" s="921">
        <v>0</v>
      </c>
      <c r="I34" s="906">
        <f>H34/'État des Résultats'!H$14</f>
        <v>0</v>
      </c>
      <c r="K34" s="921">
        <v>0</v>
      </c>
      <c r="L34" s="906">
        <f>K34/'État des Résultats'!K$14</f>
        <v>0</v>
      </c>
      <c r="N34" s="921">
        <v>0</v>
      </c>
      <c r="O34" s="906">
        <f>N34/'État des Résultats'!N$14</f>
        <v>0</v>
      </c>
      <c r="Q34" s="921">
        <v>0</v>
      </c>
      <c r="R34" s="906">
        <f>Q34/'État des Résultats'!Q$14</f>
        <v>0</v>
      </c>
      <c r="T34" s="921">
        <v>0</v>
      </c>
      <c r="U34" s="906">
        <f>T34/'État des Résultats'!T$14</f>
        <v>0</v>
      </c>
      <c r="W34" s="921">
        <v>0</v>
      </c>
      <c r="X34" s="906">
        <f>W34/'État des Résultats'!W$14</f>
        <v>0</v>
      </c>
      <c r="Z34" s="921">
        <v>0</v>
      </c>
      <c r="AA34" s="906">
        <f>Z34/'État des Résultats'!Z$14</f>
        <v>0</v>
      </c>
      <c r="AC34" s="921">
        <v>0</v>
      </c>
      <c r="AD34" s="906">
        <f>AC34/'État des Résultats'!AC$14</f>
        <v>0</v>
      </c>
      <c r="AF34" s="921">
        <v>0</v>
      </c>
      <c r="AG34" s="906">
        <f>AF34/'État des Résultats'!AF$14</f>
        <v>0</v>
      </c>
      <c r="AI34" s="921">
        <v>0</v>
      </c>
      <c r="AJ34" s="906">
        <f>AI34/'État des Résultats'!AI$14</f>
        <v>0</v>
      </c>
      <c r="AL34" s="921">
        <v>0</v>
      </c>
      <c r="AM34" s="906">
        <f>AL34/'État des Résultats'!AL$14</f>
        <v>0</v>
      </c>
      <c r="AO34" s="921">
        <v>0</v>
      </c>
      <c r="AP34" s="906">
        <f>AO34/'État des Résultats'!AO$14</f>
        <v>0</v>
      </c>
      <c r="AQ34"/>
      <c r="AR34" s="983">
        <f t="shared" si="1"/>
        <v>0</v>
      </c>
      <c r="AS34" s="984">
        <f>AR34/'État des Résultats'!AR$14</f>
        <v>0</v>
      </c>
    </row>
    <row r="35" spans="2:56" x14ac:dyDescent="0.15">
      <c r="B35" s="923" t="s">
        <v>361</v>
      </c>
      <c r="C35" s="414" t="s">
        <v>281</v>
      </c>
      <c r="E35" s="921">
        <v>0</v>
      </c>
      <c r="F35" s="906">
        <f>E35/'État des Résultats'!E$14</f>
        <v>0</v>
      </c>
      <c r="H35" s="921">
        <v>0</v>
      </c>
      <c r="I35" s="906">
        <f>H35/'État des Résultats'!H$14</f>
        <v>0</v>
      </c>
      <c r="K35" s="921">
        <v>0</v>
      </c>
      <c r="L35" s="906">
        <f>K35/'État des Résultats'!K$14</f>
        <v>0</v>
      </c>
      <c r="N35" s="921">
        <v>0</v>
      </c>
      <c r="O35" s="906">
        <f>N35/'État des Résultats'!N$14</f>
        <v>0</v>
      </c>
      <c r="Q35" s="921">
        <v>0</v>
      </c>
      <c r="R35" s="906">
        <f>Q35/'État des Résultats'!Q$14</f>
        <v>0</v>
      </c>
      <c r="T35" s="921">
        <v>0</v>
      </c>
      <c r="U35" s="906">
        <f>T35/'État des Résultats'!T$14</f>
        <v>0</v>
      </c>
      <c r="W35" s="921">
        <v>0</v>
      </c>
      <c r="X35" s="906">
        <f>W35/'État des Résultats'!W$14</f>
        <v>0</v>
      </c>
      <c r="Z35" s="921">
        <v>0</v>
      </c>
      <c r="AA35" s="906">
        <f>Z35/'État des Résultats'!Z$14</f>
        <v>0</v>
      </c>
      <c r="AC35" s="921">
        <v>0</v>
      </c>
      <c r="AD35" s="906">
        <f>AC35/'État des Résultats'!AC$14</f>
        <v>0</v>
      </c>
      <c r="AF35" s="921">
        <v>0</v>
      </c>
      <c r="AG35" s="906">
        <f>AF35/'État des Résultats'!AF$14</f>
        <v>0</v>
      </c>
      <c r="AI35" s="921">
        <v>0</v>
      </c>
      <c r="AJ35" s="906">
        <f>AI35/'État des Résultats'!AI$14</f>
        <v>0</v>
      </c>
      <c r="AL35" s="921">
        <v>0</v>
      </c>
      <c r="AM35" s="906">
        <f>AL35/'État des Résultats'!AL$14</f>
        <v>0</v>
      </c>
      <c r="AO35" s="921">
        <v>0</v>
      </c>
      <c r="AP35" s="906">
        <f>AO35/'État des Résultats'!AO$14</f>
        <v>0</v>
      </c>
      <c r="AQ35"/>
      <c r="AR35" s="983">
        <f t="shared" si="1"/>
        <v>0</v>
      </c>
      <c r="AS35" s="984">
        <f>AR35/'État des Résultats'!AR$14</f>
        <v>0</v>
      </c>
    </row>
    <row r="36" spans="2:56" ht="14" thickBot="1" x14ac:dyDescent="0.2">
      <c r="B36" s="1497" t="s">
        <v>362</v>
      </c>
      <c r="C36" s="1498"/>
      <c r="D36" s="381"/>
      <c r="E36" s="911">
        <f>SUM(E27:E35)</f>
        <v>1658.4890600000001</v>
      </c>
      <c r="F36" s="912">
        <f>SUM(F27:F35)</f>
        <v>6.0413703091191241E-2</v>
      </c>
      <c r="G36" s="381"/>
      <c r="H36" s="911">
        <f>SUM(H27:H35)</f>
        <v>1658.4890600000001</v>
      </c>
      <c r="I36" s="912">
        <f>SUM(I27:I35)</f>
        <v>6.0413703091191241E-2</v>
      </c>
      <c r="J36" s="381"/>
      <c r="K36" s="911">
        <f>SUM(K27:K35)</f>
        <v>2227.8580800000004</v>
      </c>
      <c r="L36" s="912">
        <f>SUM(L27:L35)</f>
        <v>5.6416324298043038E-2</v>
      </c>
      <c r="M36" s="381"/>
      <c r="N36" s="911">
        <f>SUM(N27:N35)</f>
        <v>2898.1919062499996</v>
      </c>
      <c r="O36" s="912">
        <f>SUM(O27:O35)</f>
        <v>5.4008712591065537E-2</v>
      </c>
      <c r="P36" s="381"/>
      <c r="Q36" s="911">
        <f>SUM(Q27:Q35)</f>
        <v>3491.1476625</v>
      </c>
      <c r="R36" s="912">
        <f>SUM(R27:R35)</f>
        <v>5.2738261569051759E-2</v>
      </c>
      <c r="S36" s="381"/>
      <c r="T36" s="911">
        <f>SUM(T27:T35)</f>
        <v>4084.1034187500009</v>
      </c>
      <c r="U36" s="912">
        <f>SUM(U27:U35)</f>
        <v>5.1872375706396329E-2</v>
      </c>
      <c r="V36" s="381"/>
      <c r="W36" s="911">
        <f>SUM(W27:W35)</f>
        <v>4840.8001865000006</v>
      </c>
      <c r="X36" s="912">
        <f>SUM(X27:X35)</f>
        <v>5.1100214089283183E-2</v>
      </c>
      <c r="Y36" s="381"/>
      <c r="Z36" s="911">
        <f>SUM(Z27:Z35)</f>
        <v>5465.326682500001</v>
      </c>
      <c r="AA36" s="912">
        <f>SUM(AA27:AA35)</f>
        <v>5.0635339941784423E-2</v>
      </c>
      <c r="AB36" s="381"/>
      <c r="AC36" s="911">
        <f>SUM(AC27:AC35)</f>
        <v>5465.326682500001</v>
      </c>
      <c r="AD36" s="912">
        <f>SUM(AD27:AD35)</f>
        <v>5.0635339941784423E-2</v>
      </c>
      <c r="AE36" s="381"/>
      <c r="AF36" s="911">
        <f>SUM(AF27:AF35)</f>
        <v>5660.6384337500012</v>
      </c>
      <c r="AG36" s="912">
        <f>SUM(AG27:AG35)</f>
        <v>5.0512443220344948E-2</v>
      </c>
      <c r="AH36" s="381"/>
      <c r="AI36" s="911">
        <f>SUM(AI27:AI35)</f>
        <v>5660.6384337500012</v>
      </c>
      <c r="AJ36" s="912">
        <f>SUM(AJ27:AJ35)</f>
        <v>5.0512443220344948E-2</v>
      </c>
      <c r="AK36" s="381"/>
      <c r="AL36" s="911">
        <f>SUM(AL27:AL35)</f>
        <v>5020.5092049999994</v>
      </c>
      <c r="AM36" s="912">
        <f>SUM(AM27:AM35)</f>
        <v>5.0953678010491138E-2</v>
      </c>
      <c r="AN36" s="381"/>
      <c r="AO36" s="911">
        <f>SUM(AO27:AO35)</f>
        <v>5192.2342199999994</v>
      </c>
      <c r="AP36" s="912">
        <f>SUM(AP27:AP35)</f>
        <v>5.082383581274337E-2</v>
      </c>
      <c r="AQ36"/>
      <c r="AR36" s="913">
        <f>SUM(AR27:AR35)</f>
        <v>53323.753031500019</v>
      </c>
      <c r="AS36" s="912">
        <f>SUM(AS27:AS35)</f>
        <v>5.1850717948441469E-2</v>
      </c>
      <c r="AT36" s="545"/>
      <c r="AU36" s="355">
        <f>+AR36/AR23</f>
        <v>0.15343960523027234</v>
      </c>
    </row>
    <row r="37" spans="2:56" ht="15" thickTop="1" thickBot="1" x14ac:dyDescent="0.2">
      <c r="E37" s="924"/>
      <c r="F37" s="925"/>
      <c r="H37" s="924"/>
      <c r="I37" s="925"/>
      <c r="K37" s="924"/>
      <c r="L37" s="925"/>
      <c r="N37" s="924"/>
      <c r="O37" s="925"/>
      <c r="Q37" s="924"/>
      <c r="R37" s="925"/>
      <c r="T37" s="924"/>
      <c r="U37" s="925"/>
      <c r="W37" s="924"/>
      <c r="X37" s="925"/>
      <c r="Z37" s="924"/>
      <c r="AA37" s="925"/>
      <c r="AC37" s="924"/>
      <c r="AD37" s="925"/>
      <c r="AF37" s="924"/>
      <c r="AG37" s="925"/>
      <c r="AI37" s="924"/>
      <c r="AJ37" s="925"/>
      <c r="AL37" s="924"/>
      <c r="AM37" s="925"/>
      <c r="AO37" s="924"/>
      <c r="AP37" s="925"/>
      <c r="AQ37"/>
      <c r="AR37" s="926"/>
      <c r="AS37" s="925"/>
    </row>
    <row r="38" spans="2:56" ht="15" thickTop="1" thickBot="1" x14ac:dyDescent="0.2">
      <c r="B38" s="1499" t="str">
        <f>'[1]État des Résultats'!C21</f>
        <v xml:space="preserve">   Total des coûts de la main-d’œuvre</v>
      </c>
      <c r="C38" s="1500"/>
      <c r="D38" s="545"/>
      <c r="E38" s="927">
        <f>+E23+E36</f>
        <v>12894.14906</v>
      </c>
      <c r="F38" s="928">
        <f>E38/'État des Résultats'!E14</f>
        <v>0.46969456218445149</v>
      </c>
      <c r="G38" s="545"/>
      <c r="H38" s="927">
        <f>+H23+H36</f>
        <v>12894.14906</v>
      </c>
      <c r="I38" s="928">
        <f>H38/'État des Résultats'!H14</f>
        <v>0.46969456218445149</v>
      </c>
      <c r="J38" s="545"/>
      <c r="K38" s="927">
        <f>+K23+K36</f>
        <v>17074.738080000003</v>
      </c>
      <c r="L38" s="928">
        <f>K38/'État des Résultats'!K14</f>
        <v>0.43238569344840166</v>
      </c>
      <c r="M38" s="545"/>
      <c r="N38" s="927">
        <f>+N23+N36</f>
        <v>21996.660656249998</v>
      </c>
      <c r="O38" s="928">
        <f>N38/'État des Résultats'!N14</f>
        <v>0.40991465084994494</v>
      </c>
      <c r="P38" s="545"/>
      <c r="Q38" s="927">
        <f>+Q23+Q36</f>
        <v>26350.435162499998</v>
      </c>
      <c r="R38" s="928">
        <f>Q38/'État des Résultats'!Q14</f>
        <v>0.3980571079778164</v>
      </c>
      <c r="S38" s="545"/>
      <c r="T38" s="927">
        <f>+T23+T36</f>
        <v>30704.209668750005</v>
      </c>
      <c r="U38" s="928">
        <f>T38/'État des Résultats'!T14</f>
        <v>0.38997550659303237</v>
      </c>
      <c r="V38" s="545"/>
      <c r="W38" s="927">
        <f>+W23+W36</f>
        <v>36260.251686500007</v>
      </c>
      <c r="X38" s="928">
        <f>W38/'État des Résultats'!W14</f>
        <v>0.38276866483330968</v>
      </c>
      <c r="Y38" s="545"/>
      <c r="Z38" s="927">
        <f>+Z23+Z36</f>
        <v>40845.83418250001</v>
      </c>
      <c r="AA38" s="928">
        <f>Z38/'État des Résultats'!Z14</f>
        <v>0.37842983945665459</v>
      </c>
      <c r="AB38" s="545"/>
      <c r="AC38" s="927">
        <f>+AC23+AC36</f>
        <v>40845.83418250001</v>
      </c>
      <c r="AD38" s="928">
        <f>AC38/'État des Résultats'!AC14</f>
        <v>0.37842983945665459</v>
      </c>
      <c r="AE38" s="545"/>
      <c r="AF38" s="927">
        <f>+AF23+AF36</f>
        <v>42279.909683750004</v>
      </c>
      <c r="AG38" s="928">
        <f>AF38/'État des Résultats'!AF14</f>
        <v>0.37728280338988612</v>
      </c>
      <c r="AH38" s="545"/>
      <c r="AI38" s="927">
        <f>+AI23+AI36</f>
        <v>42279.909683750004</v>
      </c>
      <c r="AJ38" s="928">
        <f>AI38/'État des Résultats'!AI14</f>
        <v>0.37728280338988612</v>
      </c>
      <c r="AK38" s="545"/>
      <c r="AL38" s="927">
        <f>+AL23+AL36</f>
        <v>37579.764204999999</v>
      </c>
      <c r="AM38" s="928">
        <f>AL38/'État des Résultats'!AL14</f>
        <v>0.38140099476458389</v>
      </c>
      <c r="AN38" s="545"/>
      <c r="AO38" s="927">
        <f>+AO23+AO36</f>
        <v>38840.654219999997</v>
      </c>
      <c r="AP38" s="928">
        <f>AO38/'État des Résultats'!AO14</f>
        <v>0.38018913425227141</v>
      </c>
      <c r="AQ38"/>
      <c r="AR38" s="927">
        <f>+AR23+AR36</f>
        <v>400846.4995315001</v>
      </c>
      <c r="AS38" s="928">
        <f>AR38/'État des Résultats'!AR14</f>
        <v>0.38977336751878694</v>
      </c>
    </row>
    <row r="39" spans="2:56" ht="15" thickTop="1" thickBot="1" x14ac:dyDescent="0.2">
      <c r="B39" s="771"/>
      <c r="C39" s="929"/>
      <c r="D39" s="771"/>
      <c r="E39" s="930"/>
      <c r="F39" s="931"/>
      <c r="G39" s="771"/>
      <c r="H39" s="930"/>
      <c r="I39" s="931"/>
      <c r="J39" s="771"/>
      <c r="K39" s="930"/>
      <c r="L39" s="931"/>
      <c r="M39" s="771"/>
      <c r="N39" s="930"/>
      <c r="O39" s="931"/>
      <c r="P39" s="771"/>
      <c r="Q39" s="930"/>
      <c r="R39" s="931"/>
      <c r="S39" s="771"/>
      <c r="T39" s="930"/>
      <c r="U39" s="931"/>
      <c r="V39" s="771"/>
      <c r="W39" s="930"/>
      <c r="X39" s="931"/>
      <c r="Y39" s="771"/>
      <c r="Z39" s="930"/>
      <c r="AA39" s="931"/>
      <c r="AB39" s="771"/>
      <c r="AC39" s="930"/>
      <c r="AD39" s="931"/>
      <c r="AE39" s="771"/>
      <c r="AF39" s="930"/>
      <c r="AG39" s="931"/>
      <c r="AH39" s="771"/>
      <c r="AI39" s="930"/>
      <c r="AJ39" s="931"/>
      <c r="AK39" s="771"/>
      <c r="AL39" s="930"/>
      <c r="AM39" s="931"/>
      <c r="AN39" s="771"/>
      <c r="AO39" s="930"/>
      <c r="AP39" s="931"/>
      <c r="AQ39"/>
      <c r="AR39" s="930"/>
      <c r="AS39" s="931"/>
    </row>
    <row r="40" spans="2:56" ht="14" thickTop="1" x14ac:dyDescent="0.15">
      <c r="B40" s="1501" t="s">
        <v>363</v>
      </c>
      <c r="C40" s="1502"/>
      <c r="D40" s="797"/>
      <c r="E40" s="932">
        <f>+E27+E31</f>
        <v>1383.9670600000002</v>
      </c>
      <c r="F40" s="933">
        <f>+(E40/E23)</f>
        <v>0.12317630294971547</v>
      </c>
      <c r="G40" s="934"/>
      <c r="H40" s="932">
        <f>+H27+H31</f>
        <v>1383.9670600000002</v>
      </c>
      <c r="I40" s="933">
        <f>+(H40/H23)</f>
        <v>0.12317630294971547</v>
      </c>
      <c r="J40" s="934"/>
      <c r="K40" s="932">
        <f>+K27+K31</f>
        <v>1832.9620800000002</v>
      </c>
      <c r="L40" s="933">
        <f>+(K40/K23)</f>
        <v>0.12345772849245094</v>
      </c>
      <c r="M40" s="934"/>
      <c r="N40" s="932">
        <f>+N27+N31</f>
        <v>2361.5762812499997</v>
      </c>
      <c r="O40" s="933">
        <f>+(N40/N23)</f>
        <v>0.12365265049063159</v>
      </c>
      <c r="P40" s="934"/>
      <c r="Q40" s="932">
        <f>+Q27+Q31</f>
        <v>2829.1714124999999</v>
      </c>
      <c r="R40" s="933">
        <f>+(Q40/Q23)</f>
        <v>0.12376463669307279</v>
      </c>
      <c r="S40" s="934"/>
      <c r="T40" s="932">
        <f>+T27+T31</f>
        <v>3296.7665437500009</v>
      </c>
      <c r="U40" s="933">
        <f>+(T40/T23)</f>
        <v>0.12384498066193858</v>
      </c>
      <c r="V40" s="934"/>
      <c r="W40" s="932">
        <f>+W27+W31</f>
        <v>3893.4851365000009</v>
      </c>
      <c r="X40" s="933">
        <f>+(W40/W23)</f>
        <v>0.12391957690604498</v>
      </c>
      <c r="Y40" s="934"/>
      <c r="Z40" s="932">
        <f>+Z27+Z31</f>
        <v>4385.9764325000006</v>
      </c>
      <c r="AA40" s="933">
        <f>+(Z40/Z23)</f>
        <v>0.12396589937269836</v>
      </c>
      <c r="AB40" s="934"/>
      <c r="AC40" s="932">
        <f>+AC27+AC31</f>
        <v>4385.9764325000006</v>
      </c>
      <c r="AD40" s="933">
        <f>+(AC40/AC23)</f>
        <v>0.12396589937269836</v>
      </c>
      <c r="AE40" s="934"/>
      <c r="AF40" s="932">
        <f>+AF27+AF31</f>
        <v>4539.9960587500009</v>
      </c>
      <c r="AG40" s="933">
        <f>+(AF40/AF23)</f>
        <v>0.12397832899937898</v>
      </c>
      <c r="AH40" s="934"/>
      <c r="AI40" s="932">
        <f>+AI27+AI31</f>
        <v>4539.9960587500009</v>
      </c>
      <c r="AJ40" s="933">
        <f>+(AI40/AI23)</f>
        <v>0.12397832899937898</v>
      </c>
      <c r="AK40" s="934"/>
      <c r="AL40" s="932">
        <f>+AL27+AL31</f>
        <v>4035.2007049999997</v>
      </c>
      <c r="AM40" s="933">
        <f>+(AL40/AL23)</f>
        <v>0.12393406129839274</v>
      </c>
      <c r="AN40" s="935"/>
      <c r="AO40" s="932">
        <f>+AO27+AO31</f>
        <v>4170.6202199999998</v>
      </c>
      <c r="AP40" s="933">
        <f>+(AO40/AO23)</f>
        <v>0.1239469853265027</v>
      </c>
      <c r="AQ40"/>
      <c r="AR40" s="932">
        <f>SUM(+AO40+$AL40+$AI40+$AF40+$AC40+$Z40+$W40+$T40+$Q40+$N40+$K40+$H40+$E40)</f>
        <v>43039.661481500007</v>
      </c>
      <c r="AS40" s="933">
        <f>+(AR40/AR23)</f>
        <v>0.12384703423003132</v>
      </c>
      <c r="AT40" s="366"/>
      <c r="AU40" s="366"/>
      <c r="AV40" s="366"/>
      <c r="AW40" s="366"/>
      <c r="AX40" s="366"/>
      <c r="AY40" s="366"/>
      <c r="AZ40" s="366"/>
      <c r="BA40" s="366"/>
      <c r="BB40" s="366"/>
      <c r="BC40" s="366"/>
      <c r="BD40" s="366"/>
    </row>
    <row r="41" spans="2:56" ht="14" thickBot="1" x14ac:dyDescent="0.2">
      <c r="B41" s="1503" t="s">
        <v>364</v>
      </c>
      <c r="C41" s="1504"/>
      <c r="D41" s="139"/>
      <c r="E41" s="936">
        <f>+E36</f>
        <v>1658.4890600000001</v>
      </c>
      <c r="F41" s="937">
        <f>+E41/E23</f>
        <v>0.1476094025629113</v>
      </c>
      <c r="G41" s="938"/>
      <c r="H41" s="936">
        <f>+H36</f>
        <v>1658.4890600000001</v>
      </c>
      <c r="I41" s="937">
        <f>+H41/H23</f>
        <v>0.1476094025629113</v>
      </c>
      <c r="J41" s="938"/>
      <c r="K41" s="936">
        <f>+K36</f>
        <v>2227.8580800000004</v>
      </c>
      <c r="L41" s="937">
        <f>+K41/K23</f>
        <v>0.1500556399728428</v>
      </c>
      <c r="M41" s="938"/>
      <c r="N41" s="936">
        <f>+N36</f>
        <v>2898.1919062499996</v>
      </c>
      <c r="O41" s="937">
        <f>+N41/N23</f>
        <v>0.15174996195702861</v>
      </c>
      <c r="P41" s="938"/>
      <c r="Q41" s="936">
        <f>+Q36</f>
        <v>3491.1476625</v>
      </c>
      <c r="R41" s="937">
        <f>+Q41/Q23</f>
        <v>0.15272338048594036</v>
      </c>
      <c r="S41" s="938"/>
      <c r="T41" s="936">
        <f>+T36</f>
        <v>4084.1034187500009</v>
      </c>
      <c r="U41" s="937">
        <f>+T41/T23</f>
        <v>0.15342175498454294</v>
      </c>
      <c r="V41" s="938"/>
      <c r="W41" s="936">
        <f>+W36</f>
        <v>4840.8001865000006</v>
      </c>
      <c r="X41" s="937">
        <f>+W41/W23</f>
        <v>0.15407016849100627</v>
      </c>
      <c r="Y41" s="938"/>
      <c r="Z41" s="936">
        <f>+Z36</f>
        <v>5465.326682500001</v>
      </c>
      <c r="AA41" s="937">
        <f>+Z41/Z23</f>
        <v>0.1544728176242243</v>
      </c>
      <c r="AB41" s="938"/>
      <c r="AC41" s="936">
        <f>+AC36</f>
        <v>5465.326682500001</v>
      </c>
      <c r="AD41" s="937">
        <f>+AC41/AC23</f>
        <v>0.1544728176242243</v>
      </c>
      <c r="AE41" s="938"/>
      <c r="AF41" s="936">
        <f>+AF36</f>
        <v>5660.6384337500012</v>
      </c>
      <c r="AG41" s="937">
        <f>+AF41/AF23</f>
        <v>0.15458085976383271</v>
      </c>
      <c r="AH41" s="938"/>
      <c r="AI41" s="936">
        <f>+AI36</f>
        <v>5660.6384337500012</v>
      </c>
      <c r="AJ41" s="937">
        <f>+AI41/AI23</f>
        <v>0.15458085976383271</v>
      </c>
      <c r="AK41" s="938"/>
      <c r="AL41" s="936">
        <f>+AL36</f>
        <v>5020.5092049999994</v>
      </c>
      <c r="AM41" s="937">
        <f>+AL41/AL23</f>
        <v>0.15419607128602911</v>
      </c>
      <c r="AN41" s="939"/>
      <c r="AO41" s="936">
        <f>+AO36</f>
        <v>5192.2342199999994</v>
      </c>
      <c r="AP41" s="937">
        <f>+AO41/AO23</f>
        <v>0.15430841091498501</v>
      </c>
      <c r="AQ41"/>
      <c r="AR41" s="936">
        <f>SUM(+$AO41+$AL41+$AI41+$AF41+$AC41+$Z41+$W41+$T41+$Q41+$N41+$K41+$H41+$E41)</f>
        <v>53323.753031500011</v>
      </c>
      <c r="AS41" s="937">
        <f>+AR41/AR23</f>
        <v>0.15343960523027231</v>
      </c>
    </row>
    <row r="42" spans="2:56" ht="14" thickTop="1" x14ac:dyDescent="0.15">
      <c r="AQ42"/>
      <c r="AR42"/>
    </row>
  </sheetData>
  <sheetProtection algorithmName="SHA-512" hashValue="QLfNt7Nn3UZGQE+J3IQ/wqj9CL8nDU2Lgg4TpQ2kq3U42KeRcDBmuBlNg8ReTSdIkvpnjiPU/FZXNes6/U8MDQ==" saltValue="BS8WLtnXtpUfVOb1Vm8CeA==" spinCount="100000" sheet="1" objects="1" scenarios="1"/>
  <mergeCells count="13">
    <mergeCell ref="B9:C9"/>
    <mergeCell ref="B36:C36"/>
    <mergeCell ref="B38:C38"/>
    <mergeCell ref="B40:C40"/>
    <mergeCell ref="B41:C41"/>
    <mergeCell ref="B2:C2"/>
    <mergeCell ref="AU2:AU8"/>
    <mergeCell ref="BE2:BE8"/>
    <mergeCell ref="B3:C3"/>
    <mergeCell ref="B4:C4"/>
    <mergeCell ref="B6:C6"/>
    <mergeCell ref="B7:C7"/>
    <mergeCell ref="B8:C8"/>
  </mergeCells>
  <pageMargins left="0.75000000000000011" right="0.75000000000000011" top="1" bottom="1" header="0.49" footer="0.49"/>
  <pageSetup paperSize="5" scale="92" fitToWidth="2" orientation="landscape"/>
  <headerFooter>
    <oddFooter>&amp;C&amp;K000000Budget et indicateurs de performance (430-763-Me)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17AFB-D23D-F549-AAC8-7F3BD66C20DF}">
  <sheetPr>
    <tabColor theme="2" tint="-0.499984740745262"/>
    <pageSetUpPr fitToPage="1"/>
  </sheetPr>
  <dimension ref="B1:BS82"/>
  <sheetViews>
    <sheetView zoomScale="110" zoomScaleNormal="110" zoomScalePageLayoutView="125" workbookViewId="0">
      <pane xSplit="3" ySplit="9" topLeftCell="D10" activePane="bottomRight" state="frozen"/>
      <selection pane="topRight" activeCell="D1" sqref="D1"/>
      <selection pane="bottomLeft" activeCell="A8" sqref="A8"/>
      <selection pane="bottomRight"/>
    </sheetView>
  </sheetViews>
  <sheetFormatPr baseColWidth="10" defaultRowHeight="13" x14ac:dyDescent="0.15"/>
  <cols>
    <col min="1" max="1" width="3.33203125" style="138" customWidth="1"/>
    <col min="2" max="2" width="10.83203125" style="138"/>
    <col min="3" max="3" width="42.5" style="138" customWidth="1"/>
    <col min="4" max="4" width="0.83203125" style="138" customWidth="1"/>
    <col min="5" max="5" width="15.6640625" style="138" bestFit="1" customWidth="1"/>
    <col min="6" max="6" width="9.1640625" style="138" bestFit="1" customWidth="1"/>
    <col min="7" max="7" width="0.83203125" style="138" customWidth="1"/>
    <col min="8" max="8" width="15.6640625" style="138" bestFit="1" customWidth="1"/>
    <col min="9" max="9" width="7.83203125" style="138" customWidth="1"/>
    <col min="10" max="10" width="0.83203125" style="138" customWidth="1"/>
    <col min="11" max="11" width="15.6640625" style="138" bestFit="1" customWidth="1"/>
    <col min="12" max="12" width="8.1640625" style="138" bestFit="1" customWidth="1"/>
    <col min="13" max="13" width="0.83203125" style="138" customWidth="1"/>
    <col min="14" max="14" width="15.6640625" style="138" bestFit="1" customWidth="1"/>
    <col min="15" max="15" width="8.1640625" style="138" bestFit="1" customWidth="1"/>
    <col min="16" max="16" width="0.83203125" style="138" customWidth="1"/>
    <col min="17" max="17" width="14.33203125" style="138" bestFit="1" customWidth="1"/>
    <col min="18" max="18" width="8.1640625" style="138" bestFit="1" customWidth="1"/>
    <col min="19" max="19" width="0.83203125" style="138" customWidth="1"/>
    <col min="20" max="20" width="15.6640625" style="138" bestFit="1" customWidth="1"/>
    <col min="21" max="21" width="8.1640625" style="138" bestFit="1" customWidth="1"/>
    <col min="22" max="22" width="0.83203125" style="138" customWidth="1"/>
    <col min="23" max="23" width="15.6640625" style="138" bestFit="1" customWidth="1"/>
    <col min="24" max="24" width="8.1640625" style="138" bestFit="1" customWidth="1"/>
    <col min="25" max="25" width="0.83203125" style="138" customWidth="1"/>
    <col min="26" max="26" width="15.6640625" style="138" bestFit="1" customWidth="1"/>
    <col min="27" max="27" width="8.1640625" style="138" bestFit="1" customWidth="1"/>
    <col min="28" max="28" width="0.83203125" style="138" customWidth="1"/>
    <col min="29" max="29" width="15.6640625" style="138" bestFit="1" customWidth="1"/>
    <col min="30" max="30" width="8.1640625" style="138" bestFit="1" customWidth="1"/>
    <col min="31" max="31" width="0.83203125" style="138" customWidth="1"/>
    <col min="32" max="32" width="15.6640625" style="138" bestFit="1" customWidth="1"/>
    <col min="33" max="33" width="8.1640625" style="138" bestFit="1" customWidth="1"/>
    <col min="34" max="34" width="0.83203125" style="138" customWidth="1"/>
    <col min="35" max="35" width="15.6640625" style="138" bestFit="1" customWidth="1"/>
    <col min="36" max="36" width="8.1640625" style="138" bestFit="1" customWidth="1"/>
    <col min="37" max="37" width="0.83203125" style="138" customWidth="1"/>
    <col min="38" max="38" width="15.6640625" style="138" bestFit="1" customWidth="1"/>
    <col min="39" max="39" width="9.6640625" style="138" bestFit="1" customWidth="1"/>
    <col min="40" max="40" width="0.83203125" style="138" customWidth="1"/>
    <col min="41" max="41" width="15.6640625" style="138" bestFit="1" customWidth="1"/>
    <col min="42" max="42" width="8.1640625" style="138" customWidth="1"/>
    <col min="43" max="43" width="3" style="138" customWidth="1"/>
    <col min="44" max="44" width="15.1640625" style="138" bestFit="1" customWidth="1"/>
    <col min="45" max="45" width="8.1640625" style="138" customWidth="1"/>
    <col min="46" max="46" width="2.5" style="138" customWidth="1"/>
    <col min="47" max="47" width="8.5" style="138" bestFit="1" customWidth="1"/>
    <col min="48" max="48" width="22.83203125" style="138" bestFit="1" customWidth="1"/>
    <col min="49" max="49" width="2.5" style="138" bestFit="1" customWidth="1"/>
    <col min="50" max="50" width="26.83203125" style="138" bestFit="1" customWidth="1"/>
    <col min="51" max="51" width="2.5" style="138" bestFit="1" customWidth="1"/>
    <col min="52" max="52" width="2" style="138" bestFit="1" customWidth="1"/>
    <col min="53" max="53" width="10.83203125" style="138"/>
    <col min="54" max="54" width="2.5" style="138" bestFit="1" customWidth="1"/>
    <col min="55" max="55" width="10.83203125" style="138"/>
    <col min="56" max="56" width="2" style="138" bestFit="1" customWidth="1"/>
    <col min="57" max="57" width="8.5" style="138" bestFit="1" customWidth="1"/>
    <col min="58" max="16384" width="10.83203125" style="138"/>
  </cols>
  <sheetData>
    <row r="1" spans="2:57" ht="14" thickBot="1" x14ac:dyDescent="0.2"/>
    <row r="2" spans="2:57" ht="20" customHeight="1" thickTop="1" x14ac:dyDescent="0.2">
      <c r="B2" s="1516" t="str">
        <f>'État des Résultats'!C2</f>
        <v>Votre entreprise inc.</v>
      </c>
      <c r="C2" s="1517"/>
      <c r="AU2" s="1479" t="s">
        <v>45</v>
      </c>
      <c r="AV2" s="780"/>
      <c r="AW2" s="780"/>
      <c r="AX2" s="780"/>
      <c r="AY2" s="780"/>
      <c r="AZ2" s="780"/>
      <c r="BA2" s="780"/>
      <c r="BB2" s="780"/>
      <c r="BC2" s="780"/>
      <c r="BD2" s="780"/>
      <c r="BE2" s="1482" t="s">
        <v>46</v>
      </c>
    </row>
    <row r="3" spans="2:57" ht="20" customHeight="1" x14ac:dyDescent="0.2">
      <c r="B3" s="1505" t="str">
        <f>'État des Résultats'!C3</f>
        <v xml:space="preserve">États des résultats </v>
      </c>
      <c r="C3" s="1506"/>
      <c r="AU3" s="1480"/>
      <c r="AV3" s="781"/>
      <c r="AW3" s="781"/>
      <c r="AX3" s="781"/>
      <c r="AY3" s="781"/>
      <c r="AZ3" s="781"/>
      <c r="BA3" s="781"/>
      <c r="BB3" s="781"/>
      <c r="BC3" s="781"/>
      <c r="BD3" s="781"/>
      <c r="BE3" s="1483"/>
    </row>
    <row r="4" spans="2:57" ht="20" customHeight="1" thickBot="1" x14ac:dyDescent="0.3">
      <c r="B4" s="1507" t="str">
        <f>'État des Résultats'!C4</f>
        <v>Pour la période du 2 janvier 2023 au 31 décembre 2023</v>
      </c>
      <c r="C4" s="1508"/>
      <c r="AU4" s="1480"/>
      <c r="AV4" s="782" t="str">
        <f>'[1]Formule pour le calcul D'!BA103</f>
        <v>Coût annuel</v>
      </c>
      <c r="AW4" s="782" t="s">
        <v>48</v>
      </c>
      <c r="AX4" s="782" t="str">
        <f>'[1]Formule pour le calcul D'!BC103</f>
        <v>Achalandage annuelle</v>
      </c>
      <c r="AY4" s="782" t="s">
        <v>50</v>
      </c>
      <c r="AZ4" s="782" t="s">
        <v>51</v>
      </c>
      <c r="BA4" s="782" t="str">
        <f>'[1]Formule pour le calcul D'!BF103</f>
        <v>Um/A</v>
      </c>
      <c r="BB4" s="782" t="s">
        <v>50</v>
      </c>
      <c r="BC4" s="782" t="str">
        <f>'[1]Formule pour le calcul D'!BH103</f>
        <v>CmO</v>
      </c>
      <c r="BD4" s="782" t="s">
        <v>54</v>
      </c>
      <c r="BE4" s="1483"/>
    </row>
    <row r="5" spans="2:57" ht="21" thickTop="1" thickBot="1" x14ac:dyDescent="0.3">
      <c r="B5" s="771"/>
      <c r="C5" s="139"/>
      <c r="P5" s="139"/>
      <c r="AU5" s="1480"/>
      <c r="AV5" s="783" t="s">
        <v>1</v>
      </c>
      <c r="AW5" s="184"/>
      <c r="AX5" s="783"/>
      <c r="AY5" s="184"/>
      <c r="AZ5" s="184"/>
      <c r="BA5" s="184"/>
      <c r="BB5" s="184"/>
      <c r="BC5" s="184"/>
      <c r="BD5" s="184"/>
      <c r="BE5" s="1483"/>
    </row>
    <row r="6" spans="2:57" ht="27" thickTop="1" x14ac:dyDescent="0.3">
      <c r="B6" s="1509" t="str">
        <f>'État des Résultats'!C6</f>
        <v>Nb de places</v>
      </c>
      <c r="C6" s="1490"/>
      <c r="D6" s="373"/>
      <c r="E6" s="784" t="str">
        <f>'Coût marchandises vendues'!E6</f>
        <v>Coût / place / jour</v>
      </c>
      <c r="F6" s="785">
        <f>E69/B7/'% Occupation'!D8</f>
        <v>15.023365547619047</v>
      </c>
      <c r="G6" s="336"/>
      <c r="H6" s="784" t="str">
        <f>+E6</f>
        <v>Coût / place / jour</v>
      </c>
      <c r="I6" s="785">
        <f>H69/B7/'% Occupation'!E8</f>
        <v>15.023365547619047</v>
      </c>
      <c r="J6" s="336"/>
      <c r="K6" s="784" t="str">
        <f>+H6</f>
        <v>Coût / place / jour</v>
      </c>
      <c r="L6" s="785">
        <f>K69/B7/'% Occupation'!F8</f>
        <v>19.856954857142856</v>
      </c>
      <c r="M6" s="336"/>
      <c r="N6" s="784" t="str">
        <f>+K6</f>
        <v>Coût / place / jour</v>
      </c>
      <c r="O6" s="785">
        <f>N69/B7/'% Occupation'!G8</f>
        <v>25.547672656250001</v>
      </c>
      <c r="P6" s="786"/>
      <c r="Q6" s="787" t="str">
        <f>+N6</f>
        <v>Coût / place / jour</v>
      </c>
      <c r="R6" s="785">
        <f>Q69/B7/'% Occupation'!H8</f>
        <v>30.581498705357141</v>
      </c>
      <c r="S6" s="786"/>
      <c r="T6" s="784" t="str">
        <f>+Q6</f>
        <v>Coût / place / jour</v>
      </c>
      <c r="U6" s="785">
        <f>T69/B7/'% Occupation'!I8</f>
        <v>35.615324754464289</v>
      </c>
      <c r="V6" s="336"/>
      <c r="W6" s="784" t="str">
        <f>+T6</f>
        <v>Coût / place / jour</v>
      </c>
      <c r="X6" s="785">
        <f>W69/B7/'% Occupation'!J8</f>
        <v>42.039210281547632</v>
      </c>
      <c r="Y6" s="788"/>
      <c r="Z6" s="784" t="str">
        <f>+W6</f>
        <v>Coût / place / jour</v>
      </c>
      <c r="AA6" s="785">
        <f>Z69/B7/'% Occupation'!K8</f>
        <v>47.341052300595251</v>
      </c>
      <c r="AB6" s="336"/>
      <c r="AC6" s="784" t="str">
        <f>+Z6</f>
        <v>Coût / place / jour</v>
      </c>
      <c r="AD6" s="785">
        <f>AC69/B7/'% Occupation'!L8</f>
        <v>47.341052300595251</v>
      </c>
      <c r="AE6" s="336"/>
      <c r="AF6" s="784" t="str">
        <f>+AC6</f>
        <v>Coût / place / jour</v>
      </c>
      <c r="AG6" s="785">
        <f>AF69/B7/'% Occupation'!M8</f>
        <v>48.999127748511917</v>
      </c>
      <c r="AH6" s="788"/>
      <c r="AI6" s="784" t="str">
        <f>+AF6</f>
        <v>Coût / place / jour</v>
      </c>
      <c r="AJ6" s="785">
        <f>AI69/B7/'% Occupation'!N8</f>
        <v>48.999127748511917</v>
      </c>
      <c r="AK6" s="789"/>
      <c r="AL6" s="784" t="str">
        <f>+AI6</f>
        <v>Coût / place / jour</v>
      </c>
      <c r="AM6" s="785">
        <f>AL69/B7/'% Occupation'!O8</f>
        <v>43.564828220238098</v>
      </c>
      <c r="AN6" s="336"/>
      <c r="AO6" s="784" t="str">
        <f>+AL6</f>
        <v>Coût / place / jour</v>
      </c>
      <c r="AP6" s="785">
        <f>AO69/B7/'% Occupation'!P8</f>
        <v>45.022666928571425</v>
      </c>
      <c r="AQ6" s="940"/>
      <c r="AR6" s="1062" t="str">
        <f>+AO6</f>
        <v>Coût / place / jour</v>
      </c>
      <c r="AS6" s="1063">
        <f>AR69/B7/'% Occupation'!Q8</f>
        <v>35.765788276694138</v>
      </c>
      <c r="AU6" s="1480"/>
      <c r="AV6" s="790" t="str">
        <f>'[1]Formule pour le calcul D'!BA105</f>
        <v xml:space="preserve">C </v>
      </c>
      <c r="AW6" s="791"/>
      <c r="AX6" s="790" t="str">
        <f>'[1]Formule pour le calcul D'!BC105</f>
        <v>A</v>
      </c>
      <c r="AY6" s="791"/>
      <c r="AZ6" s="791"/>
      <c r="BA6" s="790" t="str">
        <f>BA4</f>
        <v>Um/A</v>
      </c>
      <c r="BB6" s="791"/>
      <c r="BC6" s="790" t="str">
        <f>BC4</f>
        <v>CmO</v>
      </c>
      <c r="BD6" s="791"/>
      <c r="BE6" s="1483"/>
    </row>
    <row r="7" spans="2:57" ht="21" x14ac:dyDescent="0.25">
      <c r="B7" s="1510">
        <f>'État des Résultats'!C7</f>
        <v>30</v>
      </c>
      <c r="C7" s="1492"/>
      <c r="D7" s="370"/>
      <c r="E7" s="360">
        <f>E69/$AR$69</f>
        <v>3.2311422712750587E-2</v>
      </c>
      <c r="F7" s="361"/>
      <c r="G7" s="541"/>
      <c r="H7" s="360">
        <f>H69/$AR$69</f>
        <v>3.2311422712750587E-2</v>
      </c>
      <c r="I7" s="361"/>
      <c r="J7" s="541"/>
      <c r="K7" s="360">
        <f>K69/$AR$69</f>
        <v>4.2707238943462483E-2</v>
      </c>
      <c r="L7" s="361"/>
      <c r="M7" s="541"/>
      <c r="N7" s="360">
        <f>N69/$AR$69</f>
        <v>5.4946519666753263E-2</v>
      </c>
      <c r="O7" s="361" t="s">
        <v>1</v>
      </c>
      <c r="P7" s="792"/>
      <c r="Q7" s="360">
        <f>Q69/$AR$69</f>
        <v>6.5772993989008793E-2</v>
      </c>
      <c r="R7" s="793"/>
      <c r="S7" s="792"/>
      <c r="T7" s="360">
        <f>T69/$AR$69</f>
        <v>7.6599468311264352E-2</v>
      </c>
      <c r="U7" s="361"/>
      <c r="V7" s="541"/>
      <c r="W7" s="360">
        <f>W69/$AR$69</f>
        <v>9.0415605585299194E-2</v>
      </c>
      <c r="X7" s="361"/>
      <c r="Y7" s="399"/>
      <c r="Z7" s="360">
        <f>Z69/$AR$69</f>
        <v>0.10181851381452885</v>
      </c>
      <c r="AA7" s="361"/>
      <c r="AB7" s="541"/>
      <c r="AC7" s="360">
        <f>AC69/$AR$69</f>
        <v>0.10181851381452885</v>
      </c>
      <c r="AD7" s="361"/>
      <c r="AE7" s="541"/>
      <c r="AF7" s="360">
        <f>AF69/$AR$69</f>
        <v>0.10538461067328228</v>
      </c>
      <c r="AG7" s="361"/>
      <c r="AH7" s="399"/>
      <c r="AI7" s="360">
        <f>AI69/$AR$69</f>
        <v>0.10538461067328228</v>
      </c>
      <c r="AJ7" s="361"/>
      <c r="AK7" s="794"/>
      <c r="AL7" s="360">
        <f>AL69/$AR$69</f>
        <v>9.369682016793944E-2</v>
      </c>
      <c r="AM7" s="361"/>
      <c r="AN7" s="541"/>
      <c r="AO7" s="360">
        <f>AO69/$AR$69</f>
        <v>9.6832258935149212E-2</v>
      </c>
      <c r="AP7" s="361"/>
      <c r="AQ7" s="941"/>
      <c r="AR7" s="350">
        <f>+E7+H7+K7+N7+Q7+T7+W7+Z7+AC7+AF7+AI7+AL7+AO7</f>
        <v>1.0000000000000002</v>
      </c>
      <c r="AS7" s="362"/>
      <c r="AT7" s="541"/>
      <c r="AU7" s="1480"/>
      <c r="AV7" s="969">
        <f>AR69</f>
        <v>390562.40798149997</v>
      </c>
      <c r="AW7" s="782" t="s">
        <v>48</v>
      </c>
      <c r="AX7" s="970">
        <f>'Formule pour le calcul D'!G114</f>
        <v>54651</v>
      </c>
      <c r="AY7" s="782" t="s">
        <v>50</v>
      </c>
      <c r="AZ7" s="782" t="s">
        <v>51</v>
      </c>
      <c r="BA7" s="971">
        <f>'Formule pour le calcul D'!J114</f>
        <v>2.2692307692307692</v>
      </c>
      <c r="BB7" s="782" t="s">
        <v>50</v>
      </c>
      <c r="BC7" s="969">
        <f>AV7/AX7/BA7</f>
        <v>3.1492973154209034</v>
      </c>
      <c r="BD7" s="782" t="s">
        <v>54</v>
      </c>
      <c r="BE7" s="1483"/>
    </row>
    <row r="8" spans="2:57" ht="17" thickBot="1" x14ac:dyDescent="0.25">
      <c r="B8" s="1511" t="s">
        <v>327</v>
      </c>
      <c r="C8" s="1494"/>
      <c r="D8" s="370"/>
      <c r="E8" s="795" t="str">
        <f>'% Occupation'!D5</f>
        <v>Pér.01</v>
      </c>
      <c r="F8" s="874" t="str">
        <f>'État des Résultats'!AA8</f>
        <v>(%)</v>
      </c>
      <c r="G8" s="366"/>
      <c r="H8" s="795" t="str">
        <f>'% Occupation'!E5</f>
        <v>Pér.02</v>
      </c>
      <c r="I8" s="796" t="str">
        <f>F8</f>
        <v>(%)</v>
      </c>
      <c r="J8" s="366"/>
      <c r="K8" s="795" t="str">
        <f>'% Occupation'!F5</f>
        <v>Pér.03</v>
      </c>
      <c r="L8" s="796" t="str">
        <f>I8</f>
        <v>(%)</v>
      </c>
      <c r="M8" s="366"/>
      <c r="N8" s="795" t="str">
        <f>'% Occupation'!G5</f>
        <v>Pér.04</v>
      </c>
      <c r="O8" s="796" t="str">
        <f>L8</f>
        <v>(%)</v>
      </c>
      <c r="P8" s="797"/>
      <c r="Q8" s="795" t="str">
        <f>'% Occupation'!H5</f>
        <v>Pér.05</v>
      </c>
      <c r="R8" s="798" t="str">
        <f>O8</f>
        <v>(%)</v>
      </c>
      <c r="S8" s="797"/>
      <c r="T8" s="795" t="str">
        <f>'% Occupation'!I5</f>
        <v>Pér.06</v>
      </c>
      <c r="U8" s="796" t="str">
        <f>R8</f>
        <v>(%)</v>
      </c>
      <c r="V8" s="366"/>
      <c r="W8" s="795" t="str">
        <f>'% Occupation'!J5</f>
        <v>Pér.07</v>
      </c>
      <c r="X8" s="796" t="str">
        <f>U8</f>
        <v>(%)</v>
      </c>
      <c r="Y8" s="395"/>
      <c r="Z8" s="795" t="str">
        <f>'% Occupation'!K5</f>
        <v>Pér.08</v>
      </c>
      <c r="AA8" s="796" t="str">
        <f>X8</f>
        <v>(%)</v>
      </c>
      <c r="AB8" s="366"/>
      <c r="AC8" s="795" t="str">
        <f>'% Occupation'!L5</f>
        <v>Pér.09</v>
      </c>
      <c r="AD8" s="796" t="str">
        <f>AA8</f>
        <v>(%)</v>
      </c>
      <c r="AE8" s="366"/>
      <c r="AF8" s="795" t="str">
        <f>'% Occupation'!M5</f>
        <v>Pér.10</v>
      </c>
      <c r="AG8" s="796" t="str">
        <f>AD8</f>
        <v>(%)</v>
      </c>
      <c r="AH8" s="395"/>
      <c r="AI8" s="795" t="str">
        <f>'% Occupation'!N5</f>
        <v>Pér.11</v>
      </c>
      <c r="AJ8" s="796" t="str">
        <f>AG8</f>
        <v>(%)</v>
      </c>
      <c r="AK8" s="799"/>
      <c r="AL8" s="795" t="str">
        <f>'% Occupation'!O5</f>
        <v>Pér.12</v>
      </c>
      <c r="AM8" s="796" t="str">
        <f>AJ8</f>
        <v>(%)</v>
      </c>
      <c r="AN8" s="366"/>
      <c r="AO8" s="795" t="str">
        <f>'% Occupation'!P5</f>
        <v>Pér.13</v>
      </c>
      <c r="AP8" s="955" t="str">
        <f>AM8</f>
        <v>(%)</v>
      </c>
      <c r="AQ8" s="942"/>
      <c r="AR8" s="1064" t="str">
        <f>'% Occupation'!Q5</f>
        <v>Année</v>
      </c>
      <c r="AS8" s="1059" t="str">
        <f>AP8</f>
        <v>(%)</v>
      </c>
      <c r="AT8" s="366"/>
      <c r="AU8" s="1481"/>
      <c r="AV8" s="800"/>
      <c r="AW8" s="800"/>
      <c r="AX8" s="800"/>
      <c r="AY8" s="800"/>
      <c r="AZ8" s="800"/>
      <c r="BA8" s="800"/>
      <c r="BB8" s="800"/>
      <c r="BC8" s="800"/>
      <c r="BD8" s="800"/>
      <c r="BE8" s="1484"/>
    </row>
    <row r="9" spans="2:57" ht="15" thickTop="1" thickBot="1" x14ac:dyDescent="0.2">
      <c r="B9" s="1512">
        <f>AO69/B7</f>
        <v>1260.6346739999999</v>
      </c>
      <c r="C9" s="1513"/>
      <c r="D9" s="370"/>
      <c r="E9" s="801">
        <f>'% Occupation'!D6</f>
        <v>44928</v>
      </c>
      <c r="F9" s="802"/>
      <c r="G9" s="546"/>
      <c r="H9" s="801">
        <f>'% Occupation'!E6</f>
        <v>44956</v>
      </c>
      <c r="I9" s="595"/>
      <c r="J9" s="546"/>
      <c r="K9" s="801">
        <f>'% Occupation'!F6</f>
        <v>44984</v>
      </c>
      <c r="L9" s="595"/>
      <c r="M9" s="546"/>
      <c r="N9" s="801">
        <f>'% Occupation'!G6</f>
        <v>45012</v>
      </c>
      <c r="O9" s="803"/>
      <c r="P9" s="804"/>
      <c r="Q9" s="801">
        <f>'% Occupation'!H6</f>
        <v>45040</v>
      </c>
      <c r="R9" s="805"/>
      <c r="S9" s="804"/>
      <c r="T9" s="594">
        <f>'% Occupation'!I6</f>
        <v>45068</v>
      </c>
      <c r="U9" s="595"/>
      <c r="V9" s="546"/>
      <c r="W9" s="594">
        <f>'% Occupation'!J6</f>
        <v>45096</v>
      </c>
      <c r="X9" s="595"/>
      <c r="Y9" s="395"/>
      <c r="Z9" s="594">
        <f>'% Occupation'!K6</f>
        <v>45124</v>
      </c>
      <c r="AA9" s="595"/>
      <c r="AB9" s="546"/>
      <c r="AC9" s="594">
        <f>'% Occupation'!L6</f>
        <v>45152</v>
      </c>
      <c r="AD9" s="595"/>
      <c r="AE9" s="546"/>
      <c r="AF9" s="594">
        <f>'% Occupation'!M6</f>
        <v>45180</v>
      </c>
      <c r="AG9" s="595"/>
      <c r="AH9" s="806"/>
      <c r="AI9" s="594">
        <f>'% Occupation'!N6</f>
        <v>45208</v>
      </c>
      <c r="AJ9" s="595"/>
      <c r="AK9" s="807"/>
      <c r="AL9" s="594">
        <f>'% Occupation'!O6</f>
        <v>45236</v>
      </c>
      <c r="AM9" s="595"/>
      <c r="AN9" s="546"/>
      <c r="AO9" s="801">
        <f>'% Occupation'!P6</f>
        <v>45264</v>
      </c>
      <c r="AP9" s="802"/>
      <c r="AQ9" s="943"/>
      <c r="AR9" s="1065" t="str">
        <f>'% Occupation'!Q6</f>
        <v>Total</v>
      </c>
      <c r="AS9" s="1066"/>
      <c r="AT9" s="546"/>
      <c r="AU9" s="808"/>
      <c r="AV9" s="546"/>
    </row>
    <row r="10" spans="2:57" ht="15" thickTop="1" thickBot="1" x14ac:dyDescent="0.2">
      <c r="B10" s="331"/>
      <c r="C10" s="545"/>
      <c r="E10" s="809"/>
      <c r="F10" s="810"/>
      <c r="H10" s="811"/>
      <c r="I10" s="812"/>
      <c r="K10" s="811"/>
      <c r="L10" s="812"/>
      <c r="N10" s="811"/>
      <c r="O10" s="812"/>
      <c r="P10" s="139"/>
      <c r="Q10" s="811"/>
      <c r="R10" s="812"/>
      <c r="T10" s="811"/>
      <c r="U10" s="812"/>
      <c r="W10" s="811"/>
      <c r="X10" s="812"/>
      <c r="Z10" s="811"/>
      <c r="AA10" s="812"/>
      <c r="AC10" s="811"/>
      <c r="AD10" s="812"/>
      <c r="AF10" s="811"/>
      <c r="AG10" s="812"/>
      <c r="AI10" s="811"/>
      <c r="AJ10" s="812"/>
      <c r="AL10" s="811"/>
      <c r="AM10" s="812"/>
      <c r="AO10" s="813"/>
      <c r="AP10" s="814"/>
      <c r="AQ10" s="944"/>
      <c r="AR10" s="813"/>
      <c r="AS10" s="814"/>
    </row>
    <row r="11" spans="2:57" ht="18" customHeight="1" thickTop="1" thickBot="1" x14ac:dyDescent="0.2">
      <c r="B11" s="815"/>
      <c r="C11" s="816" t="str">
        <f>' Total des coûts de MO'!C13</f>
        <v>Salaires "Management"</v>
      </c>
      <c r="D11" s="370"/>
      <c r="E11" s="817"/>
      <c r="F11" s="818"/>
      <c r="H11" s="817"/>
      <c r="I11" s="818"/>
      <c r="K11" s="817"/>
      <c r="L11" s="818"/>
      <c r="N11" s="817"/>
      <c r="O11" s="818"/>
      <c r="Q11" s="817"/>
      <c r="R11" s="818"/>
      <c r="T11" s="817"/>
      <c r="U11" s="818"/>
      <c r="W11" s="817"/>
      <c r="X11" s="818"/>
      <c r="Z11" s="817"/>
      <c r="AA11" s="818"/>
      <c r="AC11" s="817"/>
      <c r="AD11" s="818"/>
      <c r="AF11" s="817"/>
      <c r="AG11" s="818"/>
      <c r="AI11" s="817"/>
      <c r="AJ11" s="818"/>
      <c r="AK11" s="373"/>
      <c r="AL11" s="817"/>
      <c r="AM11" s="818"/>
      <c r="AO11" s="817"/>
      <c r="AP11" s="818"/>
      <c r="AQ11" s="945"/>
      <c r="AR11" s="819"/>
      <c r="AS11" s="820"/>
    </row>
    <row r="12" spans="2:57" ht="14" thickTop="1" x14ac:dyDescent="0.15">
      <c r="B12" s="370">
        <f>' Total des coûts de MO'!B13</f>
        <v>6110</v>
      </c>
      <c r="C12" s="414" t="str">
        <f>' Total des coûts de MO'!C11</f>
        <v>Salaires</v>
      </c>
      <c r="D12" s="370"/>
      <c r="E12" s="821">
        <v>500</v>
      </c>
      <c r="F12" s="822">
        <f>E12/'État des Résultats'!E$14</f>
        <v>1.8213476515543382E-2</v>
      </c>
      <c r="G12" s="823">
        <v>2.0471491084515695E-6</v>
      </c>
      <c r="H12" s="821">
        <f>+E12</f>
        <v>500</v>
      </c>
      <c r="I12" s="822">
        <f>H12/'État des Résultats'!H$14</f>
        <v>1.8213476515543382E-2</v>
      </c>
      <c r="K12" s="821">
        <f>+H12</f>
        <v>500</v>
      </c>
      <c r="L12" s="822">
        <f>K12/'État des Résultats'!K$14</f>
        <v>1.2661561525059763E-2</v>
      </c>
      <c r="N12" s="821">
        <f>+K12</f>
        <v>500</v>
      </c>
      <c r="O12" s="822">
        <f>N12/'État des Résultats'!N$14</f>
        <v>9.3176563764799051E-3</v>
      </c>
      <c r="Q12" s="821">
        <f>+N12</f>
        <v>500</v>
      </c>
      <c r="R12" s="822">
        <f>Q12/'État des Résultats'!Q$14</f>
        <v>7.553141068127444E-3</v>
      </c>
      <c r="T12" s="821">
        <f>+Q12</f>
        <v>500</v>
      </c>
      <c r="U12" s="822">
        <f>T12/'État des Résultats'!T$14</f>
        <v>6.3505218144393394E-3</v>
      </c>
      <c r="W12" s="821">
        <f>+T12</f>
        <v>500</v>
      </c>
      <c r="X12" s="822">
        <f>W12/'État des Résultats'!W$14</f>
        <v>5.2780751240044154E-3</v>
      </c>
      <c r="Z12" s="821">
        <f>+W12</f>
        <v>500</v>
      </c>
      <c r="AA12" s="822">
        <f>Z12/'État des Résultats'!Z$14</f>
        <v>4.6324165858116946E-3</v>
      </c>
      <c r="AC12" s="821">
        <f>+Z12</f>
        <v>500</v>
      </c>
      <c r="AD12" s="822">
        <f>AC12/'État des Résultats'!AC$14</f>
        <v>4.6324165858116946E-3</v>
      </c>
      <c r="AF12" s="821">
        <f>+AC12</f>
        <v>500</v>
      </c>
      <c r="AG12" s="822">
        <f>AF12/'État des Résultats'!AF$14</f>
        <v>4.461726694923525E-3</v>
      </c>
      <c r="AI12" s="821">
        <f>+AF12</f>
        <v>500</v>
      </c>
      <c r="AJ12" s="822">
        <f>AI12/'État des Résultats'!AI$14</f>
        <v>4.461726694923525E-3</v>
      </c>
      <c r="AK12" s="373"/>
      <c r="AL12" s="821">
        <f>+AI12</f>
        <v>500</v>
      </c>
      <c r="AM12" s="822">
        <f>AL12/'État des Résultats'!AL$14</f>
        <v>5.0745527923487929E-3</v>
      </c>
      <c r="AO12" s="821">
        <f>+AL12</f>
        <v>500</v>
      </c>
      <c r="AP12" s="822">
        <f>AO12/'État des Résultats'!AO$14</f>
        <v>4.894216406588007E-3</v>
      </c>
      <c r="AQ12" s="946"/>
      <c r="AR12" s="1067">
        <f>SUM(+$AO12+$AL12+$AI12+$AF12+$AC12+$Z12+$W12+$T12+$Q12+$N12+$K12+$H12+$E12)</f>
        <v>6500</v>
      </c>
      <c r="AS12" s="1068">
        <f>AR12/'État des Résultats'!AR$14</f>
        <v>6.3204415950575627E-3</v>
      </c>
    </row>
    <row r="13" spans="2:57" x14ac:dyDescent="0.15">
      <c r="B13" s="370">
        <f>' Total des coûts de MO'!B27</f>
        <v>6205</v>
      </c>
      <c r="C13" s="414" t="str">
        <f>' Total des coûts de MO'!C27</f>
        <v>Bénéfices gouvernementaux</v>
      </c>
      <c r="D13" s="370"/>
      <c r="E13" s="824">
        <f>+E12*$H$76</f>
        <v>55</v>
      </c>
      <c r="F13" s="835">
        <f>E13/'État des Résultats'!E$14</f>
        <v>2.0034824167097717E-3</v>
      </c>
      <c r="H13" s="824">
        <f>+H12*$H$76</f>
        <v>55</v>
      </c>
      <c r="I13" s="835">
        <f>H13/'État des Résultats'!H$14</f>
        <v>2.0034824167097717E-3</v>
      </c>
      <c r="K13" s="824">
        <f>+K12*$H$76</f>
        <v>55</v>
      </c>
      <c r="L13" s="835">
        <f>K13/'État des Résultats'!K$14</f>
        <v>1.3927717677565739E-3</v>
      </c>
      <c r="N13" s="824">
        <f>+N12*$H$76</f>
        <v>55</v>
      </c>
      <c r="O13" s="835">
        <f>N13/'État des Résultats'!N$14</f>
        <v>1.0249422014127897E-3</v>
      </c>
      <c r="Q13" s="824">
        <f>+Q12*$H$76</f>
        <v>55</v>
      </c>
      <c r="R13" s="835">
        <f>Q13/'État des Résultats'!Q$14</f>
        <v>8.3084551749401886E-4</v>
      </c>
      <c r="T13" s="824">
        <f>+T12*$H$76</f>
        <v>55</v>
      </c>
      <c r="U13" s="835">
        <f>T13/'État des Résultats'!T$14</f>
        <v>6.9855739958832731E-4</v>
      </c>
      <c r="W13" s="824">
        <f>+W12*$H$76</f>
        <v>55</v>
      </c>
      <c r="X13" s="835">
        <f>W13/'État des Résultats'!W$14</f>
        <v>5.8058826364048568E-4</v>
      </c>
      <c r="Z13" s="824">
        <f>+Z12*$H$76</f>
        <v>55</v>
      </c>
      <c r="AA13" s="835">
        <f>Z13/'État des Résultats'!Z$14</f>
        <v>5.0956582443928639E-4</v>
      </c>
      <c r="AC13" s="824">
        <f>+AC12*$H$76</f>
        <v>55</v>
      </c>
      <c r="AD13" s="835">
        <f>AC13/'État des Résultats'!AC$14</f>
        <v>5.0956582443928639E-4</v>
      </c>
      <c r="AF13" s="824">
        <f>+AF12*$H$76</f>
        <v>55</v>
      </c>
      <c r="AG13" s="835">
        <f>AF13/'État des Résultats'!AF$14</f>
        <v>4.9078993644158784E-4</v>
      </c>
      <c r="AI13" s="824">
        <f>+AI12*$H$76</f>
        <v>55</v>
      </c>
      <c r="AJ13" s="835">
        <f>AI13/'État des Résultats'!AI$14</f>
        <v>4.9078993644158784E-4</v>
      </c>
      <c r="AK13" s="373"/>
      <c r="AL13" s="824">
        <f>+AL12*$H$76</f>
        <v>55</v>
      </c>
      <c r="AM13" s="835">
        <f>AL13/'État des Résultats'!AL$14</f>
        <v>5.5820080715836718E-4</v>
      </c>
      <c r="AO13" s="824">
        <f>+AO12*$H$76</f>
        <v>55</v>
      </c>
      <c r="AP13" s="835">
        <f>AO13/'État des Résultats'!AO$14</f>
        <v>5.3836380472468081E-4</v>
      </c>
      <c r="AQ13" s="947"/>
      <c r="AR13" s="1067">
        <f>SUM(+$AO13+$AL13+$AI13+$AF13+$AC13+$Z13+$W13+$T13+$Q13+$N13+$K13+$H13+$E13)</f>
        <v>715</v>
      </c>
      <c r="AS13" s="1068">
        <f>AR13/'État des Résultats'!AR$14</f>
        <v>6.9524857545633198E-4</v>
      </c>
    </row>
    <row r="14" spans="2:57" ht="14" thickBot="1" x14ac:dyDescent="0.2">
      <c r="B14" s="370">
        <f>' Total des coûts de MO'!B31</f>
        <v>6245</v>
      </c>
      <c r="C14" s="414" t="str">
        <f>' Total des coûts de MO'!C31</f>
        <v>CSST et CNT</v>
      </c>
      <c r="D14" s="370"/>
      <c r="E14" s="824">
        <f>(E12)*$F$72</f>
        <v>5</v>
      </c>
      <c r="F14" s="835">
        <f>E14/'État des Résultats'!E$14</f>
        <v>1.8213476515543381E-4</v>
      </c>
      <c r="H14" s="824">
        <f>(H12)*$F$72</f>
        <v>5</v>
      </c>
      <c r="I14" s="835">
        <f>H14/'État des Résultats'!H$14</f>
        <v>1.8213476515543381E-4</v>
      </c>
      <c r="K14" s="824">
        <f>(K12)*$F$72</f>
        <v>5</v>
      </c>
      <c r="L14" s="835">
        <f>K14/'État des Résultats'!K$14</f>
        <v>1.2661561525059763E-4</v>
      </c>
      <c r="N14" s="824">
        <f>(N12)*$F$72</f>
        <v>5</v>
      </c>
      <c r="O14" s="835">
        <f>N14/'État des Résultats'!N$14</f>
        <v>9.3176563764799062E-5</v>
      </c>
      <c r="Q14" s="824">
        <f>(Q12)*$F$72</f>
        <v>5</v>
      </c>
      <c r="R14" s="835">
        <f>Q14/'État des Résultats'!Q$14</f>
        <v>7.5531410681274448E-5</v>
      </c>
      <c r="T14" s="824">
        <f>(T12)*$F$72</f>
        <v>5</v>
      </c>
      <c r="U14" s="835">
        <f>T14/'État des Résultats'!T$14</f>
        <v>6.3505218144393387E-5</v>
      </c>
      <c r="W14" s="824">
        <f>(W12)*$F$72</f>
        <v>5</v>
      </c>
      <c r="X14" s="835">
        <f>W14/'État des Résultats'!W$14</f>
        <v>5.2780751240044157E-5</v>
      </c>
      <c r="Z14" s="824">
        <f>(Z12)*$F$72</f>
        <v>5</v>
      </c>
      <c r="AA14" s="835">
        <f>Z14/'État des Résultats'!Z$14</f>
        <v>4.6324165858116946E-5</v>
      </c>
      <c r="AC14" s="824">
        <f>(AC12)*$F$72</f>
        <v>5</v>
      </c>
      <c r="AD14" s="835">
        <f>AC14/'État des Résultats'!AC$14</f>
        <v>4.6324165858116946E-5</v>
      </c>
      <c r="AF14" s="824">
        <f>(AF12)*$F$72</f>
        <v>5</v>
      </c>
      <c r="AG14" s="835">
        <f>AF14/'État des Résultats'!AF$14</f>
        <v>4.4617266949235256E-5</v>
      </c>
      <c r="AI14" s="824">
        <f>(AI12)*$F$72</f>
        <v>5</v>
      </c>
      <c r="AJ14" s="835">
        <f>AI14/'État des Résultats'!AI$14</f>
        <v>4.4617266949235256E-5</v>
      </c>
      <c r="AK14" s="373"/>
      <c r="AL14" s="824">
        <f>(AL12)*$F$72</f>
        <v>5</v>
      </c>
      <c r="AM14" s="835">
        <f>AL14/'État des Résultats'!AL$14</f>
        <v>5.0745527923487928E-5</v>
      </c>
      <c r="AO14" s="824">
        <f>(AO12)*$F$72</f>
        <v>5</v>
      </c>
      <c r="AP14" s="835">
        <f>AO14/'État des Résultats'!AO$14</f>
        <v>4.894216406588007E-5</v>
      </c>
      <c r="AQ14" s="947"/>
      <c r="AR14" s="1067">
        <f>SUM(+$AO14+$AL14+$AI14+$AF14+$AC14+$Z14+$W14+$T14+$Q14+$N14+$K14+$H14+$E14)</f>
        <v>65</v>
      </c>
      <c r="AS14" s="1068">
        <f>AR14/'État des Résultats'!AR$14</f>
        <v>6.3204415950575632E-5</v>
      </c>
    </row>
    <row r="15" spans="2:57" ht="15" thickTop="1" thickBot="1" x14ac:dyDescent="0.2">
      <c r="B15" s="560"/>
      <c r="C15" s="561" t="s">
        <v>328</v>
      </c>
      <c r="D15" s="825"/>
      <c r="E15" s="826">
        <f>SUM(E12:E14)</f>
        <v>560</v>
      </c>
      <c r="F15" s="827">
        <f>+SUM(F12:F14)</f>
        <v>2.0399093697408586E-2</v>
      </c>
      <c r="G15" s="381"/>
      <c r="H15" s="826">
        <f>SUM(H12:H14)</f>
        <v>560</v>
      </c>
      <c r="I15" s="827">
        <f>+SUM(I12:I14)</f>
        <v>2.0399093697408586E-2</v>
      </c>
      <c r="J15" s="381"/>
      <c r="K15" s="826">
        <f>SUM(K12:K14)</f>
        <v>560</v>
      </c>
      <c r="L15" s="827">
        <f>+SUM(L12:L14)</f>
        <v>1.4180948908066935E-2</v>
      </c>
      <c r="M15" s="381"/>
      <c r="N15" s="826">
        <f>SUM(N12:N14)</f>
        <v>560</v>
      </c>
      <c r="O15" s="827">
        <f>+SUM(O12:O14)</f>
        <v>1.0435775141657494E-2</v>
      </c>
      <c r="P15" s="381"/>
      <c r="Q15" s="826">
        <f>SUM(Q12:Q14)</f>
        <v>560</v>
      </c>
      <c r="R15" s="827">
        <f>+SUM(R12:R14)</f>
        <v>8.4595179963027362E-3</v>
      </c>
      <c r="S15" s="381"/>
      <c r="T15" s="826">
        <f>SUM(T12:T14)</f>
        <v>560</v>
      </c>
      <c r="U15" s="827">
        <f>+SUM(U12:U14)</f>
        <v>7.1125844321720602E-3</v>
      </c>
      <c r="V15" s="381"/>
      <c r="W15" s="826">
        <f>SUM(W12:W14)</f>
        <v>560</v>
      </c>
      <c r="X15" s="827">
        <f>+SUM(X12:X14)</f>
        <v>5.9114441388849444E-3</v>
      </c>
      <c r="Y15" s="381"/>
      <c r="Z15" s="826">
        <f>SUM(Z12:Z14)</f>
        <v>560</v>
      </c>
      <c r="AA15" s="827">
        <f>+SUM(AA12:AA14)</f>
        <v>5.1883065761090972E-3</v>
      </c>
      <c r="AB15" s="381"/>
      <c r="AC15" s="826">
        <f>SUM(AC12:AC14)</f>
        <v>560</v>
      </c>
      <c r="AD15" s="827">
        <f>+SUM(AD12:AD14)</f>
        <v>5.1883065761090972E-3</v>
      </c>
      <c r="AE15" s="381"/>
      <c r="AF15" s="826">
        <f>SUM(AF12:AF14)</f>
        <v>560</v>
      </c>
      <c r="AG15" s="827">
        <f>+SUM(AG12:AG14)</f>
        <v>4.9971338983143482E-3</v>
      </c>
      <c r="AH15" s="381"/>
      <c r="AI15" s="826">
        <f>SUM(AI12:AI14)</f>
        <v>560</v>
      </c>
      <c r="AJ15" s="827">
        <f>+SUM(AJ12:AJ14)</f>
        <v>4.9971338983143482E-3</v>
      </c>
      <c r="AK15" s="828"/>
      <c r="AL15" s="826">
        <f>SUM(AL12:AL14)</f>
        <v>560</v>
      </c>
      <c r="AM15" s="827">
        <f>+SUM(AM12:AM14)</f>
        <v>5.6834991274306475E-3</v>
      </c>
      <c r="AN15" s="381"/>
      <c r="AO15" s="826">
        <f>SUM(AO12:AO14)</f>
        <v>560</v>
      </c>
      <c r="AP15" s="827">
        <f>+SUM(AP12:AP14)</f>
        <v>5.4815223753785685E-3</v>
      </c>
      <c r="AQ15" s="948"/>
      <c r="AR15" s="959">
        <f>SUM(AR12:AR14)</f>
        <v>7280</v>
      </c>
      <c r="AS15" s="960">
        <f>+SUM(AS12:AS14)</f>
        <v>7.0788945864644704E-3</v>
      </c>
      <c r="AT15" s="545"/>
      <c r="AU15" s="545"/>
      <c r="AV15" s="545"/>
      <c r="AW15" s="545"/>
      <c r="AX15" s="545"/>
      <c r="AY15" s="545"/>
    </row>
    <row r="16" spans="2:57" ht="15" thickTop="1" thickBot="1" x14ac:dyDescent="0.2">
      <c r="C16" s="138" t="s">
        <v>1</v>
      </c>
      <c r="E16" s="829"/>
      <c r="F16" s="830"/>
      <c r="H16" s="829"/>
      <c r="I16" s="830"/>
      <c r="K16" s="829"/>
      <c r="L16" s="830"/>
      <c r="N16" s="829"/>
      <c r="O16" s="830"/>
      <c r="Q16" s="829"/>
      <c r="R16" s="830"/>
      <c r="T16" s="829"/>
      <c r="U16" s="830"/>
      <c r="W16" s="829"/>
      <c r="X16" s="830"/>
      <c r="Z16" s="829"/>
      <c r="AA16" s="830"/>
      <c r="AC16" s="829"/>
      <c r="AD16" s="830"/>
      <c r="AF16" s="829"/>
      <c r="AG16" s="830"/>
      <c r="AI16" s="829"/>
      <c r="AJ16" s="830"/>
      <c r="AL16" s="829"/>
      <c r="AM16" s="830"/>
      <c r="AO16" s="829"/>
      <c r="AP16" s="830"/>
      <c r="AQ16" s="947"/>
      <c r="AR16" s="961"/>
      <c r="AS16" s="962"/>
    </row>
    <row r="17" spans="2:71" ht="15" thickTop="1" thickBot="1" x14ac:dyDescent="0.2">
      <c r="B17" s="831"/>
      <c r="C17" s="816" t="str">
        <f>' Total des coûts de MO'!C14</f>
        <v>Salaire "Production"</v>
      </c>
      <c r="D17" s="370"/>
      <c r="E17" s="832"/>
      <c r="F17" s="833"/>
      <c r="H17" s="832"/>
      <c r="I17" s="833"/>
      <c r="K17" s="832"/>
      <c r="L17" s="833"/>
      <c r="N17" s="832"/>
      <c r="O17" s="833"/>
      <c r="Q17" s="832"/>
      <c r="R17" s="833"/>
      <c r="T17" s="832"/>
      <c r="U17" s="833"/>
      <c r="W17" s="832"/>
      <c r="X17" s="833"/>
      <c r="Z17" s="832"/>
      <c r="AA17" s="833"/>
      <c r="AC17" s="832"/>
      <c r="AD17" s="833"/>
      <c r="AF17" s="832"/>
      <c r="AG17" s="833"/>
      <c r="AI17" s="832"/>
      <c r="AJ17" s="833"/>
      <c r="AK17" s="373"/>
      <c r="AL17" s="832"/>
      <c r="AM17" s="833"/>
      <c r="AO17" s="832"/>
      <c r="AP17" s="833"/>
      <c r="AQ17" s="949"/>
      <c r="AR17" s="963"/>
      <c r="AS17" s="964"/>
    </row>
    <row r="18" spans="2:71" ht="14" thickTop="1" x14ac:dyDescent="0.15">
      <c r="B18" s="370">
        <f>' Total des coûts de MO'!B14</f>
        <v>6120</v>
      </c>
      <c r="C18" s="414" t="str">
        <f>C12</f>
        <v>Salaires</v>
      </c>
      <c r="D18" s="370"/>
      <c r="E18" s="834">
        <f>0.17*'État des Résultats'!E14</f>
        <v>4666.8740000000007</v>
      </c>
      <c r="F18" s="835">
        <f>E18/'État des Résultats'!E$14</f>
        <v>0.17</v>
      </c>
      <c r="H18" s="834">
        <f>0.17*'État des Résultats'!H14</f>
        <v>4666.8740000000007</v>
      </c>
      <c r="I18" s="835">
        <f>H18/'État des Résultats'!H$14</f>
        <v>0.17</v>
      </c>
      <c r="K18" s="834">
        <f>0.17*'État des Résultats'!K14</f>
        <v>6713.232</v>
      </c>
      <c r="L18" s="835">
        <f>K18/'État des Résultats'!K$14</f>
        <v>0.17</v>
      </c>
      <c r="N18" s="834">
        <f>0.17*'État des Résultats'!N14</f>
        <v>9122.4656250000007</v>
      </c>
      <c r="O18" s="835">
        <f>N18/'État des Résultats'!N$14</f>
        <v>0.17</v>
      </c>
      <c r="Q18" s="834">
        <f>0.17*'État des Résultats'!Q14</f>
        <v>11253.596250000001</v>
      </c>
      <c r="R18" s="835">
        <f>Q18/'État des Résultats'!Q$14</f>
        <v>0.17</v>
      </c>
      <c r="T18" s="834">
        <f>0.17*'État des Résultats'!T14</f>
        <v>13384.726875000004</v>
      </c>
      <c r="U18" s="835">
        <f>T18/'État des Résultats'!T$14</f>
        <v>0.17</v>
      </c>
      <c r="W18" s="834">
        <f>0.17*'État des Résultats'!W14</f>
        <v>16104.355850000004</v>
      </c>
      <c r="X18" s="835">
        <f>W18/'État des Résultats'!W$14</f>
        <v>0.17</v>
      </c>
      <c r="Z18" s="834">
        <f>0.17*'État des Résultats'!Z14</f>
        <v>18348.954250000006</v>
      </c>
      <c r="AA18" s="835">
        <f>Z18/'État des Résultats'!Z$14</f>
        <v>0.17</v>
      </c>
      <c r="AC18" s="834">
        <f>0.17*'État des Résultats'!AC14</f>
        <v>18348.954250000006</v>
      </c>
      <c r="AD18" s="835">
        <f>AC18/'État des Résultats'!AC$14</f>
        <v>0.17</v>
      </c>
      <c r="AF18" s="834">
        <f>0.17*'État des Résultats'!AF14</f>
        <v>19050.920375000002</v>
      </c>
      <c r="AG18" s="835">
        <f>AF18/'État des Résultats'!AF$14</f>
        <v>0.17</v>
      </c>
      <c r="AI18" s="834">
        <f>0.17*'État des Résultats'!AI14</f>
        <v>19050.920375000002</v>
      </c>
      <c r="AJ18" s="835">
        <f>AI18/'État des Résultats'!AI$14</f>
        <v>0.17</v>
      </c>
      <c r="AK18" s="373"/>
      <c r="AL18" s="834">
        <f>0.17*'État des Résultats'!AL14</f>
        <v>16750.244500000001</v>
      </c>
      <c r="AM18" s="835">
        <f>AL18/'État des Résultats'!AL$14</f>
        <v>0.17</v>
      </c>
      <c r="AO18" s="834">
        <f>0.17*'État des Résultats'!AO14</f>
        <v>17367.438000000002</v>
      </c>
      <c r="AP18" s="835">
        <f>AO18/'État des Résultats'!AO$14</f>
        <v>0.17000000000000004</v>
      </c>
      <c r="AQ18" s="947"/>
      <c r="AR18" s="1067">
        <f>SUM(+$AO18+$AL18+$AI18+$AF18+$AC18+$Z18+$W18+$T18+$Q18+$N18+$K18+$H18+$E18)</f>
        <v>174829.55635000006</v>
      </c>
      <c r="AS18" s="1068">
        <f>AR18/'État des Résultats'!AR$14</f>
        <v>0.17000000000000007</v>
      </c>
    </row>
    <row r="19" spans="2:71" x14ac:dyDescent="0.15">
      <c r="B19" s="370">
        <f>B13</f>
        <v>6205</v>
      </c>
      <c r="C19" s="414" t="str">
        <f>C13</f>
        <v>Bénéfices gouvernementaux</v>
      </c>
      <c r="D19" s="370"/>
      <c r="E19" s="824">
        <f>+E18*$H$76</f>
        <v>513.3561400000001</v>
      </c>
      <c r="F19" s="835">
        <f>E19/'État des Résultats'!E$14</f>
        <v>1.8700000000000001E-2</v>
      </c>
      <c r="H19" s="824">
        <f>+H18*$H$76</f>
        <v>513.3561400000001</v>
      </c>
      <c r="I19" s="835">
        <f>H19/'État des Résultats'!H$14</f>
        <v>1.8700000000000001E-2</v>
      </c>
      <c r="K19" s="824">
        <f>+K18*$H$76</f>
        <v>738.45551999999998</v>
      </c>
      <c r="L19" s="835">
        <f>K19/'État des Résultats'!K$14</f>
        <v>1.8700000000000001E-2</v>
      </c>
      <c r="N19" s="824">
        <f>+N18*$H$76</f>
        <v>1003.47121875</v>
      </c>
      <c r="O19" s="835">
        <f>N19/'État des Résultats'!N$14</f>
        <v>1.8700000000000001E-2</v>
      </c>
      <c r="Q19" s="824">
        <f>+Q18*$H$76</f>
        <v>1237.8955875000001</v>
      </c>
      <c r="R19" s="835">
        <f>Q19/'État des Résultats'!Q$14</f>
        <v>1.8700000000000001E-2</v>
      </c>
      <c r="T19" s="824">
        <f>+T18*$H$76</f>
        <v>1472.3199562500004</v>
      </c>
      <c r="U19" s="835">
        <f>T19/'État des Résultats'!T$14</f>
        <v>1.8700000000000001E-2</v>
      </c>
      <c r="W19" s="824">
        <f>+W18*$H$76</f>
        <v>1771.4791435000004</v>
      </c>
      <c r="X19" s="835">
        <f>W19/'État des Résultats'!W$14</f>
        <v>1.8700000000000001E-2</v>
      </c>
      <c r="Z19" s="824">
        <f>+Z18*$H$76</f>
        <v>2018.3849675000006</v>
      </c>
      <c r="AA19" s="835">
        <f>Z19/'État des Résultats'!Z$14</f>
        <v>1.8700000000000001E-2</v>
      </c>
      <c r="AC19" s="824">
        <f>+AC18*$H$76</f>
        <v>2018.3849675000006</v>
      </c>
      <c r="AD19" s="835">
        <f>AC19/'État des Résultats'!AC$14</f>
        <v>1.8700000000000001E-2</v>
      </c>
      <c r="AF19" s="824">
        <f>+AF18*$H$76</f>
        <v>2095.6012412500004</v>
      </c>
      <c r="AG19" s="835">
        <f>AF19/'État des Résultats'!AF$14</f>
        <v>1.8700000000000001E-2</v>
      </c>
      <c r="AI19" s="824">
        <f>+AI18*$H$76</f>
        <v>2095.6012412500004</v>
      </c>
      <c r="AJ19" s="835">
        <f>AI19/'État des Résultats'!AI$14</f>
        <v>1.8700000000000001E-2</v>
      </c>
      <c r="AK19" s="373"/>
      <c r="AL19" s="824">
        <f>+AL18*$H$76</f>
        <v>1842.5268950000002</v>
      </c>
      <c r="AM19" s="835">
        <f>AL19/'État des Résultats'!AL$14</f>
        <v>1.8700000000000005E-2</v>
      </c>
      <c r="AO19" s="824">
        <f>+AO18*$H$76</f>
        <v>1910.4181800000001</v>
      </c>
      <c r="AP19" s="835">
        <f>AO19/'État des Résultats'!AO$14</f>
        <v>1.8700000000000001E-2</v>
      </c>
      <c r="AQ19" s="947"/>
      <c r="AR19" s="1067">
        <f>SUM(+$AO19+$AL19+$AI19+$AF19+$AC19+$Z19+$W19+$T19+$Q19+$N19+$K19+$H19+$E19)</f>
        <v>19231.251198500002</v>
      </c>
      <c r="AS19" s="1068">
        <f>AR19/'État des Résultats'!AR$14</f>
        <v>1.8700000000000005E-2</v>
      </c>
    </row>
    <row r="20" spans="2:71" ht="14" thickBot="1" x14ac:dyDescent="0.2">
      <c r="B20" s="370">
        <f>B14</f>
        <v>6245</v>
      </c>
      <c r="C20" s="414" t="str">
        <f>C14</f>
        <v>CSST et CNT</v>
      </c>
      <c r="D20" s="370"/>
      <c r="E20" s="824">
        <f>(E18)*$F$72</f>
        <v>46.668740000000007</v>
      </c>
      <c r="F20" s="835">
        <f>E20/'État des Résultats'!E$14</f>
        <v>1.7000000000000001E-3</v>
      </c>
      <c r="H20" s="824">
        <f>(H18)*$F$72</f>
        <v>46.668740000000007</v>
      </c>
      <c r="I20" s="835">
        <f>H20/'État des Résultats'!H$14</f>
        <v>1.7000000000000001E-3</v>
      </c>
      <c r="K20" s="824">
        <f>(K18)*$F$72</f>
        <v>67.132320000000007</v>
      </c>
      <c r="L20" s="835">
        <f>K20/'État des Résultats'!K$14</f>
        <v>1.7000000000000003E-3</v>
      </c>
      <c r="N20" s="824">
        <f>(N18)*$F$72</f>
        <v>91.22465625000001</v>
      </c>
      <c r="O20" s="835">
        <f>N20/'État des Résultats'!N$14</f>
        <v>1.7000000000000001E-3</v>
      </c>
      <c r="Q20" s="824">
        <f>(Q18)*$F$72</f>
        <v>112.53596250000001</v>
      </c>
      <c r="R20" s="835">
        <f>Q20/'État des Résultats'!Q$14</f>
        <v>1.7000000000000001E-3</v>
      </c>
      <c r="T20" s="824">
        <f>(T18)*$F$72</f>
        <v>133.84726875000004</v>
      </c>
      <c r="U20" s="835">
        <f>T20/'État des Résultats'!T$14</f>
        <v>1.7000000000000001E-3</v>
      </c>
      <c r="W20" s="824">
        <f>(W18)*$F$72</f>
        <v>161.04355850000005</v>
      </c>
      <c r="X20" s="835">
        <f>W20/'État des Résultats'!W$14</f>
        <v>1.7000000000000001E-3</v>
      </c>
      <c r="Z20" s="824">
        <f>(Z18)*$F$72</f>
        <v>183.48954250000006</v>
      </c>
      <c r="AA20" s="835">
        <f>Z20/'État des Résultats'!Z$14</f>
        <v>1.7000000000000001E-3</v>
      </c>
      <c r="AC20" s="824">
        <f>(AC18)*$F$72</f>
        <v>183.48954250000006</v>
      </c>
      <c r="AD20" s="835">
        <f>AC20/'État des Résultats'!AC$14</f>
        <v>1.7000000000000001E-3</v>
      </c>
      <c r="AF20" s="824">
        <f>(AF18)*$F$72</f>
        <v>190.50920375000001</v>
      </c>
      <c r="AG20" s="835">
        <f>AF20/'État des Résultats'!AF$14</f>
        <v>1.7000000000000001E-3</v>
      </c>
      <c r="AI20" s="824">
        <f>(AI18)*$F$72</f>
        <v>190.50920375000001</v>
      </c>
      <c r="AJ20" s="835">
        <f>AI20/'État des Résultats'!AI$14</f>
        <v>1.7000000000000001E-3</v>
      </c>
      <c r="AK20" s="373"/>
      <c r="AL20" s="824">
        <f>(AL18)*$F$72</f>
        <v>167.50244500000002</v>
      </c>
      <c r="AM20" s="835">
        <f>AL20/'État des Résultats'!AL$14</f>
        <v>1.7000000000000003E-3</v>
      </c>
      <c r="AO20" s="824">
        <f>(AO18)*$F$72</f>
        <v>173.67438000000001</v>
      </c>
      <c r="AP20" s="835">
        <f>AO20/'État des Résultats'!AO$14</f>
        <v>1.7000000000000001E-3</v>
      </c>
      <c r="AQ20" s="947"/>
      <c r="AR20" s="1067">
        <f>SUM(+$AO20+$AL20+$AI20+$AF20+$AC20+$Z20+$W20+$T20+$Q20+$N20+$K20+$H20+$E20)</f>
        <v>1748.2955635000003</v>
      </c>
      <c r="AS20" s="1068">
        <f>AR20/'État des Résultats'!AR$14</f>
        <v>1.7000000000000003E-3</v>
      </c>
    </row>
    <row r="21" spans="2:71" ht="15" thickTop="1" thickBot="1" x14ac:dyDescent="0.2">
      <c r="B21" s="560"/>
      <c r="C21" s="561" t="s">
        <v>329</v>
      </c>
      <c r="D21" s="825"/>
      <c r="E21" s="836">
        <f>SUM(E18:E20)</f>
        <v>5226.8988800000006</v>
      </c>
      <c r="F21" s="837">
        <f>SUM(F18:F20)</f>
        <v>0.19040000000000001</v>
      </c>
      <c r="G21" s="381"/>
      <c r="H21" s="836">
        <f>SUM(H18:H20)</f>
        <v>5226.8988800000006</v>
      </c>
      <c r="I21" s="837">
        <f>SUM(I18:I20)</f>
        <v>0.19040000000000001</v>
      </c>
      <c r="J21" s="381"/>
      <c r="K21" s="836">
        <f>SUM(K18:K20)</f>
        <v>7518.8198399999992</v>
      </c>
      <c r="L21" s="837">
        <f>SUM(L18:L20)</f>
        <v>0.19040000000000001</v>
      </c>
      <c r="M21" s="381"/>
      <c r="N21" s="836">
        <f>SUM(N18:N20)</f>
        <v>10217.161500000002</v>
      </c>
      <c r="O21" s="837">
        <f>SUM(O18:O20)</f>
        <v>0.19040000000000001</v>
      </c>
      <c r="P21" s="381"/>
      <c r="Q21" s="836">
        <f>SUM(Q18:Q20)</f>
        <v>12604.027800000002</v>
      </c>
      <c r="R21" s="837">
        <f>SUM(R18:R20)</f>
        <v>0.19040000000000001</v>
      </c>
      <c r="S21" s="381"/>
      <c r="T21" s="836">
        <f>SUM(T18:T20)</f>
        <v>14990.894100000005</v>
      </c>
      <c r="U21" s="837">
        <f>SUM(U18:U20)</f>
        <v>0.19040000000000001</v>
      </c>
      <c r="V21" s="381"/>
      <c r="W21" s="836">
        <f>SUM(W18:W20)</f>
        <v>18036.878552000006</v>
      </c>
      <c r="X21" s="837">
        <f>SUM(X18:X20)</f>
        <v>0.19040000000000001</v>
      </c>
      <c r="Y21" s="381"/>
      <c r="Z21" s="836">
        <f>SUM(Z18:Z20)</f>
        <v>20550.828760000008</v>
      </c>
      <c r="AA21" s="837">
        <f>SUM(AA18:AA20)</f>
        <v>0.19040000000000001</v>
      </c>
      <c r="AB21" s="381"/>
      <c r="AC21" s="836">
        <f>SUM(AC18:AC20)</f>
        <v>20550.828760000008</v>
      </c>
      <c r="AD21" s="837">
        <f>SUM(AD18:AD20)</f>
        <v>0.19040000000000001</v>
      </c>
      <c r="AE21" s="381"/>
      <c r="AF21" s="836">
        <f>SUM(AF18:AF20)</f>
        <v>21337.03082</v>
      </c>
      <c r="AG21" s="837">
        <f>SUM(AG18:AG20)</f>
        <v>0.19040000000000001</v>
      </c>
      <c r="AH21" s="381"/>
      <c r="AI21" s="836">
        <f>SUM(AI18:AI20)</f>
        <v>21337.03082</v>
      </c>
      <c r="AJ21" s="837">
        <f>SUM(AJ18:AJ20)</f>
        <v>0.19040000000000001</v>
      </c>
      <c r="AK21" s="828"/>
      <c r="AL21" s="836">
        <f>SUM(AL18:AL20)</f>
        <v>18760.273839999998</v>
      </c>
      <c r="AM21" s="837">
        <f>SUM(AM18:AM20)</f>
        <v>0.19040000000000001</v>
      </c>
      <c r="AN21" s="381"/>
      <c r="AO21" s="836">
        <f>SUM(AO18:AO20)</f>
        <v>19451.530560000003</v>
      </c>
      <c r="AP21" s="837">
        <f>SUM(AP18:AP20)</f>
        <v>0.19040000000000004</v>
      </c>
      <c r="AQ21" s="950"/>
      <c r="AR21" s="959">
        <f>SUM(AR18:AR20)</f>
        <v>195809.10311200007</v>
      </c>
      <c r="AS21" s="960">
        <f>+SUM(AS18:AS20)</f>
        <v>0.19040000000000007</v>
      </c>
      <c r="AT21" s="545"/>
      <c r="AU21" s="545"/>
      <c r="AV21" s="545"/>
      <c r="AW21" s="545"/>
    </row>
    <row r="22" spans="2:71" ht="15" thickTop="1" thickBot="1" x14ac:dyDescent="0.2">
      <c r="E22" s="829"/>
      <c r="F22" s="830"/>
      <c r="H22" s="829"/>
      <c r="I22" s="830"/>
      <c r="K22" s="829"/>
      <c r="L22" s="830"/>
      <c r="N22" s="829"/>
      <c r="O22" s="830"/>
      <c r="Q22" s="829"/>
      <c r="R22" s="830"/>
      <c r="T22" s="829"/>
      <c r="U22" s="830"/>
      <c r="W22" s="829"/>
      <c r="X22" s="830"/>
      <c r="Z22" s="829"/>
      <c r="AA22" s="830"/>
      <c r="AC22" s="829"/>
      <c r="AD22" s="830"/>
      <c r="AF22" s="829"/>
      <c r="AG22" s="830"/>
      <c r="AI22" s="829"/>
      <c r="AJ22" s="830"/>
      <c r="AL22" s="829"/>
      <c r="AM22" s="830"/>
      <c r="AO22" s="829"/>
      <c r="AP22" s="830"/>
      <c r="AQ22" s="947"/>
      <c r="AR22" s="961"/>
      <c r="AS22" s="962"/>
    </row>
    <row r="23" spans="2:71" ht="15" thickTop="1" thickBot="1" x14ac:dyDescent="0.2">
      <c r="B23" s="838"/>
      <c r="C23" s="816" t="str">
        <f>' Total des coûts de MO'!C15</f>
        <v>Salaire "Vente et service"</v>
      </c>
      <c r="D23" s="370"/>
      <c r="E23" s="832"/>
      <c r="F23" s="833"/>
      <c r="H23" s="832"/>
      <c r="I23" s="833"/>
      <c r="K23" s="832"/>
      <c r="L23" s="833"/>
      <c r="N23" s="832"/>
      <c r="O23" s="833"/>
      <c r="Q23" s="832"/>
      <c r="R23" s="833"/>
      <c r="T23" s="832"/>
      <c r="U23" s="833"/>
      <c r="W23" s="832"/>
      <c r="X23" s="833"/>
      <c r="Z23" s="832"/>
      <c r="AA23" s="833"/>
      <c r="AC23" s="832"/>
      <c r="AD23" s="833"/>
      <c r="AF23" s="832"/>
      <c r="AG23" s="833"/>
      <c r="AI23" s="832"/>
      <c r="AJ23" s="833"/>
      <c r="AK23" s="373"/>
      <c r="AL23" s="832"/>
      <c r="AM23" s="833"/>
      <c r="AO23" s="832"/>
      <c r="AP23" s="833"/>
      <c r="AQ23" s="949"/>
      <c r="AR23" s="963"/>
      <c r="AS23" s="964"/>
    </row>
    <row r="24" spans="2:71" ht="14" thickTop="1" x14ac:dyDescent="0.15">
      <c r="B24" s="370">
        <f>' Total des coûts de MO'!B15</f>
        <v>6130</v>
      </c>
      <c r="C24" s="414" t="str">
        <f>C18</f>
        <v>Salaires</v>
      </c>
      <c r="D24" s="370"/>
      <c r="E24" s="834">
        <f>0.13*'État des Résultats'!E14</f>
        <v>3568.7860000000001</v>
      </c>
      <c r="F24" s="835">
        <f>E24/'État des Résultats'!E$14</f>
        <v>0.13</v>
      </c>
      <c r="H24" s="834">
        <f>0.13*'État des Résultats'!H14</f>
        <v>3568.7860000000001</v>
      </c>
      <c r="I24" s="835">
        <f>H24/'État des Résultats'!H$14</f>
        <v>0.13</v>
      </c>
      <c r="K24" s="834">
        <f>0.13*'État des Résultats'!K14</f>
        <v>5133.6480000000001</v>
      </c>
      <c r="L24" s="835">
        <f>K24/'État des Résultats'!K$14</f>
        <v>0.13</v>
      </c>
      <c r="N24" s="834">
        <f>0.13*'État des Résultats'!N14</f>
        <v>6976.0031250000002</v>
      </c>
      <c r="O24" s="835">
        <f>N24/'État des Résultats'!N$14</f>
        <v>0.13</v>
      </c>
      <c r="Q24" s="834">
        <f>0.13*'État des Résultats'!Q14</f>
        <v>8605.6912499999999</v>
      </c>
      <c r="R24" s="835">
        <f>Q24/'État des Résultats'!Q$14</f>
        <v>0.13</v>
      </c>
      <c r="T24" s="834">
        <f>0.13*'État des Résultats'!T14</f>
        <v>10235.379375000002</v>
      </c>
      <c r="U24" s="835">
        <f>T24/'État des Résultats'!T$14</f>
        <v>0.13</v>
      </c>
      <c r="W24" s="834">
        <f>0.13*'État des Résultats'!W14</f>
        <v>12315.095650000003</v>
      </c>
      <c r="X24" s="835">
        <f>W24/'État des Résultats'!W$14</f>
        <v>0.13</v>
      </c>
      <c r="Z24" s="834">
        <f>0.13*'État des Résultats'!Z14</f>
        <v>14031.553250000003</v>
      </c>
      <c r="AA24" s="835">
        <f>Z24/'État des Résultats'!Z$14</f>
        <v>0.13</v>
      </c>
      <c r="AC24" s="834">
        <f>0.13*'État des Résultats'!AC14</f>
        <v>14031.553250000003</v>
      </c>
      <c r="AD24" s="835">
        <f>AC24/'État des Résultats'!AC$14</f>
        <v>0.13</v>
      </c>
      <c r="AF24" s="834">
        <f>0.13*'État des Résultats'!AF14</f>
        <v>14568.350875</v>
      </c>
      <c r="AG24" s="835">
        <f>AF24/'État des Résultats'!AF$14</f>
        <v>0.13</v>
      </c>
      <c r="AI24" s="834">
        <f>0.13*'État des Résultats'!AI14</f>
        <v>14568.350875</v>
      </c>
      <c r="AJ24" s="835">
        <f>AI24/'État des Résultats'!AI$14</f>
        <v>0.13</v>
      </c>
      <c r="AK24" s="373"/>
      <c r="AL24" s="834">
        <f>0.13*'État des Résultats'!AL14</f>
        <v>12809.010499999999</v>
      </c>
      <c r="AM24" s="835">
        <f>AL24/'État des Résultats'!AL$14</f>
        <v>0.13</v>
      </c>
      <c r="AO24" s="834">
        <f>0.13*'État des Résultats'!AO14</f>
        <v>13280.982</v>
      </c>
      <c r="AP24" s="835">
        <f>AO24/'État des Résultats'!AO$14</f>
        <v>0.13</v>
      </c>
      <c r="AQ24" s="947"/>
      <c r="AR24" s="1067">
        <f>SUM(+$AO24+$AL24+$AI24+$AF24+$AC24+$Z24+$W24+$T24+$Q24+$N24+$K24+$H24+$E24)</f>
        <v>133693.19015000001</v>
      </c>
      <c r="AS24" s="1068">
        <f>AR24/'État des Résultats'!AR$14</f>
        <v>0.13000000000000003</v>
      </c>
    </row>
    <row r="25" spans="2:71" x14ac:dyDescent="0.15">
      <c r="B25" s="370">
        <f>B19</f>
        <v>6205</v>
      </c>
      <c r="C25" s="138" t="str">
        <f>C13</f>
        <v>Bénéfices gouvernementaux</v>
      </c>
      <c r="D25" s="370"/>
      <c r="E25" s="839">
        <f>E24*$H$75</f>
        <v>428.25432000000001</v>
      </c>
      <c r="F25" s="835">
        <f>E25/'État des Résultats'!E$14</f>
        <v>1.5599999999999999E-2</v>
      </c>
      <c r="H25" s="839">
        <f>H24*$H$75</f>
        <v>428.25432000000001</v>
      </c>
      <c r="I25" s="835">
        <f>H25/'État des Résultats'!H$14</f>
        <v>1.5599999999999999E-2</v>
      </c>
      <c r="K25" s="839">
        <f>K24*$H$75</f>
        <v>616.03776000000005</v>
      </c>
      <c r="L25" s="835">
        <f>K25/'État des Résultats'!K$14</f>
        <v>1.5600000000000001E-2</v>
      </c>
      <c r="N25" s="839">
        <f>N24*$H$75</f>
        <v>837.12037499999997</v>
      </c>
      <c r="O25" s="835">
        <f>N25/'État des Résultats'!N$14</f>
        <v>1.5599999999999999E-2</v>
      </c>
      <c r="Q25" s="839">
        <f>Q24*$H$75</f>
        <v>1032.6829499999999</v>
      </c>
      <c r="R25" s="835">
        <f>Q25/'État des Résultats'!Q$14</f>
        <v>1.5599999999999998E-2</v>
      </c>
      <c r="T25" s="839">
        <f>T24*$H$75</f>
        <v>1228.2455250000003</v>
      </c>
      <c r="U25" s="835">
        <f>T25/'État des Résultats'!T$14</f>
        <v>1.5600000000000001E-2</v>
      </c>
      <c r="W25" s="839">
        <f>W24*$H$75</f>
        <v>1477.8114780000003</v>
      </c>
      <c r="X25" s="835">
        <f>W25/'État des Résultats'!W$14</f>
        <v>1.5599999999999999E-2</v>
      </c>
      <c r="Z25" s="839">
        <f>Z24*$H$75</f>
        <v>1683.7863900000002</v>
      </c>
      <c r="AA25" s="835">
        <f>Z25/'État des Résultats'!Z$14</f>
        <v>1.5599999999999999E-2</v>
      </c>
      <c r="AC25" s="839">
        <f>AC24*$H$75</f>
        <v>1683.7863900000002</v>
      </c>
      <c r="AD25" s="835">
        <f>AC25/'État des Résultats'!AC$14</f>
        <v>1.5599999999999999E-2</v>
      </c>
      <c r="AF25" s="839">
        <f>AF24*$H$75</f>
        <v>1748.2021049999998</v>
      </c>
      <c r="AG25" s="835">
        <f>AF25/'État des Résultats'!AF$14</f>
        <v>1.5599999999999998E-2</v>
      </c>
      <c r="AI25" s="839">
        <f>AI24*$H$75</f>
        <v>1748.2021049999998</v>
      </c>
      <c r="AJ25" s="835">
        <f>AI25/'État des Résultats'!AI$14</f>
        <v>1.5599999999999998E-2</v>
      </c>
      <c r="AK25" s="373"/>
      <c r="AL25" s="839">
        <f>AL24*$H$75</f>
        <v>1537.0812599999997</v>
      </c>
      <c r="AM25" s="835">
        <f>AL25/'État des Résultats'!AL$14</f>
        <v>1.5599999999999998E-2</v>
      </c>
      <c r="AO25" s="839">
        <f>AO24*$H$75</f>
        <v>1593.71784</v>
      </c>
      <c r="AP25" s="835">
        <f>AO25/'État des Résultats'!AO$14</f>
        <v>1.5600000000000001E-2</v>
      </c>
      <c r="AQ25" s="947"/>
      <c r="AR25" s="1067">
        <f>SUM(+$AO25+$AL25+$AI25+$AF25+$AC25+$Z25+$W25+$T25+$Q25+$N25+$K25+$H25+$E25)</f>
        <v>16043.182817999999</v>
      </c>
      <c r="AS25" s="1068">
        <f>AR25/'État des Résultats'!AR$14</f>
        <v>1.5600000000000001E-2</v>
      </c>
    </row>
    <row r="26" spans="2:71" ht="14" thickBot="1" x14ac:dyDescent="0.2">
      <c r="B26" s="370">
        <f>B14</f>
        <v>6245</v>
      </c>
      <c r="C26" s="414" t="str">
        <f>C20</f>
        <v>CSST et CNT</v>
      </c>
      <c r="D26" s="370"/>
      <c r="E26" s="839">
        <f>(E24)*$F$72</f>
        <v>35.687860000000001</v>
      </c>
      <c r="F26" s="835">
        <f>E26/'État des Résultats'!E$14</f>
        <v>1.2999999999999999E-3</v>
      </c>
      <c r="H26" s="839">
        <f>(H24)*$F$72</f>
        <v>35.687860000000001</v>
      </c>
      <c r="I26" s="835">
        <f>H26/'État des Résultats'!H$14</f>
        <v>1.2999999999999999E-3</v>
      </c>
      <c r="K26" s="839">
        <f>(K24)*$F$72</f>
        <v>51.336480000000002</v>
      </c>
      <c r="L26" s="835">
        <f>K26/'État des Résultats'!K$14</f>
        <v>1.3000000000000002E-3</v>
      </c>
      <c r="N26" s="839">
        <f>(N24)*$F$72</f>
        <v>69.760031249999997</v>
      </c>
      <c r="O26" s="835">
        <f>N26/'État des Résultats'!N$14</f>
        <v>1.2999999999999999E-3</v>
      </c>
      <c r="Q26" s="839">
        <f>(Q24)*$F$72</f>
        <v>86.056912499999996</v>
      </c>
      <c r="R26" s="835">
        <f>Q26/'État des Résultats'!Q$14</f>
        <v>1.2999999999999999E-3</v>
      </c>
      <c r="T26" s="839">
        <f>(T24)*$F$72</f>
        <v>102.35379375000002</v>
      </c>
      <c r="U26" s="835">
        <f>T26/'État des Résultats'!T$14</f>
        <v>1.2999999999999999E-3</v>
      </c>
      <c r="W26" s="839">
        <f>(W24)*$F$72</f>
        <v>123.15095650000004</v>
      </c>
      <c r="X26" s="835">
        <f>W26/'État des Résultats'!W$14</f>
        <v>1.3000000000000002E-3</v>
      </c>
      <c r="Z26" s="839">
        <f>(Z24)*$F$72</f>
        <v>140.31553250000002</v>
      </c>
      <c r="AA26" s="835">
        <f>Z26/'État des Résultats'!Z$14</f>
        <v>1.2999999999999999E-3</v>
      </c>
      <c r="AC26" s="839">
        <f>(AC24)*$F$72</f>
        <v>140.31553250000002</v>
      </c>
      <c r="AD26" s="835">
        <f>AC26/'État des Résultats'!AC$14</f>
        <v>1.2999999999999999E-3</v>
      </c>
      <c r="AF26" s="839">
        <f>(AF24)*$F$72</f>
        <v>145.68350875000002</v>
      </c>
      <c r="AG26" s="835">
        <f>AF26/'État des Résultats'!AF$14</f>
        <v>1.3000000000000002E-3</v>
      </c>
      <c r="AI26" s="839">
        <f>(AI24)*$F$72</f>
        <v>145.68350875000002</v>
      </c>
      <c r="AJ26" s="835">
        <f>AI26/'État des Résultats'!AI$14</f>
        <v>1.3000000000000002E-3</v>
      </c>
      <c r="AK26" s="373"/>
      <c r="AL26" s="839">
        <f>(AL24)*$F$72</f>
        <v>128.09010499999999</v>
      </c>
      <c r="AM26" s="835">
        <f>AL26/'État des Résultats'!AL$14</f>
        <v>1.3000000000000002E-3</v>
      </c>
      <c r="AO26" s="839">
        <f>(AO24)*$F$72</f>
        <v>132.80982</v>
      </c>
      <c r="AP26" s="835">
        <f>AO26/'État des Résultats'!AO$14</f>
        <v>1.3000000000000002E-3</v>
      </c>
      <c r="AQ26" s="947"/>
      <c r="AR26" s="1067">
        <f>SUM(+$AO26+$AL26+$AI26+$AF26+$AC26+$Z26+$W26+$T26+$Q26+$N26+$K26+$H26+$E26)</f>
        <v>1336.9319015000001</v>
      </c>
      <c r="AS26" s="1068">
        <f>AR26/'État des Résultats'!AR$14</f>
        <v>1.3000000000000002E-3</v>
      </c>
    </row>
    <row r="27" spans="2:71" ht="15" thickTop="1" thickBot="1" x14ac:dyDescent="0.2">
      <c r="B27" s="560"/>
      <c r="C27" s="561" t="s">
        <v>330</v>
      </c>
      <c r="D27" s="825"/>
      <c r="E27" s="840">
        <f>SUM(E24:E26)</f>
        <v>4032.7281800000001</v>
      </c>
      <c r="F27" s="837">
        <f>SUM(F24:F26)</f>
        <v>0.1469</v>
      </c>
      <c r="G27" s="841"/>
      <c r="H27" s="840">
        <f>SUM(H24:H26)</f>
        <v>4032.7281800000001</v>
      </c>
      <c r="I27" s="837">
        <f>SUM(I24:I26)</f>
        <v>0.1469</v>
      </c>
      <c r="J27" s="841"/>
      <c r="K27" s="840">
        <f>SUM(K24:K26)</f>
        <v>5801.0222400000002</v>
      </c>
      <c r="L27" s="837">
        <f>SUM(L24:L26)</f>
        <v>0.1469</v>
      </c>
      <c r="M27" s="841"/>
      <c r="N27" s="840">
        <f>SUM(N24:N26)</f>
        <v>7882.8835312499996</v>
      </c>
      <c r="O27" s="837">
        <f>SUM(O24:O26)</f>
        <v>0.1469</v>
      </c>
      <c r="P27" s="841"/>
      <c r="Q27" s="840">
        <f>SUM(Q24:Q26)</f>
        <v>9724.4311125000004</v>
      </c>
      <c r="R27" s="837">
        <f>SUM(R24:R26)</f>
        <v>0.1469</v>
      </c>
      <c r="S27" s="841"/>
      <c r="T27" s="840">
        <f>SUM(T24:T26)</f>
        <v>11565.978693750003</v>
      </c>
      <c r="U27" s="837">
        <f>SUM(U24:U26)</f>
        <v>0.1469</v>
      </c>
      <c r="V27" s="841"/>
      <c r="W27" s="840">
        <f>SUM(W24:W26)</f>
        <v>13916.058084500002</v>
      </c>
      <c r="X27" s="837">
        <f>SUM(X24:X26)</f>
        <v>0.1469</v>
      </c>
      <c r="Y27" s="381"/>
      <c r="Z27" s="840">
        <f>SUM(Z24:Z26)</f>
        <v>15855.655172500003</v>
      </c>
      <c r="AA27" s="837">
        <f>SUM(AA24:AA26)</f>
        <v>0.1469</v>
      </c>
      <c r="AB27" s="841"/>
      <c r="AC27" s="840">
        <f>SUM(AC24:AC26)</f>
        <v>15855.655172500003</v>
      </c>
      <c r="AD27" s="837">
        <f>SUM(AD24:AD26)</f>
        <v>0.1469</v>
      </c>
      <c r="AE27" s="841"/>
      <c r="AF27" s="840">
        <f>SUM(AF24:AF26)</f>
        <v>16462.236488750001</v>
      </c>
      <c r="AG27" s="837">
        <f>SUM(AG24:AG26)</f>
        <v>0.1469</v>
      </c>
      <c r="AH27" s="841"/>
      <c r="AI27" s="840">
        <f>SUM(AI24:AI26)</f>
        <v>16462.236488750001</v>
      </c>
      <c r="AJ27" s="837">
        <f>SUM(AJ24:AJ26)</f>
        <v>0.1469</v>
      </c>
      <c r="AK27" s="842"/>
      <c r="AL27" s="840">
        <f>SUM(AL24:AL26)</f>
        <v>14474.181864999997</v>
      </c>
      <c r="AM27" s="837">
        <f>SUM(AM24:AM26)</f>
        <v>0.1469</v>
      </c>
      <c r="AN27" s="841"/>
      <c r="AO27" s="840">
        <f>SUM(AO24:AO26)</f>
        <v>15007.50966</v>
      </c>
      <c r="AP27" s="837">
        <f>SUM(AP24:AP26)</f>
        <v>0.1469</v>
      </c>
      <c r="AQ27" s="950"/>
      <c r="AR27" s="959">
        <f>SUM(AR24:AR26)</f>
        <v>151073.30486950002</v>
      </c>
      <c r="AS27" s="960">
        <f>+SUM(AS24:AS26)</f>
        <v>0.14690000000000003</v>
      </c>
      <c r="AT27" s="582"/>
      <c r="AU27" s="582"/>
      <c r="AV27" s="582"/>
      <c r="AW27" s="545"/>
      <c r="BD27" s="336"/>
      <c r="BE27" s="336"/>
      <c r="BF27" s="336"/>
      <c r="BG27" s="336"/>
      <c r="BH27" s="336"/>
      <c r="BI27" s="336"/>
      <c r="BJ27" s="336"/>
      <c r="BK27" s="336"/>
      <c r="BL27" s="336"/>
      <c r="BM27" s="336"/>
      <c r="BN27" s="336"/>
      <c r="BO27" s="336"/>
      <c r="BP27" s="336"/>
      <c r="BQ27" s="336"/>
      <c r="BR27" s="336"/>
      <c r="BS27" s="336"/>
    </row>
    <row r="28" spans="2:71" ht="15" thickTop="1" thickBot="1" x14ac:dyDescent="0.2">
      <c r="E28" s="843"/>
      <c r="F28" s="830"/>
      <c r="H28" s="843"/>
      <c r="I28" s="830"/>
      <c r="K28" s="843"/>
      <c r="L28" s="830"/>
      <c r="N28" s="843"/>
      <c r="O28" s="830"/>
      <c r="Q28" s="843"/>
      <c r="R28" s="830"/>
      <c r="T28" s="843"/>
      <c r="U28" s="830"/>
      <c r="W28" s="843"/>
      <c r="X28" s="830"/>
      <c r="Z28" s="843"/>
      <c r="AA28" s="830"/>
      <c r="AC28" s="843"/>
      <c r="AD28" s="830"/>
      <c r="AF28" s="843"/>
      <c r="AG28" s="830"/>
      <c r="AI28" s="843"/>
      <c r="AJ28" s="830"/>
      <c r="AL28" s="843"/>
      <c r="AM28" s="830"/>
      <c r="AO28" s="843"/>
      <c r="AP28" s="830"/>
      <c r="AQ28" s="947"/>
      <c r="AR28" s="961"/>
      <c r="AS28" s="962"/>
    </row>
    <row r="29" spans="2:71" ht="15" thickTop="1" thickBot="1" x14ac:dyDescent="0.2">
      <c r="B29" s="831"/>
      <c r="C29" s="816" t="str">
        <f>' Total des coûts de MO'!C16</f>
        <v>Salaire "Approvisionnement"</v>
      </c>
      <c r="D29" s="370"/>
      <c r="E29" s="832"/>
      <c r="F29" s="833"/>
      <c r="H29" s="832"/>
      <c r="I29" s="833"/>
      <c r="K29" s="832"/>
      <c r="L29" s="833"/>
      <c r="N29" s="832"/>
      <c r="O29" s="833"/>
      <c r="Q29" s="832"/>
      <c r="R29" s="833"/>
      <c r="T29" s="832"/>
      <c r="U29" s="833"/>
      <c r="W29" s="832"/>
      <c r="X29" s="833"/>
      <c r="Z29" s="832"/>
      <c r="AA29" s="833"/>
      <c r="AC29" s="832"/>
      <c r="AD29" s="833"/>
      <c r="AF29" s="832"/>
      <c r="AG29" s="833"/>
      <c r="AI29" s="832"/>
      <c r="AJ29" s="833"/>
      <c r="AK29" s="373"/>
      <c r="AL29" s="832"/>
      <c r="AM29" s="833"/>
      <c r="AO29" s="832"/>
      <c r="AP29" s="833"/>
      <c r="AQ29" s="949"/>
      <c r="AR29" s="963"/>
      <c r="AS29" s="964"/>
    </row>
    <row r="30" spans="2:71" ht="14" thickTop="1" x14ac:dyDescent="0.15">
      <c r="B30" s="370">
        <f>' Total des coûts de MO'!B16</f>
        <v>6140</v>
      </c>
      <c r="C30" s="414" t="str">
        <f>C24</f>
        <v>Salaires</v>
      </c>
      <c r="D30" s="370"/>
      <c r="E30" s="834">
        <v>500</v>
      </c>
      <c r="F30" s="835">
        <f>E30/'État des Résultats'!E$14</f>
        <v>1.8213476515543382E-2</v>
      </c>
      <c r="H30" s="834">
        <f>+E30</f>
        <v>500</v>
      </c>
      <c r="I30" s="835">
        <f>H30/'État des Résultats'!H$14</f>
        <v>1.8213476515543382E-2</v>
      </c>
      <c r="K30" s="834">
        <f>+H30</f>
        <v>500</v>
      </c>
      <c r="L30" s="835">
        <f>K30/'État des Résultats'!K$14</f>
        <v>1.2661561525059763E-2</v>
      </c>
      <c r="N30" s="834">
        <f>+K30</f>
        <v>500</v>
      </c>
      <c r="O30" s="835">
        <f>N30/'État des Résultats'!N$14</f>
        <v>9.3176563764799051E-3</v>
      </c>
      <c r="Q30" s="834">
        <f>+N30</f>
        <v>500</v>
      </c>
      <c r="R30" s="835">
        <f>Q30/'État des Résultats'!Q$14</f>
        <v>7.553141068127444E-3</v>
      </c>
      <c r="T30" s="834">
        <f>+Q30</f>
        <v>500</v>
      </c>
      <c r="U30" s="835">
        <f>T30/'État des Résultats'!T$14</f>
        <v>6.3505218144393394E-3</v>
      </c>
      <c r="W30" s="834">
        <f>+T30</f>
        <v>500</v>
      </c>
      <c r="X30" s="835">
        <f>W30/'État des Résultats'!W$14</f>
        <v>5.2780751240044154E-3</v>
      </c>
      <c r="Z30" s="834">
        <f>+W30</f>
        <v>500</v>
      </c>
      <c r="AA30" s="835">
        <f>Z30/'État des Résultats'!Z$14</f>
        <v>4.6324165858116946E-3</v>
      </c>
      <c r="AC30" s="834">
        <f>+Z30</f>
        <v>500</v>
      </c>
      <c r="AD30" s="835">
        <f>AC30/'État des Résultats'!AC$14</f>
        <v>4.6324165858116946E-3</v>
      </c>
      <c r="AF30" s="834">
        <f>+AC30</f>
        <v>500</v>
      </c>
      <c r="AG30" s="835">
        <f>AF30/'État des Résultats'!AF$14</f>
        <v>4.461726694923525E-3</v>
      </c>
      <c r="AI30" s="834">
        <f>+AF30</f>
        <v>500</v>
      </c>
      <c r="AJ30" s="835">
        <f>AI30/'État des Résultats'!AI$14</f>
        <v>4.461726694923525E-3</v>
      </c>
      <c r="AK30" s="373"/>
      <c r="AL30" s="834">
        <f>+AI30</f>
        <v>500</v>
      </c>
      <c r="AM30" s="835">
        <f>AL30/'État des Résultats'!AL$14</f>
        <v>5.0745527923487929E-3</v>
      </c>
      <c r="AO30" s="834">
        <f>+AL30</f>
        <v>500</v>
      </c>
      <c r="AP30" s="835">
        <f>AO30/'État des Résultats'!AO$14</f>
        <v>4.894216406588007E-3</v>
      </c>
      <c r="AQ30" s="947"/>
      <c r="AR30" s="1067">
        <f>SUM(+$AO30+$AL30+$AI30+$AF30+$AC30+$Z30+$W30+$T30+$Q30+$N30+$K30+$H30+$E30)</f>
        <v>6500</v>
      </c>
      <c r="AS30" s="1068">
        <f>AR30/'État des Résultats'!AR$14</f>
        <v>6.3204415950575627E-3</v>
      </c>
    </row>
    <row r="31" spans="2:71" x14ac:dyDescent="0.15">
      <c r="B31" s="370">
        <f>B25</f>
        <v>6205</v>
      </c>
      <c r="C31" s="414" t="str">
        <f>C25</f>
        <v>Bénéfices gouvernementaux</v>
      </c>
      <c r="D31" s="370"/>
      <c r="E31" s="824">
        <f>+E30*$H$76</f>
        <v>55</v>
      </c>
      <c r="F31" s="835">
        <f>E31/'État des Résultats'!E$14</f>
        <v>2.0034824167097717E-3</v>
      </c>
      <c r="H31" s="824">
        <f>+H30*$H$76</f>
        <v>55</v>
      </c>
      <c r="I31" s="835">
        <f>H31/'État des Résultats'!H$14</f>
        <v>2.0034824167097717E-3</v>
      </c>
      <c r="K31" s="824">
        <f>+K30*$H$76</f>
        <v>55</v>
      </c>
      <c r="L31" s="835">
        <f>K31/'État des Résultats'!K$14</f>
        <v>1.3927717677565739E-3</v>
      </c>
      <c r="N31" s="824">
        <f>+N30*$H$76</f>
        <v>55</v>
      </c>
      <c r="O31" s="835">
        <f>N31/'État des Résultats'!N$14</f>
        <v>1.0249422014127897E-3</v>
      </c>
      <c r="Q31" s="824">
        <f>+Q30*$H$76</f>
        <v>55</v>
      </c>
      <c r="R31" s="835">
        <f>Q31/'État des Résultats'!Q$14</f>
        <v>8.3084551749401886E-4</v>
      </c>
      <c r="T31" s="824">
        <f>+T30*$H$76</f>
        <v>55</v>
      </c>
      <c r="U31" s="835">
        <f>T31/'État des Résultats'!T$14</f>
        <v>6.9855739958832731E-4</v>
      </c>
      <c r="W31" s="824">
        <f>+W30*$H$76</f>
        <v>55</v>
      </c>
      <c r="X31" s="835">
        <f>W31/'État des Résultats'!W$14</f>
        <v>5.8058826364048568E-4</v>
      </c>
      <c r="Z31" s="824">
        <f>+Z30*$H$76</f>
        <v>55</v>
      </c>
      <c r="AA31" s="835">
        <f>Z31/'État des Résultats'!Z$14</f>
        <v>5.0956582443928639E-4</v>
      </c>
      <c r="AC31" s="824">
        <f>+AC30*$H$76</f>
        <v>55</v>
      </c>
      <c r="AD31" s="835">
        <f>AC31/'État des Résultats'!AC$14</f>
        <v>5.0956582443928639E-4</v>
      </c>
      <c r="AF31" s="824">
        <f>+AF30*$H$76</f>
        <v>55</v>
      </c>
      <c r="AG31" s="835">
        <f>AF31/'État des Résultats'!AF$14</f>
        <v>4.9078993644158784E-4</v>
      </c>
      <c r="AI31" s="824">
        <f>+AI30*$H$76</f>
        <v>55</v>
      </c>
      <c r="AJ31" s="835">
        <f>AI31/'État des Résultats'!AI$14</f>
        <v>4.9078993644158784E-4</v>
      </c>
      <c r="AK31" s="373"/>
      <c r="AL31" s="824">
        <f>+AL30*$H$76</f>
        <v>55</v>
      </c>
      <c r="AM31" s="835">
        <f>AL31/'État des Résultats'!AL$14</f>
        <v>5.5820080715836718E-4</v>
      </c>
      <c r="AO31" s="824">
        <f>+AO30*$H$76</f>
        <v>55</v>
      </c>
      <c r="AP31" s="835">
        <f>AO31/'État des Résultats'!AO$14</f>
        <v>5.3836380472468081E-4</v>
      </c>
      <c r="AQ31" s="947"/>
      <c r="AR31" s="1067">
        <f>SUM(+$AO31+$AL31+$AI31+$AF31+$AC31+$Z31+$W31+$T31+$Q31+$N31+$K31+$H31+$E31)</f>
        <v>715</v>
      </c>
      <c r="AS31" s="1068">
        <f>AR31/'État des Résultats'!AR$14</f>
        <v>6.9524857545633198E-4</v>
      </c>
    </row>
    <row r="32" spans="2:71" ht="14" thickBot="1" x14ac:dyDescent="0.2">
      <c r="B32" s="370">
        <f>B20</f>
        <v>6245</v>
      </c>
      <c r="C32" s="414" t="str">
        <f>C26</f>
        <v>CSST et CNT</v>
      </c>
      <c r="D32" s="370"/>
      <c r="E32" s="824">
        <f>(E30)*$F$72</f>
        <v>5</v>
      </c>
      <c r="F32" s="835">
        <f>E32/'État des Résultats'!E$14</f>
        <v>1.8213476515543381E-4</v>
      </c>
      <c r="H32" s="824">
        <f>(H30)*$F$72</f>
        <v>5</v>
      </c>
      <c r="I32" s="835">
        <f>H32/'État des Résultats'!H$14</f>
        <v>1.8213476515543381E-4</v>
      </c>
      <c r="K32" s="824">
        <f>(K30)*$F$72</f>
        <v>5</v>
      </c>
      <c r="L32" s="835">
        <f>K32/'État des Résultats'!K$14</f>
        <v>1.2661561525059763E-4</v>
      </c>
      <c r="N32" s="824">
        <f>(N30)*$F$72</f>
        <v>5</v>
      </c>
      <c r="O32" s="835">
        <f>N32/'État des Résultats'!N$14</f>
        <v>9.3176563764799062E-5</v>
      </c>
      <c r="Q32" s="824">
        <f>(Q30)*$F$72</f>
        <v>5</v>
      </c>
      <c r="R32" s="835">
        <f>Q32/'État des Résultats'!Q$14</f>
        <v>7.5531410681274448E-5</v>
      </c>
      <c r="T32" s="824">
        <f>(T30)*$F$72</f>
        <v>5</v>
      </c>
      <c r="U32" s="835">
        <f>T32/'État des Résultats'!T$14</f>
        <v>6.3505218144393387E-5</v>
      </c>
      <c r="W32" s="824">
        <f>(W30)*$F$72</f>
        <v>5</v>
      </c>
      <c r="X32" s="835">
        <f>W32/'État des Résultats'!W$14</f>
        <v>5.2780751240044157E-5</v>
      </c>
      <c r="Z32" s="824">
        <f>(Z30)*$F$72</f>
        <v>5</v>
      </c>
      <c r="AA32" s="835">
        <f>Z32/'État des Résultats'!Z$14</f>
        <v>4.6324165858116946E-5</v>
      </c>
      <c r="AC32" s="824">
        <f>(AC30)*$F$72</f>
        <v>5</v>
      </c>
      <c r="AD32" s="835">
        <f>AC32/'État des Résultats'!AC$14</f>
        <v>4.6324165858116946E-5</v>
      </c>
      <c r="AF32" s="824">
        <f>(AF30)*$F$72</f>
        <v>5</v>
      </c>
      <c r="AG32" s="835">
        <f>AF32/'État des Résultats'!AF$14</f>
        <v>4.4617266949235256E-5</v>
      </c>
      <c r="AI32" s="824">
        <f>(AI30)*$F$72</f>
        <v>5</v>
      </c>
      <c r="AJ32" s="835">
        <f>AI32/'État des Résultats'!AI$14</f>
        <v>4.4617266949235256E-5</v>
      </c>
      <c r="AK32" s="373"/>
      <c r="AL32" s="824">
        <f>(AL30)*$F$72</f>
        <v>5</v>
      </c>
      <c r="AM32" s="835">
        <f>AL32/'État des Résultats'!AL$14</f>
        <v>5.0745527923487928E-5</v>
      </c>
      <c r="AO32" s="824">
        <f>(AO30)*$F$72</f>
        <v>5</v>
      </c>
      <c r="AP32" s="835">
        <f>AO32/'État des Résultats'!AO$14</f>
        <v>4.894216406588007E-5</v>
      </c>
      <c r="AQ32" s="947"/>
      <c r="AR32" s="1067">
        <f>SUM(+$AO32+$AL32+$AI32+$AF32+$AC32+$Z32+$W32+$T32+$Q32+$N32+$K32+$H32+$E32)</f>
        <v>65</v>
      </c>
      <c r="AS32" s="1068">
        <f>AR32/'État des Résultats'!AR$14</f>
        <v>6.3204415950575632E-5</v>
      </c>
    </row>
    <row r="33" spans="2:54" ht="15" thickTop="1" thickBot="1" x14ac:dyDescent="0.2">
      <c r="B33" s="560"/>
      <c r="C33" s="844" t="s">
        <v>331</v>
      </c>
      <c r="D33" s="825"/>
      <c r="E33" s="836">
        <f>SUM(E30:E32)</f>
        <v>560</v>
      </c>
      <c r="F33" s="837">
        <f>+SUM(F30:F32)</f>
        <v>2.0399093697408586E-2</v>
      </c>
      <c r="G33" s="381"/>
      <c r="H33" s="836">
        <f>SUM(H30:H32)</f>
        <v>560</v>
      </c>
      <c r="I33" s="837">
        <f>+SUM(I30:I32)</f>
        <v>2.0399093697408586E-2</v>
      </c>
      <c r="J33" s="381"/>
      <c r="K33" s="836">
        <f>SUM(K30:K32)</f>
        <v>560</v>
      </c>
      <c r="L33" s="837">
        <f>+SUM(L30:L32)</f>
        <v>1.4180948908066935E-2</v>
      </c>
      <c r="M33" s="381"/>
      <c r="N33" s="836">
        <f>SUM(N30:N32)</f>
        <v>560</v>
      </c>
      <c r="O33" s="837">
        <f>+SUM(O30:O32)</f>
        <v>1.0435775141657494E-2</v>
      </c>
      <c r="P33" s="381"/>
      <c r="Q33" s="836">
        <f>SUM(Q30:Q32)</f>
        <v>560</v>
      </c>
      <c r="R33" s="837">
        <f>+SUM(R30:R32)</f>
        <v>8.4595179963027362E-3</v>
      </c>
      <c r="S33" s="381"/>
      <c r="T33" s="836">
        <f>SUM(T30:T32)</f>
        <v>560</v>
      </c>
      <c r="U33" s="837">
        <f>+SUM(U30:U32)</f>
        <v>7.1125844321720602E-3</v>
      </c>
      <c r="V33" s="381"/>
      <c r="W33" s="836">
        <f>SUM(W30:W32)</f>
        <v>560</v>
      </c>
      <c r="X33" s="837">
        <f>+SUM(X30:X32)</f>
        <v>5.9114441388849444E-3</v>
      </c>
      <c r="Y33" s="381"/>
      <c r="Z33" s="836">
        <f>SUM(Z30:Z32)</f>
        <v>560</v>
      </c>
      <c r="AA33" s="837">
        <f>+SUM(AA30:AA32)</f>
        <v>5.1883065761090972E-3</v>
      </c>
      <c r="AB33" s="381"/>
      <c r="AC33" s="836">
        <f>SUM(AC30:AC32)</f>
        <v>560</v>
      </c>
      <c r="AD33" s="837">
        <f>+SUM(AD30:AD32)</f>
        <v>5.1883065761090972E-3</v>
      </c>
      <c r="AE33" s="381"/>
      <c r="AF33" s="836">
        <f>SUM(AF30:AF32)</f>
        <v>560</v>
      </c>
      <c r="AG33" s="837">
        <f>+SUM(AG30:AG32)</f>
        <v>4.9971338983143482E-3</v>
      </c>
      <c r="AH33" s="381"/>
      <c r="AI33" s="836">
        <f>SUM(AI30:AI32)</f>
        <v>560</v>
      </c>
      <c r="AJ33" s="837">
        <f>+SUM(AJ30:AJ32)</f>
        <v>4.9971338983143482E-3</v>
      </c>
      <c r="AK33" s="828"/>
      <c r="AL33" s="836">
        <f>SUM(AL30:AL32)</f>
        <v>560</v>
      </c>
      <c r="AM33" s="837">
        <f>+SUM(AM30:AM32)</f>
        <v>5.6834991274306475E-3</v>
      </c>
      <c r="AN33" s="381"/>
      <c r="AO33" s="836">
        <f>SUM(AO30:AO32)</f>
        <v>560</v>
      </c>
      <c r="AP33" s="837">
        <f>+SUM(AP30:AP32)</f>
        <v>5.4815223753785685E-3</v>
      </c>
      <c r="AQ33" s="950"/>
      <c r="AR33" s="959">
        <f>SUM(AR30:AR32)</f>
        <v>7280</v>
      </c>
      <c r="AS33" s="960">
        <f>+SUM(AS30:AS32)</f>
        <v>7.0788945864644704E-3</v>
      </c>
      <c r="AT33" s="545"/>
      <c r="AU33" s="545"/>
    </row>
    <row r="34" spans="2:54" ht="15" thickTop="1" thickBot="1" x14ac:dyDescent="0.2">
      <c r="E34" s="845"/>
      <c r="F34" s="830"/>
      <c r="H34" s="845"/>
      <c r="I34" s="830"/>
      <c r="K34" s="845"/>
      <c r="L34" s="830"/>
      <c r="N34" s="845"/>
      <c r="O34" s="830"/>
      <c r="Q34" s="845"/>
      <c r="R34" s="830"/>
      <c r="T34" s="845"/>
      <c r="U34" s="830"/>
      <c r="W34" s="845"/>
      <c r="X34" s="830"/>
      <c r="Z34" s="845"/>
      <c r="AA34" s="830"/>
      <c r="AC34" s="845"/>
      <c r="AD34" s="830"/>
      <c r="AF34" s="845"/>
      <c r="AG34" s="830"/>
      <c r="AI34" s="845"/>
      <c r="AJ34" s="830"/>
      <c r="AL34" s="845"/>
      <c r="AM34" s="830"/>
      <c r="AO34" s="845"/>
      <c r="AP34" s="830"/>
      <c r="AQ34" s="947"/>
      <c r="AR34" s="961"/>
      <c r="AS34" s="962"/>
    </row>
    <row r="35" spans="2:54" ht="15" thickTop="1" thickBot="1" x14ac:dyDescent="0.2">
      <c r="B35" s="838"/>
      <c r="C35" s="816" t="str">
        <f>' Total des coûts de MO'!C17</f>
        <v>Salaire "Finance &amp; Comptabilité"</v>
      </c>
      <c r="D35" s="370"/>
      <c r="E35" s="832"/>
      <c r="F35" s="833"/>
      <c r="H35" s="832"/>
      <c r="I35" s="833"/>
      <c r="K35" s="832"/>
      <c r="L35" s="833"/>
      <c r="N35" s="832"/>
      <c r="O35" s="833"/>
      <c r="Q35" s="832"/>
      <c r="R35" s="833"/>
      <c r="T35" s="832"/>
      <c r="U35" s="833"/>
      <c r="W35" s="832"/>
      <c r="X35" s="833"/>
      <c r="Z35" s="832"/>
      <c r="AA35" s="833"/>
      <c r="AC35" s="832"/>
      <c r="AD35" s="833"/>
      <c r="AF35" s="832"/>
      <c r="AG35" s="833"/>
      <c r="AI35" s="832"/>
      <c r="AJ35" s="833"/>
      <c r="AK35" s="373"/>
      <c r="AL35" s="832"/>
      <c r="AM35" s="833"/>
      <c r="AO35" s="832"/>
      <c r="AP35" s="833"/>
      <c r="AQ35" s="949"/>
      <c r="AR35" s="963"/>
      <c r="AS35" s="964"/>
    </row>
    <row r="36" spans="2:54" ht="14" thickTop="1" x14ac:dyDescent="0.15">
      <c r="B36" s="370">
        <f>' Total des coûts de MO'!B17</f>
        <v>6150</v>
      </c>
      <c r="C36" s="414" t="str">
        <f>C30</f>
        <v>Salaires</v>
      </c>
      <c r="D36" s="370">
        <v>0</v>
      </c>
      <c r="E36" s="834">
        <v>500</v>
      </c>
      <c r="F36" s="846">
        <f>E36/'État des Résultats'!E$14</f>
        <v>1.8213476515543382E-2</v>
      </c>
      <c r="H36" s="834">
        <f>+E36</f>
        <v>500</v>
      </c>
      <c r="I36" s="846">
        <f>H36/'État des Résultats'!H$14</f>
        <v>1.8213476515543382E-2</v>
      </c>
      <c r="K36" s="834">
        <f>+H36</f>
        <v>500</v>
      </c>
      <c r="L36" s="846">
        <f>K36/'État des Résultats'!K$14</f>
        <v>1.2661561525059763E-2</v>
      </c>
      <c r="N36" s="834">
        <f>+K36</f>
        <v>500</v>
      </c>
      <c r="O36" s="846">
        <f>N36/'État des Résultats'!N$14</f>
        <v>9.3176563764799051E-3</v>
      </c>
      <c r="Q36" s="834">
        <f>+N36</f>
        <v>500</v>
      </c>
      <c r="R36" s="846">
        <f>Q36/'État des Résultats'!Q$14</f>
        <v>7.553141068127444E-3</v>
      </c>
      <c r="T36" s="834">
        <f>+Q36</f>
        <v>500</v>
      </c>
      <c r="U36" s="846">
        <f>T36/'État des Résultats'!T$14</f>
        <v>6.3505218144393394E-3</v>
      </c>
      <c r="W36" s="834">
        <f>+T36</f>
        <v>500</v>
      </c>
      <c r="X36" s="846">
        <f>W36/'État des Résultats'!W$14</f>
        <v>5.2780751240044154E-3</v>
      </c>
      <c r="Z36" s="834">
        <f>+W36</f>
        <v>500</v>
      </c>
      <c r="AA36" s="846">
        <f>Z36/'État des Résultats'!Z$14</f>
        <v>4.6324165858116946E-3</v>
      </c>
      <c r="AC36" s="834">
        <f>+Z36</f>
        <v>500</v>
      </c>
      <c r="AD36" s="846">
        <f>AC36/'État des Résultats'!AC$14</f>
        <v>4.6324165858116946E-3</v>
      </c>
      <c r="AF36" s="834">
        <f>+AC36</f>
        <v>500</v>
      </c>
      <c r="AG36" s="846">
        <f>AF36/'État des Résultats'!AF$14</f>
        <v>4.461726694923525E-3</v>
      </c>
      <c r="AI36" s="834">
        <f>+AF36</f>
        <v>500</v>
      </c>
      <c r="AJ36" s="846">
        <f>AI36/'État des Résultats'!AI$14</f>
        <v>4.461726694923525E-3</v>
      </c>
      <c r="AK36" s="373"/>
      <c r="AL36" s="834">
        <f>+AI36</f>
        <v>500</v>
      </c>
      <c r="AM36" s="846">
        <f>AL36/'État des Résultats'!AL$14</f>
        <v>5.0745527923487929E-3</v>
      </c>
      <c r="AO36" s="834">
        <f>+AL36</f>
        <v>500</v>
      </c>
      <c r="AP36" s="846">
        <f>AO36/'État des Résultats'!AO$14</f>
        <v>4.894216406588007E-3</v>
      </c>
      <c r="AQ36" s="947"/>
      <c r="AR36" s="1067">
        <f>SUM(+$AO36+$AL36+$AI36+$AF36+$AC36+$Z36+$W36+$T36+$Q36+$N36+$K36+$H36+$E36)</f>
        <v>6500</v>
      </c>
      <c r="AS36" s="1068">
        <f>AR36/'État des Résultats'!AR$14</f>
        <v>6.3204415950575627E-3</v>
      </c>
    </row>
    <row r="37" spans="2:54" x14ac:dyDescent="0.15">
      <c r="B37" s="370">
        <f>B31</f>
        <v>6205</v>
      </c>
      <c r="C37" s="414" t="str">
        <f>C31</f>
        <v>Bénéfices gouvernementaux</v>
      </c>
      <c r="D37" s="370"/>
      <c r="E37" s="824">
        <f>+E36*$H$76</f>
        <v>55</v>
      </c>
      <c r="F37" s="846">
        <f>E37/'État des Résultats'!E$14</f>
        <v>2.0034824167097717E-3</v>
      </c>
      <c r="H37" s="824">
        <f>+H36*$H$76</f>
        <v>55</v>
      </c>
      <c r="I37" s="846">
        <f>H37/'État des Résultats'!H$14</f>
        <v>2.0034824167097717E-3</v>
      </c>
      <c r="K37" s="824">
        <f>+K36*$H$76</f>
        <v>55</v>
      </c>
      <c r="L37" s="846">
        <f>K37/'État des Résultats'!K$14</f>
        <v>1.3927717677565739E-3</v>
      </c>
      <c r="N37" s="824">
        <f>+N36*$H$76</f>
        <v>55</v>
      </c>
      <c r="O37" s="846">
        <f>N37/'État des Résultats'!N$14</f>
        <v>1.0249422014127897E-3</v>
      </c>
      <c r="Q37" s="824">
        <f>+Q36*$H$76</f>
        <v>55</v>
      </c>
      <c r="R37" s="846">
        <f>Q37/'État des Résultats'!Q$14</f>
        <v>8.3084551749401886E-4</v>
      </c>
      <c r="T37" s="824">
        <f>+T36*$H$76</f>
        <v>55</v>
      </c>
      <c r="U37" s="846">
        <f>T37/'État des Résultats'!T$14</f>
        <v>6.9855739958832731E-4</v>
      </c>
      <c r="W37" s="824">
        <f>+W36*$H$76</f>
        <v>55</v>
      </c>
      <c r="X37" s="846">
        <f>W37/'État des Résultats'!W$14</f>
        <v>5.8058826364048568E-4</v>
      </c>
      <c r="Z37" s="824">
        <f>+Z36*$H$76</f>
        <v>55</v>
      </c>
      <c r="AA37" s="846">
        <f>Z37/'État des Résultats'!Z$14</f>
        <v>5.0956582443928639E-4</v>
      </c>
      <c r="AC37" s="824">
        <f>+AC36*$H$76</f>
        <v>55</v>
      </c>
      <c r="AD37" s="846">
        <f>AC37/'État des Résultats'!AC$14</f>
        <v>5.0956582443928639E-4</v>
      </c>
      <c r="AF37" s="824">
        <f>+AF36*$H$76</f>
        <v>55</v>
      </c>
      <c r="AG37" s="846">
        <f>AF37/'État des Résultats'!AF$14</f>
        <v>4.9078993644158784E-4</v>
      </c>
      <c r="AI37" s="824">
        <f>+AI36*$H$76</f>
        <v>55</v>
      </c>
      <c r="AJ37" s="846">
        <f>AI37/'État des Résultats'!AI$14</f>
        <v>4.9078993644158784E-4</v>
      </c>
      <c r="AK37" s="373"/>
      <c r="AL37" s="824">
        <f>+AL36*$H$76</f>
        <v>55</v>
      </c>
      <c r="AM37" s="846">
        <f>AL37/'État des Résultats'!AL$14</f>
        <v>5.5820080715836718E-4</v>
      </c>
      <c r="AO37" s="824">
        <f>+AO36*$H$76</f>
        <v>55</v>
      </c>
      <c r="AP37" s="846">
        <f>AO37/'État des Résultats'!AO$14</f>
        <v>5.3836380472468081E-4</v>
      </c>
      <c r="AQ37" s="947"/>
      <c r="AR37" s="1067">
        <f>SUM(+$AO37+$AL37+$AI37+$AF37+$AC37+$Z37+$W37+$T37+$Q37+$N37+$K37+$H37+$E37)</f>
        <v>715</v>
      </c>
      <c r="AS37" s="1068">
        <f>AR37/'État des Résultats'!AR$14</f>
        <v>6.9524857545633198E-4</v>
      </c>
    </row>
    <row r="38" spans="2:54" ht="14" thickBot="1" x14ac:dyDescent="0.2">
      <c r="B38" s="370">
        <f>B32</f>
        <v>6245</v>
      </c>
      <c r="C38" s="414" t="str">
        <f>C32</f>
        <v>CSST et CNT</v>
      </c>
      <c r="D38" s="847"/>
      <c r="E38" s="824">
        <f>(E36)*$F$72</f>
        <v>5</v>
      </c>
      <c r="F38" s="846">
        <f>E38/'État des Résultats'!E$14</f>
        <v>1.8213476515543381E-4</v>
      </c>
      <c r="G38" s="848"/>
      <c r="H38" s="824">
        <f>(H36)*$F$72</f>
        <v>5</v>
      </c>
      <c r="I38" s="846">
        <f>H38/'État des Résultats'!H$14</f>
        <v>1.8213476515543381E-4</v>
      </c>
      <c r="J38" s="848"/>
      <c r="K38" s="824">
        <f>(K36)*$F$72</f>
        <v>5</v>
      </c>
      <c r="L38" s="846">
        <f>K38/'État des Résultats'!K$14</f>
        <v>1.2661561525059763E-4</v>
      </c>
      <c r="M38" s="279"/>
      <c r="N38" s="824">
        <f>(N36)*$F$72</f>
        <v>5</v>
      </c>
      <c r="O38" s="846">
        <f>N38/'État des Résultats'!N$14</f>
        <v>9.3176563764799062E-5</v>
      </c>
      <c r="P38" s="848"/>
      <c r="Q38" s="824">
        <f>(Q36)*$F$72</f>
        <v>5</v>
      </c>
      <c r="R38" s="846">
        <f>Q38/'État des Résultats'!Q$14</f>
        <v>7.5531410681274448E-5</v>
      </c>
      <c r="S38" s="848"/>
      <c r="T38" s="824">
        <f>(T36)*$F$72</f>
        <v>5</v>
      </c>
      <c r="U38" s="846">
        <f>T38/'État des Résultats'!T$14</f>
        <v>6.3505218144393387E-5</v>
      </c>
      <c r="V38" s="848"/>
      <c r="W38" s="824">
        <f>(W36)*$F$72</f>
        <v>5</v>
      </c>
      <c r="X38" s="846">
        <f>W38/'État des Résultats'!W$14</f>
        <v>5.2780751240044157E-5</v>
      </c>
      <c r="Y38" s="848"/>
      <c r="Z38" s="824">
        <f>(Z36)*$F$72</f>
        <v>5</v>
      </c>
      <c r="AA38" s="846">
        <f>Z38/'État des Résultats'!Z$14</f>
        <v>4.6324165858116946E-5</v>
      </c>
      <c r="AB38" s="848"/>
      <c r="AC38" s="824">
        <f>(AC36)*$F$72</f>
        <v>5</v>
      </c>
      <c r="AD38" s="846">
        <f>AC38/'État des Résultats'!AC$14</f>
        <v>4.6324165858116946E-5</v>
      </c>
      <c r="AE38" s="848"/>
      <c r="AF38" s="824">
        <f>(AF36)*$F$72</f>
        <v>5</v>
      </c>
      <c r="AG38" s="846">
        <f>AF38/'État des Résultats'!AF$14</f>
        <v>4.4617266949235256E-5</v>
      </c>
      <c r="AH38" s="848"/>
      <c r="AI38" s="824">
        <f>(AI36)*$F$72</f>
        <v>5</v>
      </c>
      <c r="AJ38" s="846">
        <f>AI38/'État des Résultats'!AI$14</f>
        <v>4.4617266949235256E-5</v>
      </c>
      <c r="AK38" s="849"/>
      <c r="AL38" s="824">
        <f>(AL36)*$F$72</f>
        <v>5</v>
      </c>
      <c r="AM38" s="846">
        <f>AL38/'État des Résultats'!AL$14</f>
        <v>5.0745527923487928E-5</v>
      </c>
      <c r="AN38" s="848"/>
      <c r="AO38" s="824">
        <f>(AO36)*$F$72</f>
        <v>5</v>
      </c>
      <c r="AP38" s="846">
        <f>AO38/'État des Résultats'!AO$14</f>
        <v>4.894216406588007E-5</v>
      </c>
      <c r="AQ38" s="947"/>
      <c r="AR38" s="1067">
        <f>SUM(+$AO38+$AL38+$AI38+$AF38+$AC38+$Z38+$W38+$T38+$Q38+$N38+$K38+$H38+$E38)</f>
        <v>65</v>
      </c>
      <c r="AS38" s="1068">
        <f>AR38/'État des Résultats'!AR$14</f>
        <v>6.3204415950575632E-5</v>
      </c>
    </row>
    <row r="39" spans="2:54" ht="15" thickTop="1" thickBot="1" x14ac:dyDescent="0.2">
      <c r="B39" s="560"/>
      <c r="C39" s="561" t="s">
        <v>332</v>
      </c>
      <c r="D39" s="825"/>
      <c r="E39" s="836">
        <f>SUM(E36:E38)</f>
        <v>560</v>
      </c>
      <c r="F39" s="850">
        <f>SUM(F36:F38)</f>
        <v>2.0399093697408586E-2</v>
      </c>
      <c r="G39" s="381"/>
      <c r="H39" s="836">
        <f>SUM(H36:H38)</f>
        <v>560</v>
      </c>
      <c r="I39" s="850">
        <f>SUM(I36:I38)</f>
        <v>2.0399093697408586E-2</v>
      </c>
      <c r="J39" s="381"/>
      <c r="K39" s="836">
        <f>SUM(K36:K38)</f>
        <v>560</v>
      </c>
      <c r="L39" s="850">
        <f>SUM(L36:L38)</f>
        <v>1.4180948908066935E-2</v>
      </c>
      <c r="M39" s="381"/>
      <c r="N39" s="836">
        <f>SUM(N36:N38)</f>
        <v>560</v>
      </c>
      <c r="O39" s="850">
        <f>SUM(O36:O38)</f>
        <v>1.0435775141657494E-2</v>
      </c>
      <c r="P39" s="381"/>
      <c r="Q39" s="836">
        <f>SUM(Q36:Q38)</f>
        <v>560</v>
      </c>
      <c r="R39" s="850">
        <f>SUM(R36:R38)</f>
        <v>8.4595179963027362E-3</v>
      </c>
      <c r="S39" s="381"/>
      <c r="T39" s="836">
        <f>SUM(T36:T38)</f>
        <v>560</v>
      </c>
      <c r="U39" s="850">
        <f>SUM(U36:U38)</f>
        <v>7.1125844321720602E-3</v>
      </c>
      <c r="V39" s="381"/>
      <c r="W39" s="836">
        <f>SUM(W36:W38)</f>
        <v>560</v>
      </c>
      <c r="X39" s="850">
        <f>SUM(X36:X38)</f>
        <v>5.9114441388849444E-3</v>
      </c>
      <c r="Y39" s="381"/>
      <c r="Z39" s="836">
        <f>SUM(Z36:Z38)</f>
        <v>560</v>
      </c>
      <c r="AA39" s="850">
        <f>SUM(AA36:AA38)</f>
        <v>5.1883065761090972E-3</v>
      </c>
      <c r="AB39" s="381"/>
      <c r="AC39" s="836">
        <f>SUM(AC36:AC38)</f>
        <v>560</v>
      </c>
      <c r="AD39" s="850">
        <f>SUM(AD36:AD38)</f>
        <v>5.1883065761090972E-3</v>
      </c>
      <c r="AE39" s="381"/>
      <c r="AF39" s="836">
        <f>SUM(AF36:AF38)</f>
        <v>560</v>
      </c>
      <c r="AG39" s="850">
        <f>SUM(AG36:AG38)</f>
        <v>4.9971338983143482E-3</v>
      </c>
      <c r="AH39" s="381"/>
      <c r="AI39" s="836">
        <f>SUM(AI36:AI38)</f>
        <v>560</v>
      </c>
      <c r="AJ39" s="850">
        <f>SUM(AJ36:AJ38)</f>
        <v>4.9971338983143482E-3</v>
      </c>
      <c r="AK39" s="828"/>
      <c r="AL39" s="836">
        <f>SUM(AL36:AL38)</f>
        <v>560</v>
      </c>
      <c r="AM39" s="850">
        <f>SUM(AM36:AM38)</f>
        <v>5.6834991274306475E-3</v>
      </c>
      <c r="AN39" s="381"/>
      <c r="AO39" s="836">
        <f>SUM(AO36:AO38)</f>
        <v>560</v>
      </c>
      <c r="AP39" s="850">
        <f>SUM(AP36:AP38)</f>
        <v>5.4815223753785685E-3</v>
      </c>
      <c r="AQ39" s="948"/>
      <c r="AR39" s="959">
        <f>SUM(AR36:AR38)</f>
        <v>7280</v>
      </c>
      <c r="AS39" s="960">
        <f>+SUM(AS36:AS38)</f>
        <v>7.0788945864644704E-3</v>
      </c>
      <c r="AT39" s="545"/>
    </row>
    <row r="40" spans="2:54" ht="15" thickTop="1" thickBot="1" x14ac:dyDescent="0.2">
      <c r="E40" s="851"/>
      <c r="F40" s="541"/>
      <c r="H40" s="851"/>
      <c r="I40" s="541"/>
      <c r="K40" s="851"/>
      <c r="L40" s="541"/>
      <c r="N40" s="851"/>
      <c r="O40" s="541"/>
      <c r="Q40" s="851"/>
      <c r="R40" s="541"/>
      <c r="T40" s="851"/>
      <c r="U40" s="541"/>
      <c r="W40" s="851"/>
      <c r="X40" s="541"/>
      <c r="Z40" s="851"/>
      <c r="AA40" s="541"/>
      <c r="AC40" s="851"/>
      <c r="AD40" s="541"/>
      <c r="AF40" s="851"/>
      <c r="AG40" s="541"/>
      <c r="AI40" s="851"/>
      <c r="AJ40" s="541"/>
      <c r="AL40" s="851"/>
      <c r="AM40" s="541"/>
      <c r="AO40" s="851"/>
      <c r="AP40" s="541"/>
      <c r="AQ40" s="951"/>
      <c r="AR40" s="961"/>
      <c r="AS40" s="965"/>
    </row>
    <row r="41" spans="2:54" ht="15" thickTop="1" thickBot="1" x14ac:dyDescent="0.2">
      <c r="B41" s="852"/>
      <c r="C41" s="853" t="str">
        <f>' Total des coûts de MO'!C18</f>
        <v>Salaire "Marketing &amp; Communication"</v>
      </c>
      <c r="D41" s="370"/>
      <c r="E41" s="832"/>
      <c r="F41" s="854"/>
      <c r="H41" s="832"/>
      <c r="I41" s="854"/>
      <c r="K41" s="832"/>
      <c r="L41" s="854"/>
      <c r="N41" s="832"/>
      <c r="O41" s="854"/>
      <c r="Q41" s="832"/>
      <c r="R41" s="854"/>
      <c r="T41" s="832"/>
      <c r="U41" s="854"/>
      <c r="W41" s="832"/>
      <c r="X41" s="854"/>
      <c r="Z41" s="832"/>
      <c r="AA41" s="854"/>
      <c r="AC41" s="832"/>
      <c r="AD41" s="854"/>
      <c r="AF41" s="832"/>
      <c r="AG41" s="854"/>
      <c r="AI41" s="832"/>
      <c r="AJ41" s="854"/>
      <c r="AK41" s="373"/>
      <c r="AL41" s="832"/>
      <c r="AM41" s="854"/>
      <c r="AO41" s="832"/>
      <c r="AP41" s="854"/>
      <c r="AQ41" s="952"/>
      <c r="AR41" s="963"/>
      <c r="AS41" s="964"/>
    </row>
    <row r="42" spans="2:54" x14ac:dyDescent="0.15">
      <c r="B42" s="370">
        <f>' Total des coûts de MO'!B18</f>
        <v>6160</v>
      </c>
      <c r="C42" s="414" t="str">
        <f>C36</f>
        <v>Salaires</v>
      </c>
      <c r="D42" s="370"/>
      <c r="E42" s="834">
        <v>500</v>
      </c>
      <c r="F42" s="835">
        <f>E42/'État des Résultats'!E$14</f>
        <v>1.8213476515543382E-2</v>
      </c>
      <c r="H42" s="834">
        <f>+E42</f>
        <v>500</v>
      </c>
      <c r="I42" s="835">
        <f>H42/'État des Résultats'!H$14</f>
        <v>1.8213476515543382E-2</v>
      </c>
      <c r="K42" s="834">
        <f>+H42</f>
        <v>500</v>
      </c>
      <c r="L42" s="835">
        <f>K42/'État des Résultats'!K$14</f>
        <v>1.2661561525059763E-2</v>
      </c>
      <c r="N42" s="834">
        <f>+K42</f>
        <v>500</v>
      </c>
      <c r="O42" s="835">
        <f>N42/'État des Résultats'!N$14</f>
        <v>9.3176563764799051E-3</v>
      </c>
      <c r="Q42" s="834">
        <f>+N42</f>
        <v>500</v>
      </c>
      <c r="R42" s="835">
        <f>Q42/'État des Résultats'!Q$14</f>
        <v>7.553141068127444E-3</v>
      </c>
      <c r="T42" s="834">
        <f>+Q42</f>
        <v>500</v>
      </c>
      <c r="U42" s="835">
        <f>T42/'État des Résultats'!T$14</f>
        <v>6.3505218144393394E-3</v>
      </c>
      <c r="W42" s="834">
        <f>+T42</f>
        <v>500</v>
      </c>
      <c r="X42" s="835">
        <f>W42/'État des Résultats'!W$14</f>
        <v>5.2780751240044154E-3</v>
      </c>
      <c r="Z42" s="834">
        <f>+W42</f>
        <v>500</v>
      </c>
      <c r="AA42" s="835">
        <f>Z42/'État des Résultats'!Z$14</f>
        <v>4.6324165858116946E-3</v>
      </c>
      <c r="AC42" s="834">
        <f>+Z42</f>
        <v>500</v>
      </c>
      <c r="AD42" s="835">
        <f>AC42/'État des Résultats'!AC$14</f>
        <v>4.6324165858116946E-3</v>
      </c>
      <c r="AF42" s="834">
        <f>+AC42</f>
        <v>500</v>
      </c>
      <c r="AG42" s="835">
        <f>AF42/'État des Résultats'!AF$14</f>
        <v>4.461726694923525E-3</v>
      </c>
      <c r="AI42" s="834">
        <f>+AF42</f>
        <v>500</v>
      </c>
      <c r="AJ42" s="835">
        <f>AI42/'État des Résultats'!AI$14</f>
        <v>4.461726694923525E-3</v>
      </c>
      <c r="AK42" s="373"/>
      <c r="AL42" s="834">
        <f>+AI42</f>
        <v>500</v>
      </c>
      <c r="AM42" s="835">
        <f>AL42/'État des Résultats'!AL$14</f>
        <v>5.0745527923487929E-3</v>
      </c>
      <c r="AO42" s="834">
        <f>+AL42</f>
        <v>500</v>
      </c>
      <c r="AP42" s="835">
        <f>AO42/'État des Résultats'!AO$14</f>
        <v>4.894216406588007E-3</v>
      </c>
      <c r="AQ42" s="947"/>
      <c r="AR42" s="1067">
        <f>SUM(+$AO42+$AL42+$AI42+$AF42+$AC42+$Z42+$W42+$T42+$Q42+$N42+$K42+$H42+$E42)</f>
        <v>6500</v>
      </c>
      <c r="AS42" s="1068">
        <f>AR42/'État des Résultats'!AR$14</f>
        <v>6.3204415950575627E-3</v>
      </c>
    </row>
    <row r="43" spans="2:54" x14ac:dyDescent="0.15">
      <c r="B43" s="370">
        <f>B37</f>
        <v>6205</v>
      </c>
      <c r="C43" s="414" t="str">
        <f>C37</f>
        <v>Bénéfices gouvernementaux</v>
      </c>
      <c r="D43" s="370"/>
      <c r="E43" s="824">
        <f>+E42*$H$76</f>
        <v>55</v>
      </c>
      <c r="F43" s="835">
        <f>E43/'État des Résultats'!E$14</f>
        <v>2.0034824167097717E-3</v>
      </c>
      <c r="H43" s="824">
        <f>+H42*$H$76</f>
        <v>55</v>
      </c>
      <c r="I43" s="835">
        <f>H43/'État des Résultats'!H$14</f>
        <v>2.0034824167097717E-3</v>
      </c>
      <c r="K43" s="824">
        <f>+K42*$H$76</f>
        <v>55</v>
      </c>
      <c r="L43" s="835">
        <f>K43/'État des Résultats'!K$14</f>
        <v>1.3927717677565739E-3</v>
      </c>
      <c r="N43" s="824">
        <f>+N42*$H$76</f>
        <v>55</v>
      </c>
      <c r="O43" s="835">
        <f>N43/'État des Résultats'!N$14</f>
        <v>1.0249422014127897E-3</v>
      </c>
      <c r="Q43" s="824">
        <f>+Q42*$H$76</f>
        <v>55</v>
      </c>
      <c r="R43" s="835">
        <f>Q43/'État des Résultats'!Q$14</f>
        <v>8.3084551749401886E-4</v>
      </c>
      <c r="T43" s="824">
        <f>+T42*$H$76</f>
        <v>55</v>
      </c>
      <c r="U43" s="835">
        <f>T43/'État des Résultats'!T$14</f>
        <v>6.9855739958832731E-4</v>
      </c>
      <c r="W43" s="824">
        <f>+W42*$H$76</f>
        <v>55</v>
      </c>
      <c r="X43" s="835">
        <f>W43/'État des Résultats'!W$14</f>
        <v>5.8058826364048568E-4</v>
      </c>
      <c r="Z43" s="824">
        <f>+Z42*$H$76</f>
        <v>55</v>
      </c>
      <c r="AA43" s="835">
        <f>Z43/'État des Résultats'!Z$14</f>
        <v>5.0956582443928639E-4</v>
      </c>
      <c r="AC43" s="824">
        <f>+AC42*$H$76</f>
        <v>55</v>
      </c>
      <c r="AD43" s="835">
        <f>AC43/'État des Résultats'!AC$14</f>
        <v>5.0956582443928639E-4</v>
      </c>
      <c r="AF43" s="824">
        <f>+AF42*$H$76</f>
        <v>55</v>
      </c>
      <c r="AG43" s="835">
        <f>AF43/'État des Résultats'!AF$14</f>
        <v>4.9078993644158784E-4</v>
      </c>
      <c r="AI43" s="824">
        <f>+AI42*$H$76</f>
        <v>55</v>
      </c>
      <c r="AJ43" s="835">
        <f>AI43/'État des Résultats'!AI$14</f>
        <v>4.9078993644158784E-4</v>
      </c>
      <c r="AK43" s="373"/>
      <c r="AL43" s="824">
        <f>+AL42*$H$76</f>
        <v>55</v>
      </c>
      <c r="AM43" s="835">
        <f>AL43/'État des Résultats'!AL$14</f>
        <v>5.5820080715836718E-4</v>
      </c>
      <c r="AO43" s="824">
        <f>+AO42*$H$76</f>
        <v>55</v>
      </c>
      <c r="AP43" s="835">
        <f>AO43/'État des Résultats'!AO$14</f>
        <v>5.3836380472468081E-4</v>
      </c>
      <c r="AQ43" s="947"/>
      <c r="AR43" s="1067">
        <f>SUM(+$AO43+$AL43+$AI43+$AF43+$AC43+$Z43+$W43+$T43+$Q43+$N43+$K43+$H43+$E43)</f>
        <v>715</v>
      </c>
      <c r="AS43" s="1068">
        <f>AR43/'État des Résultats'!AR$14</f>
        <v>6.9524857545633198E-4</v>
      </c>
      <c r="BA43" s="855" t="s">
        <v>1</v>
      </c>
      <c r="BB43" s="856" t="s">
        <v>1</v>
      </c>
    </row>
    <row r="44" spans="2:54" ht="14" thickBot="1" x14ac:dyDescent="0.2">
      <c r="B44" s="370">
        <f>B38</f>
        <v>6245</v>
      </c>
      <c r="C44" s="414" t="str">
        <f>C38</f>
        <v>CSST et CNT</v>
      </c>
      <c r="D44" s="370"/>
      <c r="E44" s="824">
        <f>(E42)*$F$72</f>
        <v>5</v>
      </c>
      <c r="F44" s="835">
        <f>E44/'État des Résultats'!E$14</f>
        <v>1.8213476515543381E-4</v>
      </c>
      <c r="H44" s="824">
        <f>(H42)*$F$72</f>
        <v>5</v>
      </c>
      <c r="I44" s="835">
        <f>H44/'État des Résultats'!H$14</f>
        <v>1.8213476515543381E-4</v>
      </c>
      <c r="K44" s="824">
        <f>(K42)*$F$72</f>
        <v>5</v>
      </c>
      <c r="L44" s="835">
        <f>K44/'État des Résultats'!K$14</f>
        <v>1.2661561525059763E-4</v>
      </c>
      <c r="N44" s="824">
        <f>(N42)*$F$72</f>
        <v>5</v>
      </c>
      <c r="O44" s="835">
        <f>N44/'État des Résultats'!N$14</f>
        <v>9.3176563764799062E-5</v>
      </c>
      <c r="Q44" s="824">
        <f>(Q42)*$F$72</f>
        <v>5</v>
      </c>
      <c r="R44" s="835">
        <f>Q44/'État des Résultats'!Q$14</f>
        <v>7.5531410681274448E-5</v>
      </c>
      <c r="T44" s="824">
        <f>(T42)*$F$72</f>
        <v>5</v>
      </c>
      <c r="U44" s="835">
        <f>T44/'État des Résultats'!T$14</f>
        <v>6.3505218144393387E-5</v>
      </c>
      <c r="W44" s="824">
        <f>(W42)*$F$72</f>
        <v>5</v>
      </c>
      <c r="X44" s="835">
        <f>W44/'État des Résultats'!W$14</f>
        <v>5.2780751240044157E-5</v>
      </c>
      <c r="Z44" s="824">
        <f>(Z42)*$F$72</f>
        <v>5</v>
      </c>
      <c r="AA44" s="835">
        <f>Z44/'État des Résultats'!Z$14</f>
        <v>4.6324165858116946E-5</v>
      </c>
      <c r="AC44" s="824">
        <f>(AC42)*$F$72</f>
        <v>5</v>
      </c>
      <c r="AD44" s="835">
        <f>AC44/'État des Résultats'!AC$14</f>
        <v>4.6324165858116946E-5</v>
      </c>
      <c r="AF44" s="824">
        <f>(AF42)*$F$72</f>
        <v>5</v>
      </c>
      <c r="AG44" s="835">
        <f>AF44/'État des Résultats'!AF$14</f>
        <v>4.4617266949235256E-5</v>
      </c>
      <c r="AI44" s="824">
        <f>(AI42)*$F$72</f>
        <v>5</v>
      </c>
      <c r="AJ44" s="835">
        <f>AI44/'État des Résultats'!AI$14</f>
        <v>4.4617266949235256E-5</v>
      </c>
      <c r="AK44" s="373"/>
      <c r="AL44" s="824">
        <f>(AL42)*$F$72</f>
        <v>5</v>
      </c>
      <c r="AM44" s="835">
        <f>AL44/'État des Résultats'!AL$14</f>
        <v>5.0745527923487928E-5</v>
      </c>
      <c r="AO44" s="824">
        <f>(AO42)*$F$72</f>
        <v>5</v>
      </c>
      <c r="AP44" s="835">
        <f>AO44/'État des Résultats'!AO$14</f>
        <v>4.894216406588007E-5</v>
      </c>
      <c r="AQ44" s="947"/>
      <c r="AR44" s="1067">
        <f>SUM(+$AO44+$AL44+$AI44+$AF44+$AC44+$Z44+$W44+$T44+$Q44+$N44+$K44+$H44+$E44)</f>
        <v>65</v>
      </c>
      <c r="AS44" s="1068">
        <f>AR44/'État des Résultats'!AR$14</f>
        <v>6.3204415950575632E-5</v>
      </c>
    </row>
    <row r="45" spans="2:54" ht="15" thickTop="1" thickBot="1" x14ac:dyDescent="0.2">
      <c r="B45" s="857"/>
      <c r="C45" s="858" t="s">
        <v>333</v>
      </c>
      <c r="D45" s="825"/>
      <c r="E45" s="836">
        <f>SUM(E42:E44)</f>
        <v>560</v>
      </c>
      <c r="F45" s="837">
        <f>SUM(F42:F44)</f>
        <v>2.0399093697408586E-2</v>
      </c>
      <c r="G45" s="381"/>
      <c r="H45" s="836">
        <f>SUM(H42:H44)</f>
        <v>560</v>
      </c>
      <c r="I45" s="837">
        <f>SUM(I42:I44)</f>
        <v>2.0399093697408586E-2</v>
      </c>
      <c r="J45" s="381"/>
      <c r="K45" s="836">
        <f>SUM(K42:K44)</f>
        <v>560</v>
      </c>
      <c r="L45" s="837">
        <f>SUM(L42:L44)</f>
        <v>1.4180948908066935E-2</v>
      </c>
      <c r="M45" s="381"/>
      <c r="N45" s="836">
        <f>SUM(N42:N44)</f>
        <v>560</v>
      </c>
      <c r="O45" s="837">
        <f>SUM(O42:O44)</f>
        <v>1.0435775141657494E-2</v>
      </c>
      <c r="P45" s="381"/>
      <c r="Q45" s="836">
        <f>SUM(Q42:Q44)</f>
        <v>560</v>
      </c>
      <c r="R45" s="837">
        <f>SUM(R42:R44)</f>
        <v>8.4595179963027362E-3</v>
      </c>
      <c r="S45" s="381"/>
      <c r="T45" s="836">
        <f>SUM(T42:T44)</f>
        <v>560</v>
      </c>
      <c r="U45" s="837">
        <f>SUM(U42:U44)</f>
        <v>7.1125844321720602E-3</v>
      </c>
      <c r="V45" s="381"/>
      <c r="W45" s="836">
        <f>SUM(W42:W44)</f>
        <v>560</v>
      </c>
      <c r="X45" s="837">
        <f>SUM(X42:X44)</f>
        <v>5.9114441388849444E-3</v>
      </c>
      <c r="Y45" s="381"/>
      <c r="Z45" s="836">
        <f>SUM(Z42:Z44)</f>
        <v>560</v>
      </c>
      <c r="AA45" s="837">
        <f>SUM(AA42:AA44)</f>
        <v>5.1883065761090972E-3</v>
      </c>
      <c r="AB45" s="381"/>
      <c r="AC45" s="836">
        <f>SUM(AC42:AC44)</f>
        <v>560</v>
      </c>
      <c r="AD45" s="837">
        <f>SUM(AD42:AD44)</f>
        <v>5.1883065761090972E-3</v>
      </c>
      <c r="AE45" s="381"/>
      <c r="AF45" s="836">
        <f>SUM(AF42:AF44)</f>
        <v>560</v>
      </c>
      <c r="AG45" s="837">
        <f>SUM(AG42:AG44)</f>
        <v>4.9971338983143482E-3</v>
      </c>
      <c r="AH45" s="381"/>
      <c r="AI45" s="836">
        <f>SUM(AI42:AI44)</f>
        <v>560</v>
      </c>
      <c r="AJ45" s="837">
        <f>SUM(AJ42:AJ44)</f>
        <v>4.9971338983143482E-3</v>
      </c>
      <c r="AK45" s="828"/>
      <c r="AL45" s="836">
        <f>SUM(AL42:AL44)</f>
        <v>560</v>
      </c>
      <c r="AM45" s="837">
        <f>SUM(AM42:AM44)</f>
        <v>5.6834991274306475E-3</v>
      </c>
      <c r="AN45" s="381"/>
      <c r="AO45" s="836">
        <f>SUM(AO42:AO44)</f>
        <v>560</v>
      </c>
      <c r="AP45" s="837">
        <f>SUM(AP42:AP44)</f>
        <v>5.4815223753785685E-3</v>
      </c>
      <c r="AQ45" s="948"/>
      <c r="AR45" s="959">
        <f>SUM(AR42:AR44)</f>
        <v>7280</v>
      </c>
      <c r="AS45" s="960">
        <f>+SUM(AS42:AS44)</f>
        <v>7.0788945864644704E-3</v>
      </c>
      <c r="AT45" s="545"/>
      <c r="AU45" s="545"/>
      <c r="AV45" s="545"/>
    </row>
    <row r="46" spans="2:54" ht="14" thickBot="1" x14ac:dyDescent="0.2">
      <c r="E46" s="851"/>
      <c r="F46" s="859"/>
      <c r="H46" s="851"/>
      <c r="I46" s="859"/>
      <c r="K46" s="851"/>
      <c r="L46" s="859"/>
      <c r="N46" s="851"/>
      <c r="O46" s="859"/>
      <c r="Q46" s="851"/>
      <c r="R46" s="859"/>
      <c r="T46" s="851"/>
      <c r="U46" s="859"/>
      <c r="W46" s="851"/>
      <c r="X46" s="859"/>
      <c r="Z46" s="851"/>
      <c r="AA46" s="859"/>
      <c r="AC46" s="851"/>
      <c r="AD46" s="859"/>
      <c r="AF46" s="851"/>
      <c r="AG46" s="859"/>
      <c r="AI46" s="851"/>
      <c r="AJ46" s="859"/>
      <c r="AL46" s="851"/>
      <c r="AM46" s="859"/>
      <c r="AO46" s="851"/>
      <c r="AP46" s="859"/>
      <c r="AQ46" s="951"/>
      <c r="AR46" s="961" t="s">
        <v>1</v>
      </c>
      <c r="AS46" s="965"/>
    </row>
    <row r="47" spans="2:54" ht="15" thickTop="1" thickBot="1" x14ac:dyDescent="0.2">
      <c r="B47" s="838"/>
      <c r="C47" s="816" t="str">
        <f>' Total des coûts de MO'!C19</f>
        <v>Salaire "Théâtralisation"</v>
      </c>
      <c r="D47" s="370"/>
      <c r="E47" s="832"/>
      <c r="F47" s="833"/>
      <c r="H47" s="832"/>
      <c r="I47" s="833"/>
      <c r="K47" s="832"/>
      <c r="L47" s="833"/>
      <c r="N47" s="832"/>
      <c r="O47" s="833"/>
      <c r="Q47" s="832"/>
      <c r="R47" s="833"/>
      <c r="T47" s="832"/>
      <c r="U47" s="833"/>
      <c r="W47" s="832"/>
      <c r="X47" s="833"/>
      <c r="Z47" s="832"/>
      <c r="AA47" s="833"/>
      <c r="AC47" s="832"/>
      <c r="AD47" s="833"/>
      <c r="AF47" s="832"/>
      <c r="AG47" s="833"/>
      <c r="AI47" s="832"/>
      <c r="AJ47" s="833"/>
      <c r="AK47" s="373"/>
      <c r="AL47" s="832"/>
      <c r="AM47" s="833"/>
      <c r="AO47" s="832"/>
      <c r="AP47" s="833"/>
      <c r="AQ47" s="952"/>
      <c r="AR47" s="963"/>
      <c r="AS47" s="964"/>
    </row>
    <row r="48" spans="2:54" ht="14" thickTop="1" x14ac:dyDescent="0.15">
      <c r="B48" s="370">
        <f>' Total des coûts de MO'!B19</f>
        <v>6170</v>
      </c>
      <c r="C48" s="414" t="str">
        <f>C42</f>
        <v>Salaires</v>
      </c>
      <c r="D48" s="370"/>
      <c r="E48" s="834">
        <v>500</v>
      </c>
      <c r="F48" s="835">
        <f>E48/'État des Résultats'!E$14</f>
        <v>1.8213476515543382E-2</v>
      </c>
      <c r="H48" s="834">
        <f>+E48</f>
        <v>500</v>
      </c>
      <c r="I48" s="835">
        <f>H48/'État des Résultats'!H$14</f>
        <v>1.8213476515543382E-2</v>
      </c>
      <c r="K48" s="834">
        <f>+H48</f>
        <v>500</v>
      </c>
      <c r="L48" s="835">
        <f>K48/'État des Résultats'!K$14</f>
        <v>1.2661561525059763E-2</v>
      </c>
      <c r="N48" s="834">
        <f>+K48</f>
        <v>500</v>
      </c>
      <c r="O48" s="835">
        <f>N48/'État des Résultats'!N$14</f>
        <v>9.3176563764799051E-3</v>
      </c>
      <c r="Q48" s="834">
        <f>+N48</f>
        <v>500</v>
      </c>
      <c r="R48" s="835">
        <f>Q48/'État des Résultats'!Q$14</f>
        <v>7.553141068127444E-3</v>
      </c>
      <c r="T48" s="834">
        <f>+Q48</f>
        <v>500</v>
      </c>
      <c r="U48" s="835">
        <f>T48/'État des Résultats'!T$14</f>
        <v>6.3505218144393394E-3</v>
      </c>
      <c r="W48" s="834">
        <f>+T48</f>
        <v>500</v>
      </c>
      <c r="X48" s="835">
        <f>W48/'État des Résultats'!W$14</f>
        <v>5.2780751240044154E-3</v>
      </c>
      <c r="Z48" s="834">
        <f>+W48</f>
        <v>500</v>
      </c>
      <c r="AA48" s="835">
        <f>Z48/'État des Résultats'!Z$14</f>
        <v>4.6324165858116946E-3</v>
      </c>
      <c r="AC48" s="834">
        <f>+Z48</f>
        <v>500</v>
      </c>
      <c r="AD48" s="835">
        <f>AC48/'État des Résultats'!AC$14</f>
        <v>4.6324165858116946E-3</v>
      </c>
      <c r="AF48" s="834">
        <f>+AC48</f>
        <v>500</v>
      </c>
      <c r="AG48" s="835">
        <f>AF48/'État des Résultats'!AF$14</f>
        <v>4.461726694923525E-3</v>
      </c>
      <c r="AI48" s="834">
        <f>+AF48</f>
        <v>500</v>
      </c>
      <c r="AJ48" s="835">
        <f>AI48/'État des Résultats'!AI$14</f>
        <v>4.461726694923525E-3</v>
      </c>
      <c r="AK48" s="373"/>
      <c r="AL48" s="834">
        <f>+AI48</f>
        <v>500</v>
      </c>
      <c r="AM48" s="835">
        <f>AL48/'État des Résultats'!AL$14</f>
        <v>5.0745527923487929E-3</v>
      </c>
      <c r="AO48" s="834">
        <f>+AL48</f>
        <v>500</v>
      </c>
      <c r="AP48" s="835">
        <f>AO48/'État des Résultats'!AO$14</f>
        <v>4.894216406588007E-3</v>
      </c>
      <c r="AQ48" s="947"/>
      <c r="AR48" s="1067">
        <f>SUM(+$AO48+$AL48+$AI48+$AF48+$AC48+$Z48+$W48+$T48+$Q48+$N48+$K48+$H48+$E48)</f>
        <v>6500</v>
      </c>
      <c r="AS48" s="1068">
        <f>AR48/'État des Résultats'!AR$14</f>
        <v>6.3204415950575627E-3</v>
      </c>
    </row>
    <row r="49" spans="2:55" x14ac:dyDescent="0.15">
      <c r="B49" s="370">
        <f>B43</f>
        <v>6205</v>
      </c>
      <c r="C49" s="414" t="str">
        <f>C43</f>
        <v>Bénéfices gouvernementaux</v>
      </c>
      <c r="D49" s="370"/>
      <c r="E49" s="824">
        <f>+E48*$H$76</f>
        <v>55</v>
      </c>
      <c r="F49" s="835">
        <f>E49/'État des Résultats'!E$14</f>
        <v>2.0034824167097717E-3</v>
      </c>
      <c r="H49" s="824">
        <f>+H48*$H$76</f>
        <v>55</v>
      </c>
      <c r="I49" s="835">
        <f>H49/'État des Résultats'!H$14</f>
        <v>2.0034824167097717E-3</v>
      </c>
      <c r="K49" s="824">
        <f>+K48*$H$76</f>
        <v>55</v>
      </c>
      <c r="L49" s="835">
        <f>K49/'État des Résultats'!K$14</f>
        <v>1.3927717677565739E-3</v>
      </c>
      <c r="N49" s="824">
        <f>+N48*$H$76</f>
        <v>55</v>
      </c>
      <c r="O49" s="835">
        <f>N49/'État des Résultats'!N$14</f>
        <v>1.0249422014127897E-3</v>
      </c>
      <c r="Q49" s="824">
        <f>+Q48*$H$76</f>
        <v>55</v>
      </c>
      <c r="R49" s="835">
        <f>Q49/'État des Résultats'!Q$14</f>
        <v>8.3084551749401886E-4</v>
      </c>
      <c r="T49" s="824">
        <f>+T48*$H$76</f>
        <v>55</v>
      </c>
      <c r="U49" s="835">
        <f>T49/'État des Résultats'!T$14</f>
        <v>6.9855739958832731E-4</v>
      </c>
      <c r="W49" s="824">
        <f>+W48*$H$76</f>
        <v>55</v>
      </c>
      <c r="X49" s="835">
        <f>W49/'État des Résultats'!W$14</f>
        <v>5.8058826364048568E-4</v>
      </c>
      <c r="Z49" s="824">
        <f>+Z48*$H$76</f>
        <v>55</v>
      </c>
      <c r="AA49" s="835">
        <f>Z49/'État des Résultats'!Z$14</f>
        <v>5.0956582443928639E-4</v>
      </c>
      <c r="AC49" s="824">
        <f>+AC48*$H$76</f>
        <v>55</v>
      </c>
      <c r="AD49" s="835">
        <f>AC49/'État des Résultats'!AC$14</f>
        <v>5.0956582443928639E-4</v>
      </c>
      <c r="AF49" s="824">
        <f>+AF48*$H$76</f>
        <v>55</v>
      </c>
      <c r="AG49" s="835">
        <f>AF49/'État des Résultats'!AF$14</f>
        <v>4.9078993644158784E-4</v>
      </c>
      <c r="AI49" s="824">
        <f>+AI48*$H$76</f>
        <v>55</v>
      </c>
      <c r="AJ49" s="835">
        <f>AI49/'État des Résultats'!AI$14</f>
        <v>4.9078993644158784E-4</v>
      </c>
      <c r="AK49" s="373"/>
      <c r="AL49" s="824">
        <f>+AL48*$H$76</f>
        <v>55</v>
      </c>
      <c r="AM49" s="835">
        <f>AL49/'État des Résultats'!AL$14</f>
        <v>5.5820080715836718E-4</v>
      </c>
      <c r="AO49" s="824">
        <f>+AO48*$H$76</f>
        <v>55</v>
      </c>
      <c r="AP49" s="835">
        <f>AO49/'État des Résultats'!AO$14</f>
        <v>5.3836380472468081E-4</v>
      </c>
      <c r="AQ49" s="947"/>
      <c r="AR49" s="1067">
        <f>SUM(+$AO49+$AL49+$AI49+$AF49+$AC49+$Z49+$W49+$T49+$Q49+$N49+$K49+$H49+$E49)</f>
        <v>715</v>
      </c>
      <c r="AS49" s="1068">
        <f>AR49/'État des Résultats'!AR$14</f>
        <v>6.9524857545633198E-4</v>
      </c>
    </row>
    <row r="50" spans="2:55" ht="14" thickBot="1" x14ac:dyDescent="0.2">
      <c r="B50" s="370">
        <f>B44</f>
        <v>6245</v>
      </c>
      <c r="C50" s="414" t="str">
        <f>C44</f>
        <v>CSST et CNT</v>
      </c>
      <c r="D50" s="370"/>
      <c r="E50" s="824">
        <f>(E48)*$F$72</f>
        <v>5</v>
      </c>
      <c r="F50" s="835">
        <f>E50/'État des Résultats'!E$14</f>
        <v>1.8213476515543381E-4</v>
      </c>
      <c r="H50" s="824">
        <f>(H48)*$F$72</f>
        <v>5</v>
      </c>
      <c r="I50" s="835">
        <f>H50/'État des Résultats'!H$14</f>
        <v>1.8213476515543381E-4</v>
      </c>
      <c r="K50" s="824">
        <f>(K48)*$F$72</f>
        <v>5</v>
      </c>
      <c r="L50" s="835">
        <f>K50/'État des Résultats'!K$14</f>
        <v>1.2661561525059763E-4</v>
      </c>
      <c r="N50" s="824">
        <f>(N48)*$F$72</f>
        <v>5</v>
      </c>
      <c r="O50" s="835">
        <f>N50/'État des Résultats'!N$14</f>
        <v>9.3176563764799062E-5</v>
      </c>
      <c r="Q50" s="824">
        <f>(Q48)*$F$72</f>
        <v>5</v>
      </c>
      <c r="R50" s="835">
        <f>Q50/'État des Résultats'!Q$14</f>
        <v>7.5531410681274448E-5</v>
      </c>
      <c r="T50" s="824">
        <f>(T48)*$F$72</f>
        <v>5</v>
      </c>
      <c r="U50" s="835">
        <f>T50/'État des Résultats'!T$14</f>
        <v>6.3505218144393387E-5</v>
      </c>
      <c r="W50" s="824">
        <f>(W48)*$F$72</f>
        <v>5</v>
      </c>
      <c r="X50" s="835">
        <f>W50/'État des Résultats'!W$14</f>
        <v>5.2780751240044157E-5</v>
      </c>
      <c r="Z50" s="824">
        <f>(Z48)*$F$72</f>
        <v>5</v>
      </c>
      <c r="AA50" s="835">
        <f>Z50/'État des Résultats'!Z$14</f>
        <v>4.6324165858116946E-5</v>
      </c>
      <c r="AC50" s="824">
        <f>(AC48)*$F$72</f>
        <v>5</v>
      </c>
      <c r="AD50" s="835">
        <f>AC50/'État des Résultats'!AC$14</f>
        <v>4.6324165858116946E-5</v>
      </c>
      <c r="AF50" s="824">
        <f>(AF48)*$F$72</f>
        <v>5</v>
      </c>
      <c r="AG50" s="835">
        <f>AF50/'État des Résultats'!AF$14</f>
        <v>4.4617266949235256E-5</v>
      </c>
      <c r="AI50" s="824">
        <f>(AI48)*$F$72</f>
        <v>5</v>
      </c>
      <c r="AJ50" s="835">
        <f>AI50/'État des Résultats'!AI$14</f>
        <v>4.4617266949235256E-5</v>
      </c>
      <c r="AK50" s="373"/>
      <c r="AL50" s="824">
        <f>(AL48)*$F$72</f>
        <v>5</v>
      </c>
      <c r="AM50" s="835">
        <f>AL50/'État des Résultats'!AL$14</f>
        <v>5.0745527923487928E-5</v>
      </c>
      <c r="AO50" s="824">
        <f>(AO48)*$F$72</f>
        <v>5</v>
      </c>
      <c r="AP50" s="835">
        <f>AO50/'État des Résultats'!AO$14</f>
        <v>4.894216406588007E-5</v>
      </c>
      <c r="AQ50" s="947"/>
      <c r="AR50" s="1067">
        <f>SUM(+$AO50+$AL50+$AI50+$AF50+$AC50+$Z50+$W50+$T50+$Q50+$N50+$K50+$H50+$E50)</f>
        <v>65</v>
      </c>
      <c r="AS50" s="1068">
        <f>AR50/'État des Résultats'!AR$14</f>
        <v>6.3204415950575632E-5</v>
      </c>
    </row>
    <row r="51" spans="2:55" ht="15" thickTop="1" thickBot="1" x14ac:dyDescent="0.2">
      <c r="B51" s="560"/>
      <c r="C51" s="561" t="s">
        <v>334</v>
      </c>
      <c r="D51" s="825"/>
      <c r="E51" s="836">
        <f>SUM(E48:E50)</f>
        <v>560</v>
      </c>
      <c r="F51" s="837">
        <f>SUM(F48:F50)</f>
        <v>2.0399093697408586E-2</v>
      </c>
      <c r="G51" s="381"/>
      <c r="H51" s="836">
        <f>SUM(H48:H50)</f>
        <v>560</v>
      </c>
      <c r="I51" s="837">
        <f>SUM(I48:I50)</f>
        <v>2.0399093697408586E-2</v>
      </c>
      <c r="J51" s="381"/>
      <c r="K51" s="836">
        <f>SUM(K48:K50)</f>
        <v>560</v>
      </c>
      <c r="L51" s="837">
        <f>SUM(L48:L50)</f>
        <v>1.4180948908066935E-2</v>
      </c>
      <c r="M51" s="381"/>
      <c r="N51" s="836">
        <f>SUM(N48:N50)</f>
        <v>560</v>
      </c>
      <c r="O51" s="837">
        <f>SUM(O48:O50)</f>
        <v>1.0435775141657494E-2</v>
      </c>
      <c r="P51" s="381"/>
      <c r="Q51" s="836">
        <f>SUM(Q48:Q50)</f>
        <v>560</v>
      </c>
      <c r="R51" s="837">
        <f>SUM(R48:R50)</f>
        <v>8.4595179963027362E-3</v>
      </c>
      <c r="S51" s="381"/>
      <c r="T51" s="836">
        <f>SUM(T48:T50)</f>
        <v>560</v>
      </c>
      <c r="U51" s="837">
        <f>SUM(U48:U50)</f>
        <v>7.1125844321720602E-3</v>
      </c>
      <c r="V51" s="381"/>
      <c r="W51" s="836">
        <f>SUM(W48:W50)</f>
        <v>560</v>
      </c>
      <c r="X51" s="837">
        <f>SUM(X48:X50)</f>
        <v>5.9114441388849444E-3</v>
      </c>
      <c r="Y51" s="381"/>
      <c r="Z51" s="836">
        <f>SUM(Z48:Z50)</f>
        <v>560</v>
      </c>
      <c r="AA51" s="837">
        <f>SUM(AA48:AA50)</f>
        <v>5.1883065761090972E-3</v>
      </c>
      <c r="AB51" s="381"/>
      <c r="AC51" s="836">
        <f>SUM(AC48:AC50)</f>
        <v>560</v>
      </c>
      <c r="AD51" s="837">
        <f>SUM(AD48:AD50)</f>
        <v>5.1883065761090972E-3</v>
      </c>
      <c r="AE51" s="381"/>
      <c r="AF51" s="836">
        <f>SUM(AF48:AF50)</f>
        <v>560</v>
      </c>
      <c r="AG51" s="837">
        <f>SUM(AG48:AG50)</f>
        <v>4.9971338983143482E-3</v>
      </c>
      <c r="AH51" s="381"/>
      <c r="AI51" s="836">
        <f>SUM(AI48:AI50)</f>
        <v>560</v>
      </c>
      <c r="AJ51" s="837">
        <f>SUM(AJ48:AJ50)</f>
        <v>4.9971338983143482E-3</v>
      </c>
      <c r="AK51" s="828"/>
      <c r="AL51" s="836">
        <f>SUM(AL48:AL50)</f>
        <v>560</v>
      </c>
      <c r="AM51" s="837">
        <f>SUM(AM48:AM50)</f>
        <v>5.6834991274306475E-3</v>
      </c>
      <c r="AN51" s="381"/>
      <c r="AO51" s="836">
        <f>SUM(AO48:AO50)</f>
        <v>560</v>
      </c>
      <c r="AP51" s="837">
        <f>SUM(AP48:AP50)</f>
        <v>5.4815223753785685E-3</v>
      </c>
      <c r="AQ51" s="950"/>
      <c r="AR51" s="959">
        <f>SUM(AR48:AR50)</f>
        <v>7280</v>
      </c>
      <c r="AS51" s="960">
        <f>+SUM(AS48:AS50)</f>
        <v>7.0788945864644704E-3</v>
      </c>
      <c r="AT51" s="545"/>
      <c r="AU51" s="545"/>
      <c r="AV51" s="545"/>
      <c r="AW51" s="545"/>
    </row>
    <row r="52" spans="2:55" ht="15" thickTop="1" thickBot="1" x14ac:dyDescent="0.2">
      <c r="B52" s="139"/>
      <c r="C52" s="860"/>
      <c r="D52" s="860"/>
      <c r="E52" s="861"/>
      <c r="F52" s="862"/>
      <c r="G52" s="860"/>
      <c r="H52" s="861"/>
      <c r="I52" s="862"/>
      <c r="J52" s="860"/>
      <c r="K52" s="861"/>
      <c r="L52" s="862"/>
      <c r="M52" s="860"/>
      <c r="N52" s="861"/>
      <c r="O52" s="862"/>
      <c r="P52" s="860"/>
      <c r="Q52" s="861"/>
      <c r="R52" s="862"/>
      <c r="S52" s="860"/>
      <c r="T52" s="861"/>
      <c r="U52" s="862"/>
      <c r="V52" s="860"/>
      <c r="W52" s="861"/>
      <c r="X52" s="862"/>
      <c r="Y52" s="860"/>
      <c r="Z52" s="861"/>
      <c r="AA52" s="862"/>
      <c r="AB52" s="860"/>
      <c r="AC52" s="861"/>
      <c r="AD52" s="862"/>
      <c r="AE52" s="860"/>
      <c r="AF52" s="861"/>
      <c r="AG52" s="862"/>
      <c r="AH52" s="860"/>
      <c r="AI52" s="861"/>
      <c r="AJ52" s="862"/>
      <c r="AK52" s="860"/>
      <c r="AL52" s="861"/>
      <c r="AM52" s="862"/>
      <c r="AN52" s="860"/>
      <c r="AO52" s="861"/>
      <c r="AP52" s="862"/>
      <c r="AQ52" s="950"/>
      <c r="AR52" s="966"/>
      <c r="AS52" s="967"/>
      <c r="AT52" s="771"/>
      <c r="AU52" s="545"/>
      <c r="AV52" s="545"/>
      <c r="AW52" s="545"/>
    </row>
    <row r="53" spans="2:55" ht="15" thickTop="1" thickBot="1" x14ac:dyDescent="0.2">
      <c r="B53" s="838"/>
      <c r="C53" s="816" t="str">
        <f>' Total des coûts de MO'!C20</f>
        <v>Salaire "R&amp;D"</v>
      </c>
      <c r="D53" s="370"/>
      <c r="E53" s="832"/>
      <c r="F53" s="833"/>
      <c r="H53" s="832"/>
      <c r="I53" s="833"/>
      <c r="K53" s="832"/>
      <c r="L53" s="833"/>
      <c r="N53" s="832"/>
      <c r="O53" s="833"/>
      <c r="Q53" s="832"/>
      <c r="R53" s="833"/>
      <c r="T53" s="832"/>
      <c r="U53" s="833"/>
      <c r="W53" s="832"/>
      <c r="X53" s="833"/>
      <c r="Z53" s="832"/>
      <c r="AA53" s="833"/>
      <c r="AC53" s="832"/>
      <c r="AD53" s="833"/>
      <c r="AF53" s="832"/>
      <c r="AG53" s="833"/>
      <c r="AI53" s="832"/>
      <c r="AJ53" s="833"/>
      <c r="AK53" s="373"/>
      <c r="AL53" s="832"/>
      <c r="AM53" s="833"/>
      <c r="AO53" s="832"/>
      <c r="AP53" s="833"/>
      <c r="AQ53" s="952"/>
      <c r="AR53" s="963"/>
      <c r="AS53" s="964"/>
      <c r="AT53" s="771"/>
      <c r="AU53" s="545"/>
      <c r="AV53" s="545"/>
      <c r="AW53" s="545"/>
    </row>
    <row r="54" spans="2:55" ht="14" thickTop="1" x14ac:dyDescent="0.15">
      <c r="B54" s="370">
        <f>' Total des coûts de MO'!B20</f>
        <v>6180</v>
      </c>
      <c r="C54" s="414" t="str">
        <f>C48</f>
        <v>Salaires</v>
      </c>
      <c r="D54" s="370"/>
      <c r="E54" s="834">
        <v>500</v>
      </c>
      <c r="F54" s="835">
        <f>E54/'État des Résultats'!E$14</f>
        <v>1.8213476515543382E-2</v>
      </c>
      <c r="H54" s="834">
        <f>+E54</f>
        <v>500</v>
      </c>
      <c r="I54" s="835">
        <f>H54/'État des Résultats'!H$14</f>
        <v>1.8213476515543382E-2</v>
      </c>
      <c r="K54" s="834">
        <f>+H54</f>
        <v>500</v>
      </c>
      <c r="L54" s="835">
        <f>K54/'État des Résultats'!K$14</f>
        <v>1.2661561525059763E-2</v>
      </c>
      <c r="N54" s="834">
        <f>+K54</f>
        <v>500</v>
      </c>
      <c r="O54" s="835">
        <f>N54/'État des Résultats'!N$14</f>
        <v>9.3176563764799051E-3</v>
      </c>
      <c r="Q54" s="834">
        <f>+N54</f>
        <v>500</v>
      </c>
      <c r="R54" s="835">
        <f>Q54/'État des Résultats'!Q$14</f>
        <v>7.553141068127444E-3</v>
      </c>
      <c r="T54" s="834">
        <f>+Q54</f>
        <v>500</v>
      </c>
      <c r="U54" s="835">
        <f>T54/'État des Résultats'!T$14</f>
        <v>6.3505218144393394E-3</v>
      </c>
      <c r="W54" s="834">
        <f>+T54</f>
        <v>500</v>
      </c>
      <c r="X54" s="835">
        <f>W54/'État des Résultats'!W$14</f>
        <v>5.2780751240044154E-3</v>
      </c>
      <c r="Z54" s="834">
        <f>+W54</f>
        <v>500</v>
      </c>
      <c r="AA54" s="835">
        <f>Z54/'État des Résultats'!Z$14</f>
        <v>4.6324165858116946E-3</v>
      </c>
      <c r="AC54" s="834">
        <f>+Z54</f>
        <v>500</v>
      </c>
      <c r="AD54" s="835">
        <f>AC54/'État des Résultats'!AC$14</f>
        <v>4.6324165858116946E-3</v>
      </c>
      <c r="AF54" s="834">
        <f>+AC54</f>
        <v>500</v>
      </c>
      <c r="AG54" s="835">
        <f>AF54/'État des Résultats'!AF$14</f>
        <v>4.461726694923525E-3</v>
      </c>
      <c r="AI54" s="834">
        <f>+AF54</f>
        <v>500</v>
      </c>
      <c r="AJ54" s="835">
        <f>AI54/'État des Résultats'!AI$14</f>
        <v>4.461726694923525E-3</v>
      </c>
      <c r="AK54" s="373"/>
      <c r="AL54" s="834">
        <f>+AI54</f>
        <v>500</v>
      </c>
      <c r="AM54" s="835">
        <f>AL54/'État des Résultats'!AL$14</f>
        <v>5.0745527923487929E-3</v>
      </c>
      <c r="AO54" s="834">
        <f>+AL54</f>
        <v>500</v>
      </c>
      <c r="AP54" s="835">
        <f>AO54/'État des Résultats'!AO$14</f>
        <v>4.894216406588007E-3</v>
      </c>
      <c r="AQ54" s="947"/>
      <c r="AR54" s="1067">
        <f>SUM(+$AO54+$AL54+$AI54+$AF54+$AC54+$Z54+$W54+$T54+$Q54+$N54+$K54+$H54+$E54)</f>
        <v>6500</v>
      </c>
      <c r="AS54" s="1068">
        <f>AR54/'État des Résultats'!AR$14</f>
        <v>6.3204415950575627E-3</v>
      </c>
      <c r="AT54" s="771"/>
      <c r="AU54" s="545"/>
      <c r="AV54" s="545"/>
      <c r="AW54" s="545"/>
    </row>
    <row r="55" spans="2:55" x14ac:dyDescent="0.15">
      <c r="B55" s="370">
        <f>B49</f>
        <v>6205</v>
      </c>
      <c r="C55" s="414" t="str">
        <f>C49</f>
        <v>Bénéfices gouvernementaux</v>
      </c>
      <c r="D55" s="370"/>
      <c r="E55" s="824">
        <f>+E54*$H$76</f>
        <v>55</v>
      </c>
      <c r="F55" s="835">
        <f>E55/'État des Résultats'!E$14</f>
        <v>2.0034824167097717E-3</v>
      </c>
      <c r="H55" s="824">
        <f>+H54*$H$76</f>
        <v>55</v>
      </c>
      <c r="I55" s="835">
        <f>H55/'État des Résultats'!H$14</f>
        <v>2.0034824167097717E-3</v>
      </c>
      <c r="K55" s="824">
        <f>+K54*$H$76</f>
        <v>55</v>
      </c>
      <c r="L55" s="835">
        <f>K55/'État des Résultats'!K$14</f>
        <v>1.3927717677565739E-3</v>
      </c>
      <c r="N55" s="824">
        <f>+N54*$H$76</f>
        <v>55</v>
      </c>
      <c r="O55" s="835">
        <f>N55/'État des Résultats'!N$14</f>
        <v>1.0249422014127897E-3</v>
      </c>
      <c r="Q55" s="824">
        <f>+Q54*$H$76</f>
        <v>55</v>
      </c>
      <c r="R55" s="835">
        <f>Q55/'État des Résultats'!Q$14</f>
        <v>8.3084551749401886E-4</v>
      </c>
      <c r="T55" s="824">
        <f>+T54*$H$76</f>
        <v>55</v>
      </c>
      <c r="U55" s="835">
        <f>T55/'État des Résultats'!T$14</f>
        <v>6.9855739958832731E-4</v>
      </c>
      <c r="W55" s="824">
        <f>+W54*$H$76</f>
        <v>55</v>
      </c>
      <c r="X55" s="835">
        <f>W55/'État des Résultats'!W$14</f>
        <v>5.8058826364048568E-4</v>
      </c>
      <c r="Z55" s="824">
        <f>+Z54*$H$76</f>
        <v>55</v>
      </c>
      <c r="AA55" s="835">
        <f>Z55/'État des Résultats'!Z$14</f>
        <v>5.0956582443928639E-4</v>
      </c>
      <c r="AC55" s="824">
        <f>+AC54*$H$76</f>
        <v>55</v>
      </c>
      <c r="AD55" s="835">
        <f>AC55/'État des Résultats'!AC$14</f>
        <v>5.0956582443928639E-4</v>
      </c>
      <c r="AF55" s="824">
        <f>+AF54*$H$76</f>
        <v>55</v>
      </c>
      <c r="AG55" s="835">
        <f>AF55/'État des Résultats'!AF$14</f>
        <v>4.9078993644158784E-4</v>
      </c>
      <c r="AI55" s="824">
        <f>+AI54*$H$76</f>
        <v>55</v>
      </c>
      <c r="AJ55" s="835">
        <f>AI55/'État des Résultats'!AI$14</f>
        <v>4.9078993644158784E-4</v>
      </c>
      <c r="AK55" s="373"/>
      <c r="AL55" s="824">
        <f>+AL54*$H$76</f>
        <v>55</v>
      </c>
      <c r="AM55" s="835">
        <f>AL55/'État des Résultats'!AL$14</f>
        <v>5.5820080715836718E-4</v>
      </c>
      <c r="AO55" s="824">
        <f>+AO54*$H$76</f>
        <v>55</v>
      </c>
      <c r="AP55" s="835">
        <f>AO55/'État des Résultats'!AO$14</f>
        <v>5.3836380472468081E-4</v>
      </c>
      <c r="AQ55" s="947"/>
      <c r="AR55" s="1067">
        <f>SUM(+$AO55+$AL55+$AI55+$AF55+$AC55+$Z55+$W55+$T55+$Q55+$N55+$K55+$H55+$E55)</f>
        <v>715</v>
      </c>
      <c r="AS55" s="1068">
        <f>AR55/'État des Résultats'!AR$14</f>
        <v>6.9524857545633198E-4</v>
      </c>
      <c r="AT55" s="771"/>
      <c r="AU55" s="545"/>
      <c r="AV55" s="545"/>
      <c r="AW55" s="545"/>
    </row>
    <row r="56" spans="2:55" ht="14" thickBot="1" x14ac:dyDescent="0.2">
      <c r="B56" s="370">
        <f>B50</f>
        <v>6245</v>
      </c>
      <c r="C56" s="414" t="str">
        <f>C50</f>
        <v>CSST et CNT</v>
      </c>
      <c r="D56" s="370"/>
      <c r="E56" s="824">
        <f>(E54)*$F$72</f>
        <v>5</v>
      </c>
      <c r="F56" s="835">
        <f>E56/'État des Résultats'!E$14</f>
        <v>1.8213476515543381E-4</v>
      </c>
      <c r="H56" s="824">
        <f>(H54)*$F$72</f>
        <v>5</v>
      </c>
      <c r="I56" s="835">
        <f>H56/'État des Résultats'!H$14</f>
        <v>1.8213476515543381E-4</v>
      </c>
      <c r="K56" s="824">
        <f>(K54)*$F$72</f>
        <v>5</v>
      </c>
      <c r="L56" s="835">
        <f>K56/'État des Résultats'!K$14</f>
        <v>1.2661561525059763E-4</v>
      </c>
      <c r="N56" s="824">
        <f>(N54)*$F$72</f>
        <v>5</v>
      </c>
      <c r="O56" s="835">
        <f>N56/'État des Résultats'!N$14</f>
        <v>9.3176563764799062E-5</v>
      </c>
      <c r="Q56" s="824">
        <f>(Q54)*$F$72</f>
        <v>5</v>
      </c>
      <c r="R56" s="835">
        <f>Q56/'État des Résultats'!Q$14</f>
        <v>7.5531410681274448E-5</v>
      </c>
      <c r="T56" s="824">
        <f>(T54)*$F$72</f>
        <v>5</v>
      </c>
      <c r="U56" s="835">
        <f>T56/'État des Résultats'!T$14</f>
        <v>6.3505218144393387E-5</v>
      </c>
      <c r="W56" s="824">
        <f>(W54)*$F$72</f>
        <v>5</v>
      </c>
      <c r="X56" s="835">
        <f>W56/'État des Résultats'!W$14</f>
        <v>5.2780751240044157E-5</v>
      </c>
      <c r="Z56" s="824">
        <f>(Z54)*$F$72</f>
        <v>5</v>
      </c>
      <c r="AA56" s="835">
        <f>Z56/'État des Résultats'!Z$14</f>
        <v>4.6324165858116946E-5</v>
      </c>
      <c r="AC56" s="824">
        <f>(AC54)*$F$72</f>
        <v>5</v>
      </c>
      <c r="AD56" s="835">
        <f>AC56/'État des Résultats'!AC$14</f>
        <v>4.6324165858116946E-5</v>
      </c>
      <c r="AF56" s="824">
        <f>(AF54)*$F$72</f>
        <v>5</v>
      </c>
      <c r="AG56" s="835">
        <f>AF56/'État des Résultats'!AF$14</f>
        <v>4.4617266949235256E-5</v>
      </c>
      <c r="AI56" s="824">
        <f>(AI54)*$F$72</f>
        <v>5</v>
      </c>
      <c r="AJ56" s="835">
        <f>AI56/'État des Résultats'!AI$14</f>
        <v>4.4617266949235256E-5</v>
      </c>
      <c r="AK56" s="373"/>
      <c r="AL56" s="824">
        <f>(AL54)*$F$72</f>
        <v>5</v>
      </c>
      <c r="AM56" s="835">
        <f>AL56/'État des Résultats'!AL$14</f>
        <v>5.0745527923487928E-5</v>
      </c>
      <c r="AO56" s="824">
        <f>(AO54)*$F$72</f>
        <v>5</v>
      </c>
      <c r="AP56" s="835">
        <f>AO56/'État des Résultats'!AO$14</f>
        <v>4.894216406588007E-5</v>
      </c>
      <c r="AQ56" s="947"/>
      <c r="AR56" s="1067">
        <f>SUM(+$AO56+$AL56+$AI56+$AF56+$AC56+$Z56+$W56+$T56+$Q56+$N56+$K56+$H56+$E56)</f>
        <v>65</v>
      </c>
      <c r="AS56" s="1068">
        <f>AR56/'État des Résultats'!AR$14</f>
        <v>6.3204415950575632E-5</v>
      </c>
      <c r="AT56" s="771"/>
      <c r="AU56" s="545"/>
      <c r="AV56" s="545"/>
      <c r="AW56" s="545"/>
    </row>
    <row r="57" spans="2:55" ht="15" thickTop="1" thickBot="1" x14ac:dyDescent="0.2">
      <c r="B57" s="560"/>
      <c r="C57" s="561" t="s">
        <v>335</v>
      </c>
      <c r="D57" s="825"/>
      <c r="E57" s="836">
        <f>SUM(E54:E56)</f>
        <v>560</v>
      </c>
      <c r="F57" s="837">
        <f>SUM(F54:F56)</f>
        <v>2.0399093697408586E-2</v>
      </c>
      <c r="G57" s="381"/>
      <c r="H57" s="836">
        <f>SUM(H54:H56)</f>
        <v>560</v>
      </c>
      <c r="I57" s="837">
        <f>SUM(I54:I56)</f>
        <v>2.0399093697408586E-2</v>
      </c>
      <c r="J57" s="381"/>
      <c r="K57" s="836">
        <f>SUM(K54:K56)</f>
        <v>560</v>
      </c>
      <c r="L57" s="837">
        <f>SUM(L54:L56)</f>
        <v>1.4180948908066935E-2</v>
      </c>
      <c r="M57" s="381"/>
      <c r="N57" s="836">
        <f>SUM(N54:N56)</f>
        <v>560</v>
      </c>
      <c r="O57" s="837">
        <f>SUM(O54:O56)</f>
        <v>1.0435775141657494E-2</v>
      </c>
      <c r="P57" s="381"/>
      <c r="Q57" s="836">
        <f>SUM(Q54:Q56)</f>
        <v>560</v>
      </c>
      <c r="R57" s="837">
        <f>SUM(R54:R56)</f>
        <v>8.4595179963027362E-3</v>
      </c>
      <c r="S57" s="381"/>
      <c r="T57" s="836">
        <f>SUM(T54:T56)</f>
        <v>560</v>
      </c>
      <c r="U57" s="837">
        <f>SUM(U54:U56)</f>
        <v>7.1125844321720602E-3</v>
      </c>
      <c r="V57" s="381"/>
      <c r="W57" s="836">
        <f>SUM(W54:W56)</f>
        <v>560</v>
      </c>
      <c r="X57" s="837">
        <f>SUM(X54:X56)</f>
        <v>5.9114441388849444E-3</v>
      </c>
      <c r="Y57" s="381"/>
      <c r="Z57" s="836">
        <f>SUM(Z54:Z56)</f>
        <v>560</v>
      </c>
      <c r="AA57" s="837">
        <f>SUM(AA54:AA56)</f>
        <v>5.1883065761090972E-3</v>
      </c>
      <c r="AB57" s="381"/>
      <c r="AC57" s="836">
        <f>SUM(AC54:AC56)</f>
        <v>560</v>
      </c>
      <c r="AD57" s="837">
        <f>SUM(AD54:AD56)</f>
        <v>5.1883065761090972E-3</v>
      </c>
      <c r="AE57" s="381"/>
      <c r="AF57" s="836">
        <f>SUM(AF54:AF56)</f>
        <v>560</v>
      </c>
      <c r="AG57" s="837">
        <f>SUM(AG54:AG56)</f>
        <v>4.9971338983143482E-3</v>
      </c>
      <c r="AH57" s="381"/>
      <c r="AI57" s="836">
        <f>SUM(AI54:AI56)</f>
        <v>560</v>
      </c>
      <c r="AJ57" s="837">
        <f>SUM(AJ54:AJ56)</f>
        <v>4.9971338983143482E-3</v>
      </c>
      <c r="AK57" s="828"/>
      <c r="AL57" s="836">
        <f>SUM(AL54:AL56)</f>
        <v>560</v>
      </c>
      <c r="AM57" s="837">
        <f>SUM(AM54:AM56)</f>
        <v>5.6834991274306475E-3</v>
      </c>
      <c r="AN57" s="381"/>
      <c r="AO57" s="836">
        <f>SUM(AO54:AO56)</f>
        <v>560</v>
      </c>
      <c r="AP57" s="837">
        <f>SUM(AP54:AP56)</f>
        <v>5.4815223753785685E-3</v>
      </c>
      <c r="AQ57" s="950"/>
      <c r="AR57" s="959">
        <f>SUM(AR54:AR56)</f>
        <v>7280</v>
      </c>
      <c r="AS57" s="960">
        <f>+SUM(AS54:AS56)</f>
        <v>7.0788945864644704E-3</v>
      </c>
      <c r="AT57" s="771"/>
      <c r="AU57" s="545"/>
      <c r="AV57" s="545"/>
      <c r="AW57" s="545"/>
    </row>
    <row r="58" spans="2:55" ht="15" thickTop="1" thickBot="1" x14ac:dyDescent="0.2">
      <c r="E58" s="851"/>
      <c r="F58" s="859"/>
      <c r="H58" s="851"/>
      <c r="I58" s="859"/>
      <c r="K58" s="851"/>
      <c r="L58" s="859"/>
      <c r="N58" s="851"/>
      <c r="O58" s="859"/>
      <c r="Q58" s="851"/>
      <c r="R58" s="859"/>
      <c r="T58" s="851"/>
      <c r="U58" s="859"/>
      <c r="W58" s="851"/>
      <c r="X58" s="859"/>
      <c r="Z58" s="851"/>
      <c r="AA58" s="859"/>
      <c r="AC58" s="851"/>
      <c r="AD58" s="859"/>
      <c r="AF58" s="851"/>
      <c r="AG58" s="859"/>
      <c r="AI58" s="851"/>
      <c r="AJ58" s="859"/>
      <c r="AL58" s="851"/>
      <c r="AM58" s="859"/>
      <c r="AO58" s="851"/>
      <c r="AP58" s="859"/>
      <c r="AQ58" s="953"/>
      <c r="AR58" s="961"/>
      <c r="AS58" s="962"/>
    </row>
    <row r="59" spans="2:55" ht="15" thickTop="1" thickBot="1" x14ac:dyDescent="0.2">
      <c r="B59" s="838"/>
      <c r="C59" s="816" t="str">
        <f>' Total des coûts de MO'!C21</f>
        <v>Salaire "Autres"</v>
      </c>
      <c r="D59" s="863"/>
      <c r="E59" s="832"/>
      <c r="F59" s="833"/>
      <c r="H59" s="832"/>
      <c r="I59" s="833"/>
      <c r="K59" s="832"/>
      <c r="L59" s="833"/>
      <c r="N59" s="832"/>
      <c r="O59" s="833"/>
      <c r="Q59" s="832"/>
      <c r="R59" s="833"/>
      <c r="T59" s="832"/>
      <c r="U59" s="833"/>
      <c r="W59" s="832"/>
      <c r="X59" s="833"/>
      <c r="Z59" s="832"/>
      <c r="AA59" s="833"/>
      <c r="AC59" s="832"/>
      <c r="AD59" s="833"/>
      <c r="AF59" s="832"/>
      <c r="AG59" s="833"/>
      <c r="AI59" s="832"/>
      <c r="AJ59" s="833"/>
      <c r="AK59" s="373"/>
      <c r="AL59" s="832"/>
      <c r="AM59" s="833"/>
      <c r="AO59" s="832"/>
      <c r="AP59" s="833"/>
      <c r="AQ59" s="952"/>
      <c r="AR59" s="963"/>
      <c r="AS59" s="964"/>
      <c r="AT59" s="139"/>
      <c r="AU59" s="139"/>
      <c r="AV59" s="139"/>
      <c r="AW59" s="139"/>
      <c r="AX59" s="139"/>
      <c r="AY59" s="139"/>
      <c r="AZ59" s="139"/>
      <c r="BA59" s="139"/>
      <c r="BB59" s="139"/>
      <c r="BC59" s="139"/>
    </row>
    <row r="60" spans="2:55" ht="14" thickTop="1" x14ac:dyDescent="0.15">
      <c r="B60" s="370">
        <f>' Total des coûts de MO'!B21</f>
        <v>6190</v>
      </c>
      <c r="C60" s="414" t="str">
        <f>C54</f>
        <v>Salaires</v>
      </c>
      <c r="D60" s="370"/>
      <c r="E60" s="834">
        <v>0</v>
      </c>
      <c r="F60" s="835">
        <f>E60/'État des Résultats'!E$14</f>
        <v>0</v>
      </c>
      <c r="H60" s="834">
        <v>0</v>
      </c>
      <c r="I60" s="835">
        <f>H60/'État des Résultats'!H$14</f>
        <v>0</v>
      </c>
      <c r="K60" s="834">
        <v>0</v>
      </c>
      <c r="L60" s="835">
        <f>K60/'État des Résultats'!K$14</f>
        <v>0</v>
      </c>
      <c r="N60" s="834">
        <v>0</v>
      </c>
      <c r="O60" s="835">
        <f>N60/'État des Résultats'!N$14</f>
        <v>0</v>
      </c>
      <c r="Q60" s="834">
        <v>0</v>
      </c>
      <c r="R60" s="835">
        <f>Q60/'État des Résultats'!Q$14</f>
        <v>0</v>
      </c>
      <c r="T60" s="834">
        <v>0</v>
      </c>
      <c r="U60" s="835">
        <f>T60/'État des Résultats'!T$14</f>
        <v>0</v>
      </c>
      <c r="W60" s="834">
        <v>0</v>
      </c>
      <c r="X60" s="835">
        <f>W60/'État des Résultats'!W$14</f>
        <v>0</v>
      </c>
      <c r="Z60" s="834">
        <v>0</v>
      </c>
      <c r="AA60" s="835">
        <f>Z60/'État des Résultats'!Z$14</f>
        <v>0</v>
      </c>
      <c r="AC60" s="834">
        <v>0</v>
      </c>
      <c r="AD60" s="835">
        <f>AC60/'État des Résultats'!AC$14</f>
        <v>0</v>
      </c>
      <c r="AF60" s="834">
        <v>0</v>
      </c>
      <c r="AG60" s="835">
        <f>AF60/'État des Résultats'!AF$14</f>
        <v>0</v>
      </c>
      <c r="AI60" s="834">
        <v>0</v>
      </c>
      <c r="AJ60" s="835">
        <f>AI60/'État des Résultats'!AI$14</f>
        <v>0</v>
      </c>
      <c r="AK60" s="373"/>
      <c r="AL60" s="834">
        <v>0</v>
      </c>
      <c r="AM60" s="835">
        <f>AL60/'État des Résultats'!AL$14</f>
        <v>0</v>
      </c>
      <c r="AO60" s="834">
        <v>0</v>
      </c>
      <c r="AP60" s="835">
        <f>AO60/'État des Résultats'!AO$14</f>
        <v>0</v>
      </c>
      <c r="AQ60" s="947"/>
      <c r="AR60" s="1067">
        <f>SUM(+$AO60+$AL60+$AI60+$AF60+$AC60+$Z60+$W60+$T60+$Q60+$N60+$K60+$H60+$E60)</f>
        <v>0</v>
      </c>
      <c r="AS60" s="1068">
        <f>AR60/'État des Résultats'!AR$14</f>
        <v>0</v>
      </c>
      <c r="AT60" s="139"/>
      <c r="AU60" s="139"/>
      <c r="AV60" s="139"/>
      <c r="AW60" s="139"/>
      <c r="AX60" s="139"/>
      <c r="AY60" s="139"/>
      <c r="AZ60" s="139"/>
      <c r="BA60" s="139"/>
      <c r="BB60" s="139"/>
      <c r="BC60" s="139"/>
    </row>
    <row r="61" spans="2:55" x14ac:dyDescent="0.15">
      <c r="B61" s="370">
        <f>B55</f>
        <v>6205</v>
      </c>
      <c r="C61" s="414" t="str">
        <f>C55</f>
        <v>Bénéfices gouvernementaux</v>
      </c>
      <c r="D61" s="370"/>
      <c r="E61" s="824">
        <f>+E60*$H$76</f>
        <v>0</v>
      </c>
      <c r="F61" s="835">
        <f>E61/'État des Résultats'!E$14</f>
        <v>0</v>
      </c>
      <c r="H61" s="824">
        <f>+H60*$H$76</f>
        <v>0</v>
      </c>
      <c r="I61" s="835">
        <f>H61/'État des Résultats'!H$14</f>
        <v>0</v>
      </c>
      <c r="K61" s="824">
        <f>+K60*$H$76</f>
        <v>0</v>
      </c>
      <c r="L61" s="835">
        <f>K61/'État des Résultats'!K$14</f>
        <v>0</v>
      </c>
      <c r="N61" s="824">
        <f>+N60*$H$76</f>
        <v>0</v>
      </c>
      <c r="O61" s="835">
        <f>N61/'État des Résultats'!N$14</f>
        <v>0</v>
      </c>
      <c r="Q61" s="824">
        <f>+Q60*$H$76</f>
        <v>0</v>
      </c>
      <c r="R61" s="835">
        <f>Q61/'État des Résultats'!Q$14</f>
        <v>0</v>
      </c>
      <c r="T61" s="824">
        <f>+T60*$H$76</f>
        <v>0</v>
      </c>
      <c r="U61" s="835">
        <f>T61/'État des Résultats'!T$14</f>
        <v>0</v>
      </c>
      <c r="W61" s="824">
        <f>+W60*$H$76</f>
        <v>0</v>
      </c>
      <c r="X61" s="835">
        <f>W61/'État des Résultats'!W$14</f>
        <v>0</v>
      </c>
      <c r="Z61" s="824">
        <f>+Z60*$H$76</f>
        <v>0</v>
      </c>
      <c r="AA61" s="835">
        <f>Z61/'État des Résultats'!Z$14</f>
        <v>0</v>
      </c>
      <c r="AC61" s="824">
        <f>+AC60*$H$76</f>
        <v>0</v>
      </c>
      <c r="AD61" s="835">
        <f>AC61/'État des Résultats'!AC$14</f>
        <v>0</v>
      </c>
      <c r="AF61" s="824">
        <f>+AF60*$H$76</f>
        <v>0</v>
      </c>
      <c r="AG61" s="835">
        <f>AF61/'État des Résultats'!AF$14</f>
        <v>0</v>
      </c>
      <c r="AI61" s="824">
        <f>+AI60*$H$76</f>
        <v>0</v>
      </c>
      <c r="AJ61" s="835">
        <f>AI61/'État des Résultats'!AI$14</f>
        <v>0</v>
      </c>
      <c r="AK61" s="373"/>
      <c r="AL61" s="824">
        <f>+AL60*$H$76</f>
        <v>0</v>
      </c>
      <c r="AM61" s="835">
        <f>AL61/'État des Résultats'!AL$14</f>
        <v>0</v>
      </c>
      <c r="AO61" s="824">
        <f>+AO60*$H$76</f>
        <v>0</v>
      </c>
      <c r="AP61" s="835">
        <f>AO61/'État des Résultats'!AO$14</f>
        <v>0</v>
      </c>
      <c r="AQ61" s="947"/>
      <c r="AR61" s="1067">
        <f>SUM(+$AO61+$AL61+$AI61+$AF61+$AC61+$Z61+$W61+$T61+$Q61+$N61+$K61+$H61+$E61)</f>
        <v>0</v>
      </c>
      <c r="AS61" s="1068">
        <f>AR61/'État des Résultats'!AR$14</f>
        <v>0</v>
      </c>
      <c r="AT61" s="139"/>
      <c r="AU61" s="139"/>
      <c r="AV61" s="139"/>
      <c r="AW61" s="139"/>
      <c r="AX61" s="139"/>
      <c r="AY61" s="139"/>
      <c r="AZ61" s="139"/>
      <c r="BA61" s="139"/>
      <c r="BB61" s="139"/>
      <c r="BC61" s="139"/>
    </row>
    <row r="62" spans="2:55" ht="14" thickBot="1" x14ac:dyDescent="0.2">
      <c r="B62" s="370">
        <f>B56</f>
        <v>6245</v>
      </c>
      <c r="C62" s="414" t="str">
        <f>C56</f>
        <v>CSST et CNT</v>
      </c>
      <c r="D62" s="370"/>
      <c r="E62" s="824">
        <f>(E60)*$F$72</f>
        <v>0</v>
      </c>
      <c r="F62" s="835">
        <f>E62/'État des Résultats'!E$14</f>
        <v>0</v>
      </c>
      <c r="H62" s="824">
        <f>(H60)*$F$72</f>
        <v>0</v>
      </c>
      <c r="I62" s="835">
        <f>H62/'État des Résultats'!H$14</f>
        <v>0</v>
      </c>
      <c r="K62" s="824">
        <f>(K60)*$F$72</f>
        <v>0</v>
      </c>
      <c r="L62" s="835">
        <f>K62/'État des Résultats'!K$14</f>
        <v>0</v>
      </c>
      <c r="N62" s="824">
        <f>(N60)*$F$72</f>
        <v>0</v>
      </c>
      <c r="O62" s="835">
        <f>N62/'État des Résultats'!N$14</f>
        <v>0</v>
      </c>
      <c r="Q62" s="824">
        <f>(Q60)*$F$72</f>
        <v>0</v>
      </c>
      <c r="R62" s="835">
        <f>Q62/'État des Résultats'!Q$14</f>
        <v>0</v>
      </c>
      <c r="T62" s="824">
        <f>(T60)*$F$72</f>
        <v>0</v>
      </c>
      <c r="U62" s="835">
        <f>T62/'État des Résultats'!T$14</f>
        <v>0</v>
      </c>
      <c r="W62" s="824">
        <f>(W60)*$F$72</f>
        <v>0</v>
      </c>
      <c r="X62" s="835">
        <f>W62/'État des Résultats'!W$14</f>
        <v>0</v>
      </c>
      <c r="Z62" s="824">
        <f>(Z60)*$F$72</f>
        <v>0</v>
      </c>
      <c r="AA62" s="835">
        <f>Z62/'État des Résultats'!Z$14</f>
        <v>0</v>
      </c>
      <c r="AC62" s="824">
        <f>(AC60)*$F$72</f>
        <v>0</v>
      </c>
      <c r="AD62" s="835">
        <f>AC62/'État des Résultats'!AC$14</f>
        <v>0</v>
      </c>
      <c r="AF62" s="824">
        <f>(AF60)*$F$72</f>
        <v>0</v>
      </c>
      <c r="AG62" s="835">
        <f>AF62/'État des Résultats'!AF$14</f>
        <v>0</v>
      </c>
      <c r="AI62" s="824">
        <f>(AI60)*$F$72</f>
        <v>0</v>
      </c>
      <c r="AJ62" s="835">
        <f>AI62/'État des Résultats'!AI$14</f>
        <v>0</v>
      </c>
      <c r="AK62" s="373"/>
      <c r="AL62" s="824">
        <f>(AL60)*$F$72</f>
        <v>0</v>
      </c>
      <c r="AM62" s="835">
        <f>AL62/'État des Résultats'!AL$14</f>
        <v>0</v>
      </c>
      <c r="AO62" s="824">
        <f>(AO60)*$F$72</f>
        <v>0</v>
      </c>
      <c r="AP62" s="835">
        <f>AO62/'État des Résultats'!AO$14</f>
        <v>0</v>
      </c>
      <c r="AQ62" s="947"/>
      <c r="AR62" s="1067">
        <f>SUM(+$AO62+$AL62+$AI62+$AF62+$AC62+$Z62+$W62+$T62+$Q62+$N62+$K62+$H62+$E62)</f>
        <v>0</v>
      </c>
      <c r="AS62" s="1068">
        <f>AR62/'État des Résultats'!AR$14</f>
        <v>0</v>
      </c>
      <c r="AT62" s="139"/>
      <c r="AU62" s="139"/>
      <c r="AV62" s="139"/>
      <c r="AW62" s="139"/>
      <c r="AX62" s="139"/>
      <c r="AY62" s="139"/>
      <c r="AZ62" s="139"/>
      <c r="BA62" s="139"/>
      <c r="BB62" s="139"/>
      <c r="BC62" s="139"/>
    </row>
    <row r="63" spans="2:55" ht="15" thickTop="1" thickBot="1" x14ac:dyDescent="0.2">
      <c r="B63" s="857"/>
      <c r="C63" s="858" t="s">
        <v>336</v>
      </c>
      <c r="D63" s="825"/>
      <c r="E63" s="836">
        <f>SUM(E60:E62)</f>
        <v>0</v>
      </c>
      <c r="F63" s="837">
        <f>SUM(F60:F62)</f>
        <v>0</v>
      </c>
      <c r="G63" s="381"/>
      <c r="H63" s="836">
        <f>SUM(H60:H62)</f>
        <v>0</v>
      </c>
      <c r="I63" s="837">
        <f>SUM(I60:I62)</f>
        <v>0</v>
      </c>
      <c r="J63" s="381"/>
      <c r="K63" s="836">
        <f>SUM(K60:K62)</f>
        <v>0</v>
      </c>
      <c r="L63" s="837">
        <f>SUM(L60:L62)</f>
        <v>0</v>
      </c>
      <c r="M63" s="381"/>
      <c r="N63" s="836">
        <f>SUM(N60:N62)</f>
        <v>0</v>
      </c>
      <c r="O63" s="837">
        <f>SUM(O60:O62)</f>
        <v>0</v>
      </c>
      <c r="P63" s="381"/>
      <c r="Q63" s="836">
        <f>SUM(Q60:Q62)</f>
        <v>0</v>
      </c>
      <c r="R63" s="837">
        <f>SUM(R60:R62)</f>
        <v>0</v>
      </c>
      <c r="S63" s="381"/>
      <c r="T63" s="836">
        <f>SUM(T60:T62)</f>
        <v>0</v>
      </c>
      <c r="U63" s="837">
        <f>SUM(U60:U62)</f>
        <v>0</v>
      </c>
      <c r="V63" s="381"/>
      <c r="W63" s="836">
        <f>SUM(W60:W62)</f>
        <v>0</v>
      </c>
      <c r="X63" s="837">
        <f>SUM(X60:X62)</f>
        <v>0</v>
      </c>
      <c r="Y63" s="381"/>
      <c r="Z63" s="836">
        <f>SUM(Z60:Z62)</f>
        <v>0</v>
      </c>
      <c r="AA63" s="837">
        <f>SUM(AA60:AA62)</f>
        <v>0</v>
      </c>
      <c r="AB63" s="381"/>
      <c r="AC63" s="836">
        <f>SUM(AC60:AC62)</f>
        <v>0</v>
      </c>
      <c r="AD63" s="837">
        <f>SUM(AD60:AD62)</f>
        <v>0</v>
      </c>
      <c r="AE63" s="381"/>
      <c r="AF63" s="836">
        <f>SUM(AF60:AF62)</f>
        <v>0</v>
      </c>
      <c r="AG63" s="837">
        <f>SUM(AG60:AG62)</f>
        <v>0</v>
      </c>
      <c r="AH63" s="381"/>
      <c r="AI63" s="836">
        <f>SUM(AI60:AI62)</f>
        <v>0</v>
      </c>
      <c r="AJ63" s="837">
        <f>SUM(AJ60:AJ62)</f>
        <v>0</v>
      </c>
      <c r="AK63" s="828"/>
      <c r="AL63" s="836">
        <f>SUM(AL60:AL62)</f>
        <v>0</v>
      </c>
      <c r="AM63" s="837">
        <f>SUM(AM60:AM62)</f>
        <v>0</v>
      </c>
      <c r="AN63" s="381"/>
      <c r="AO63" s="836">
        <f>SUM(AO60:AO62)</f>
        <v>0</v>
      </c>
      <c r="AP63" s="837">
        <f>SUM(AP60:AP62)</f>
        <v>0</v>
      </c>
      <c r="AQ63" s="950"/>
      <c r="AR63" s="959">
        <f>SUM(AR60:AR62)</f>
        <v>0</v>
      </c>
      <c r="AS63" s="960">
        <f>+SUM(AS60:AS62)</f>
        <v>0</v>
      </c>
      <c r="AT63" s="139"/>
      <c r="AU63" s="139"/>
      <c r="AV63" s="139"/>
      <c r="AW63" s="139"/>
      <c r="AX63" s="139"/>
      <c r="AY63" s="139"/>
      <c r="AZ63" s="139"/>
      <c r="BA63" s="139"/>
      <c r="BB63" s="139"/>
      <c r="BC63" s="139"/>
    </row>
    <row r="64" spans="2:55" ht="14" thickBot="1" x14ac:dyDescent="0.2">
      <c r="B64" s="860"/>
      <c r="C64" s="860"/>
      <c r="D64" s="860"/>
      <c r="E64" s="861"/>
      <c r="F64" s="862"/>
      <c r="G64" s="860"/>
      <c r="H64" s="861"/>
      <c r="I64" s="862"/>
      <c r="J64" s="860"/>
      <c r="K64" s="861"/>
      <c r="L64" s="862"/>
      <c r="M64" s="860"/>
      <c r="N64" s="861"/>
      <c r="O64" s="862"/>
      <c r="P64" s="860"/>
      <c r="Q64" s="861"/>
      <c r="R64" s="862"/>
      <c r="S64" s="860"/>
      <c r="T64" s="861"/>
      <c r="U64" s="862"/>
      <c r="V64" s="860"/>
      <c r="W64" s="861"/>
      <c r="X64" s="862"/>
      <c r="Y64" s="860"/>
      <c r="Z64" s="861"/>
      <c r="AA64" s="862"/>
      <c r="AB64" s="860"/>
      <c r="AC64" s="861"/>
      <c r="AD64" s="862"/>
      <c r="AE64" s="860"/>
      <c r="AF64" s="861"/>
      <c r="AG64" s="862"/>
      <c r="AH64" s="860"/>
      <c r="AI64" s="861"/>
      <c r="AJ64" s="862"/>
      <c r="AK64" s="860"/>
      <c r="AL64" s="861"/>
      <c r="AM64" s="862"/>
      <c r="AN64" s="860"/>
      <c r="AO64" s="861"/>
      <c r="AP64" s="862"/>
      <c r="AQ64" s="950"/>
      <c r="AR64" s="966"/>
      <c r="AS64" s="968"/>
      <c r="AT64" s="139"/>
      <c r="AU64" s="139"/>
      <c r="AV64" s="139"/>
      <c r="AW64" s="139"/>
      <c r="AX64" s="139"/>
      <c r="AY64" s="139"/>
      <c r="AZ64" s="139"/>
    </row>
    <row r="65" spans="2:58" ht="15" thickTop="1" thickBot="1" x14ac:dyDescent="0.2">
      <c r="B65" s="815"/>
      <c r="C65" s="816" t="str">
        <f>' Total des coûts de MO'!C23</f>
        <v>Total des salaires</v>
      </c>
      <c r="D65" s="370"/>
      <c r="E65" s="832"/>
      <c r="F65" s="833"/>
      <c r="H65" s="832"/>
      <c r="I65" s="833"/>
      <c r="K65" s="832"/>
      <c r="L65" s="833"/>
      <c r="N65" s="832"/>
      <c r="O65" s="833"/>
      <c r="Q65" s="832"/>
      <c r="R65" s="833"/>
      <c r="T65" s="832"/>
      <c r="U65" s="833"/>
      <c r="W65" s="832"/>
      <c r="X65" s="833"/>
      <c r="Z65" s="832"/>
      <c r="AA65" s="833"/>
      <c r="AC65" s="832"/>
      <c r="AD65" s="833"/>
      <c r="AF65" s="832"/>
      <c r="AG65" s="833"/>
      <c r="AI65" s="832"/>
      <c r="AJ65" s="833"/>
      <c r="AK65" s="373"/>
      <c r="AL65" s="832"/>
      <c r="AM65" s="833"/>
      <c r="AO65" s="832"/>
      <c r="AP65" s="833"/>
      <c r="AQ65" s="949"/>
      <c r="AR65" s="963"/>
      <c r="AS65" s="964"/>
    </row>
    <row r="66" spans="2:58" ht="14" thickTop="1" x14ac:dyDescent="0.15">
      <c r="B66" s="1069">
        <f>' Total des coûts de MO'!B11</f>
        <v>6100</v>
      </c>
      <c r="C66" s="1070" t="str">
        <f>C60</f>
        <v>Salaires</v>
      </c>
      <c r="D66" s="956"/>
      <c r="E66" s="1071">
        <f>+E12+E18+E24+E30+E36+E42+E48+E54+E60</f>
        <v>11235.66</v>
      </c>
      <c r="F66" s="1072">
        <f>E66/'État des Résultats'!E$14</f>
        <v>0.40928085909326029</v>
      </c>
      <c r="G66" s="190"/>
      <c r="H66" s="1073">
        <f>+H12+H18+H24+H30+H36+H42+H48+H54+H60</f>
        <v>11235.66</v>
      </c>
      <c r="I66" s="1072">
        <f>H66/'État des Résultats'!H$14</f>
        <v>0.40928085909326029</v>
      </c>
      <c r="J66" s="190"/>
      <c r="K66" s="1073">
        <f>+K12+K18+K24+K30+K36+K42+K48+K54+K60</f>
        <v>14846.880000000001</v>
      </c>
      <c r="L66" s="1072">
        <f>K66/'État des Résultats'!K$14</f>
        <v>0.37596936915035861</v>
      </c>
      <c r="M66" s="190"/>
      <c r="N66" s="1073">
        <f>+N12+N18+N24+N30+N36+N42+N48+N54+N60</f>
        <v>19098.46875</v>
      </c>
      <c r="O66" s="1072">
        <f>N66/'État des Résultats'!N$14</f>
        <v>0.35590593825887945</v>
      </c>
      <c r="P66" s="190"/>
      <c r="Q66" s="1073">
        <f>+Q12+Q18+Q24+Q30+Q36+Q42+Q48+Q54+Q60</f>
        <v>22859.287499999999</v>
      </c>
      <c r="R66" s="1072">
        <f>Q66/'État des Résultats'!Q$14</f>
        <v>0.34531884640876465</v>
      </c>
      <c r="S66" s="190"/>
      <c r="T66" s="1073">
        <f>+T12+T18+T24+T30+T36+T42+T48+T54+T60</f>
        <v>26620.106250000004</v>
      </c>
      <c r="U66" s="1072">
        <f>T66/'État des Résultats'!T$14</f>
        <v>0.33810313088663602</v>
      </c>
      <c r="V66" s="190"/>
      <c r="W66" s="1073">
        <f>+W12+W18+W24+W30+W36+W42+W48+W54+W60</f>
        <v>31419.451500000006</v>
      </c>
      <c r="X66" s="1072">
        <f>W66/'État des Résultats'!W$14</f>
        <v>0.33166845074402651</v>
      </c>
      <c r="Y66" s="190"/>
      <c r="Z66" s="1073">
        <f>+Z12+Z18+Z24+Z30+Z36+Z42+Z48+Z54+Z60</f>
        <v>35380.507500000007</v>
      </c>
      <c r="AA66" s="1072">
        <f>Z66/'État des Résultats'!Z$14</f>
        <v>0.32779449951487016</v>
      </c>
      <c r="AB66" s="190"/>
      <c r="AC66" s="1073">
        <f>+AC12+AC18+AC24+AC30+AC36+AC42+AC48+AC54+AC60</f>
        <v>35380.507500000007</v>
      </c>
      <c r="AD66" s="1072">
        <f>AC66/'État des Résultats'!AC$14</f>
        <v>0.32779449951487016</v>
      </c>
      <c r="AE66" s="190"/>
      <c r="AF66" s="1073">
        <f>+AF12+AF18+AF24+AF30+AF36+AF42+AF48+AF54+AF60</f>
        <v>36619.271250000005</v>
      </c>
      <c r="AG66" s="1072">
        <f>AF66/'État des Résultats'!AF$14</f>
        <v>0.3267703601695412</v>
      </c>
      <c r="AH66" s="190"/>
      <c r="AI66" s="1073">
        <f>+AI12+AI18+AI24+AI30+AI36+AI42+AI48+AI54+AI60</f>
        <v>36619.271250000005</v>
      </c>
      <c r="AJ66" s="1072">
        <f>AI66/'État des Résultats'!AI$14</f>
        <v>0.3267703601695412</v>
      </c>
      <c r="AK66" s="957"/>
      <c r="AL66" s="1073">
        <f>+AL12+AL18+AL24+AL30+AL36+AL42+AL48+AL54+AL60</f>
        <v>32559.254999999997</v>
      </c>
      <c r="AM66" s="1072">
        <f>AL66/'État des Résultats'!AL$14</f>
        <v>0.33044731675409278</v>
      </c>
      <c r="AN66" s="190"/>
      <c r="AO66" s="1073">
        <f>+AO12+AO18+AO24+AO30+AO36+AO42+AO48+AO54+AO60</f>
        <v>33648.42</v>
      </c>
      <c r="AP66" s="1072">
        <f>AO66/'État des Résultats'!AO$14</f>
        <v>0.32936529843952805</v>
      </c>
      <c r="AQ66" s="958"/>
      <c r="AR66" s="1067">
        <f>SUM(+$AO66+$AL66+$AI66+$AF66+$AC66+$Z66+$W66+$T66+$Q66+$N66+$K66+$H66+$E66)</f>
        <v>347522.74649999995</v>
      </c>
      <c r="AS66" s="1068">
        <f>AR66/'État des Résultats'!AR$14</f>
        <v>0.33792264957034535</v>
      </c>
      <c r="AT66" s="190"/>
      <c r="AU66" s="190"/>
      <c r="AV66" s="190"/>
      <c r="AW66" s="190"/>
      <c r="AX66" s="190"/>
      <c r="AY66" s="190"/>
      <c r="AZ66" s="190"/>
      <c r="BA66" s="190"/>
      <c r="BB66" s="190"/>
      <c r="BC66" s="190"/>
      <c r="BD66" s="190"/>
      <c r="BE66" s="190"/>
      <c r="BF66" s="190"/>
    </row>
    <row r="67" spans="2:58" x14ac:dyDescent="0.15">
      <c r="B67" s="1069">
        <f>B61</f>
        <v>6205</v>
      </c>
      <c r="C67" s="1070" t="str">
        <f>C61</f>
        <v>Bénéfices gouvernementaux</v>
      </c>
      <c r="D67" s="956"/>
      <c r="E67" s="1073">
        <f>+E13+E19+E25+E31+E37+E43+E49+E55+E61</f>
        <v>1271.6104600000001</v>
      </c>
      <c r="F67" s="1072">
        <f>E67/'État des Résultats'!E$14</f>
        <v>4.6320894500258634E-2</v>
      </c>
      <c r="G67" s="190"/>
      <c r="H67" s="1073">
        <f>+H13+H19+H25+H31+H37+H43+H49+H55+H61</f>
        <v>1271.6104600000001</v>
      </c>
      <c r="I67" s="1072">
        <f>H67/'État des Résultats'!H$14</f>
        <v>4.6320894500258634E-2</v>
      </c>
      <c r="J67" s="190"/>
      <c r="K67" s="1073">
        <f>+K13+K19+K25+K31+K37+K43+K49+K55+K61</f>
        <v>1684.4932800000001</v>
      </c>
      <c r="L67" s="1072">
        <f>K67/'État des Résultats'!K$14</f>
        <v>4.2656630606539452E-2</v>
      </c>
      <c r="M67" s="190"/>
      <c r="N67" s="1073">
        <f>+N13+N19+N25+N31+N37+N43+N49+N55+N61</f>
        <v>2170.5915937499999</v>
      </c>
      <c r="O67" s="1072">
        <f>N67/'État des Résultats'!N$14</f>
        <v>4.0449653208476738E-2</v>
      </c>
      <c r="P67" s="190"/>
      <c r="Q67" s="1073">
        <f>+Q13+Q19+Q25+Q31+Q37+Q43+Q49+Q55+Q61</f>
        <v>2600.5785375</v>
      </c>
      <c r="R67" s="1072">
        <f>Q67/'État des Résultats'!Q$14</f>
        <v>3.9285073104964111E-2</v>
      </c>
      <c r="S67" s="190"/>
      <c r="T67" s="1073">
        <f>+T13+T19+T25+T31+T37+T43+T49+T55+T61</f>
        <v>3030.5654812500006</v>
      </c>
      <c r="U67" s="1072">
        <f>T67/'État des Résultats'!T$14</f>
        <v>3.8491344397529964E-2</v>
      </c>
      <c r="V67" s="190"/>
      <c r="W67" s="1073">
        <f>+W13+W19+W25+W31+W37+W43+W49+W55+W61</f>
        <v>3579.2906215000007</v>
      </c>
      <c r="X67" s="1072">
        <f>W67/'État des Résultats'!W$14</f>
        <v>3.7783529581842917E-2</v>
      </c>
      <c r="Y67" s="190"/>
      <c r="Z67" s="1073">
        <f>+Z13+Z19+Z25+Z31+Z37+Z43+Z49+Z55+Z61</f>
        <v>4032.1713575000008</v>
      </c>
      <c r="AA67" s="1072">
        <f>Z67/'État des Résultats'!Z$14</f>
        <v>3.7357394946635716E-2</v>
      </c>
      <c r="AB67" s="190"/>
      <c r="AC67" s="1073">
        <f>+AC13+AC19+AC25+AC31+AC37+AC43+AC49+AC55+AC61</f>
        <v>4032.1713575000008</v>
      </c>
      <c r="AD67" s="1072">
        <f>AC67/'État des Résultats'!AC$14</f>
        <v>3.7357394946635716E-2</v>
      </c>
      <c r="AE67" s="190"/>
      <c r="AF67" s="1073">
        <f>+AF13+AF19+AF25+AF31+AF37+AF43+AF49+AF55+AF61</f>
        <v>4173.8033462500007</v>
      </c>
      <c r="AG67" s="1072">
        <f>AF67/'État des Résultats'!AF$14</f>
        <v>3.7244739618649533E-2</v>
      </c>
      <c r="AH67" s="190"/>
      <c r="AI67" s="1073">
        <f>+AI13+AI19+AI25+AI31+AI37+AI43+AI49+AI55+AI61</f>
        <v>4173.8033462500007</v>
      </c>
      <c r="AJ67" s="1072">
        <f>AI67/'État des Résultats'!AI$14</f>
        <v>3.7244739618649533E-2</v>
      </c>
      <c r="AK67" s="957"/>
      <c r="AL67" s="1073">
        <f>+AL13+AL19+AL25+AL31+AL37+AL43+AL49+AL55+AL61</f>
        <v>3709.6081549999999</v>
      </c>
      <c r="AM67" s="1072">
        <f>AL67/'État des Résultats'!AL$14</f>
        <v>3.7649204842950208E-2</v>
      </c>
      <c r="AN67" s="190"/>
      <c r="AO67" s="1073">
        <f>+AO13+AO19+AO25+AO31+AO37+AO43+AO49+AO55+AO61</f>
        <v>3834.1360199999999</v>
      </c>
      <c r="AP67" s="1072">
        <f>AO67/'État des Résultats'!AO$14</f>
        <v>3.7530182828348087E-2</v>
      </c>
      <c r="AQ67" s="958"/>
      <c r="AR67" s="1067">
        <f>SUM(+$AO67+$AL67+$AI67+$AF67+$AC67+$Z67+$W67+$T67+$Q67+$N67+$K67+$H67+$E67)</f>
        <v>39564.43401650001</v>
      </c>
      <c r="AS67" s="1068">
        <f>AR67/'État des Résultats'!AR$14</f>
        <v>3.8471491452738003E-2</v>
      </c>
      <c r="AT67" s="190"/>
      <c r="AU67" s="190"/>
      <c r="AV67" s="190"/>
      <c r="AW67" s="190"/>
      <c r="AX67" s="190"/>
      <c r="AY67" s="190"/>
      <c r="AZ67" s="190"/>
      <c r="BA67" s="190"/>
      <c r="BB67" s="190"/>
      <c r="BC67" s="190"/>
      <c r="BD67" s="190"/>
      <c r="BE67" s="190"/>
      <c r="BF67" s="190"/>
    </row>
    <row r="68" spans="2:58" ht="14" thickBot="1" x14ac:dyDescent="0.2">
      <c r="B68" s="1069">
        <f>B62</f>
        <v>6245</v>
      </c>
      <c r="C68" s="1070" t="str">
        <f>C62</f>
        <v>CSST et CNT</v>
      </c>
      <c r="D68" s="956"/>
      <c r="E68" s="1073">
        <f>+E14+E20+E26+E32+E38+E44+E50+E56+E62</f>
        <v>112.35660000000001</v>
      </c>
      <c r="F68" s="1072">
        <f>E68/'État des Résultats'!E$14</f>
        <v>4.0928085909326031E-3</v>
      </c>
      <c r="G68" s="190"/>
      <c r="H68" s="1073">
        <f>+H14+H20+H26+H32+H38+H44+H50+H56+H62</f>
        <v>112.35660000000001</v>
      </c>
      <c r="I68" s="1072">
        <f>H68/'État des Résultats'!H$14</f>
        <v>4.0928085909326031E-3</v>
      </c>
      <c r="J68" s="190"/>
      <c r="K68" s="1073">
        <f>+K14+K20+K26+K32+K38+K44+K50+K56+K62</f>
        <v>148.46880000000002</v>
      </c>
      <c r="L68" s="1072">
        <f>K68/'État des Résultats'!K$14</f>
        <v>3.7596936915035863E-3</v>
      </c>
      <c r="M68" s="190"/>
      <c r="N68" s="1073">
        <f>+N14+N20+N26+N32+N38+N44+N50+N56+N62</f>
        <v>190.98468750000001</v>
      </c>
      <c r="O68" s="1072">
        <f>N68/'État des Résultats'!N$14</f>
        <v>3.5590593825887947E-3</v>
      </c>
      <c r="P68" s="190"/>
      <c r="Q68" s="1073">
        <f>+Q14+Q20+Q26+Q32+Q38+Q44+Q50+Q56+Q62</f>
        <v>228.59287499999999</v>
      </c>
      <c r="R68" s="1072">
        <f>Q68/'État des Résultats'!Q$14</f>
        <v>3.4531884640876466E-3</v>
      </c>
      <c r="S68" s="190"/>
      <c r="T68" s="1073">
        <f>+T14+T20+T26+T32+T38+T44+T50+T56+T62</f>
        <v>266.20106250000003</v>
      </c>
      <c r="U68" s="1072">
        <f>T68/'État des Résultats'!T$14</f>
        <v>3.3810313088663601E-3</v>
      </c>
      <c r="V68" s="190"/>
      <c r="W68" s="1073">
        <f>+W14+W20+W26+W32+W38+W44+W50+W56+W62</f>
        <v>314.19451500000008</v>
      </c>
      <c r="X68" s="1072">
        <f>W68/'État des Résultats'!W$14</f>
        <v>3.316684507440265E-3</v>
      </c>
      <c r="Y68" s="190"/>
      <c r="Z68" s="1073">
        <f>+Z14+Z20+Z26+Z32+Z38+Z44+Z50+Z56+Z62</f>
        <v>353.8050750000001</v>
      </c>
      <c r="AA68" s="1072">
        <f>Z68/'État des Résultats'!Z$14</f>
        <v>3.2779449951487018E-3</v>
      </c>
      <c r="AB68" s="190"/>
      <c r="AC68" s="1073">
        <f>+AC14+AC20+AC26+AC32+AC38+AC44+AC50+AC56+AC62</f>
        <v>353.8050750000001</v>
      </c>
      <c r="AD68" s="1072">
        <f>AC68/'État des Résultats'!AC$14</f>
        <v>3.2779449951487018E-3</v>
      </c>
      <c r="AE68" s="190"/>
      <c r="AF68" s="1073">
        <f>+AF14+AF20+AF26+AF32+AF38+AF44+AF50+AF56+AF62</f>
        <v>366.19271250000003</v>
      </c>
      <c r="AG68" s="1072">
        <f>AF68/'État des Résultats'!AF$14</f>
        <v>3.2677036016954117E-3</v>
      </c>
      <c r="AH68" s="190"/>
      <c r="AI68" s="1073">
        <f>+AI14+AI20+AI26+AI32+AI38+AI44+AI50+AI56+AI62</f>
        <v>366.19271250000003</v>
      </c>
      <c r="AJ68" s="1072">
        <f>AI68/'État des Résultats'!AI$14</f>
        <v>3.2677036016954117E-3</v>
      </c>
      <c r="AK68" s="957"/>
      <c r="AL68" s="1073">
        <f>+AL14+AL20+AL26+AL32+AL38+AL44+AL50+AL56+AL62</f>
        <v>325.59255000000002</v>
      </c>
      <c r="AM68" s="1072">
        <f>AL68/'État des Résultats'!AL$14</f>
        <v>3.3044731675409278E-3</v>
      </c>
      <c r="AN68" s="190"/>
      <c r="AO68" s="1073">
        <f>+AO14+AO20+AO26+AO32+AO38+AO44+AO50+AO56+AO62</f>
        <v>336.48419999999999</v>
      </c>
      <c r="AP68" s="1072">
        <f>AO68/'État des Résultats'!AO$14</f>
        <v>3.2936529843952803E-3</v>
      </c>
      <c r="AQ68" s="958"/>
      <c r="AR68" s="1067">
        <f>SUM(+$AO68+$AL68+$AI68+$AF68+$AC68+$Z68+$W68+$T68+$Q68+$N68+$K68+$H68+$E68)</f>
        <v>3475.2274650000004</v>
      </c>
      <c r="AS68" s="1068">
        <f>AR68/'État des Résultats'!AR$14</f>
        <v>3.3792264957034543E-3</v>
      </c>
      <c r="AT68" s="190"/>
      <c r="AU68" s="190"/>
      <c r="AV68" s="190"/>
      <c r="AW68" s="190"/>
      <c r="AX68" s="190"/>
      <c r="AY68" s="190"/>
      <c r="AZ68" s="190"/>
      <c r="BA68" s="190"/>
      <c r="BB68" s="190"/>
      <c r="BC68" s="190"/>
      <c r="BD68" s="190"/>
      <c r="BE68" s="190"/>
      <c r="BF68" s="190"/>
    </row>
    <row r="69" spans="2:58" ht="15" thickTop="1" thickBot="1" x14ac:dyDescent="0.2">
      <c r="B69" s="864"/>
      <c r="C69" s="865" t="s">
        <v>337</v>
      </c>
      <c r="D69" s="770"/>
      <c r="E69" s="866">
        <f>SUM(E66:E68)</f>
        <v>12619.627059999999</v>
      </c>
      <c r="F69" s="867">
        <f>+SUM(F66:F68)</f>
        <v>0.45969456218445148</v>
      </c>
      <c r="G69" s="545"/>
      <c r="H69" s="866">
        <f>SUM(H66:H68)</f>
        <v>12619.627059999999</v>
      </c>
      <c r="I69" s="867">
        <f>+SUM(I66:I68)</f>
        <v>0.45969456218445148</v>
      </c>
      <c r="J69" s="545"/>
      <c r="K69" s="866">
        <f>SUM(K66:K68)</f>
        <v>16679.842079999999</v>
      </c>
      <c r="L69" s="867">
        <f>+SUM(L66:L68)</f>
        <v>0.42238569344840166</v>
      </c>
      <c r="M69" s="545"/>
      <c r="N69" s="866">
        <f>SUM(N66:N68)</f>
        <v>21460.04503125</v>
      </c>
      <c r="O69" s="867">
        <f>+SUM(O66:O68)</f>
        <v>0.39991465084994499</v>
      </c>
      <c r="P69" s="545"/>
      <c r="Q69" s="866">
        <f>SUM(Q66:Q68)</f>
        <v>25688.458912499998</v>
      </c>
      <c r="R69" s="867">
        <f>+SUM(R66:R68)</f>
        <v>0.3880571079778164</v>
      </c>
      <c r="S69" s="545"/>
      <c r="T69" s="866">
        <f>SUM(T66:T68)</f>
        <v>29916.872793750004</v>
      </c>
      <c r="U69" s="867">
        <f>+SUM(U66:U68)</f>
        <v>0.37997550659303236</v>
      </c>
      <c r="V69" s="545"/>
      <c r="W69" s="866">
        <f>SUM(W66:W68)</f>
        <v>35312.93663650001</v>
      </c>
      <c r="X69" s="867">
        <f>+SUM(X66:X68)</f>
        <v>0.37276866483330973</v>
      </c>
      <c r="Y69" s="545"/>
      <c r="Z69" s="866">
        <f>SUM(Z66:Z68)</f>
        <v>39766.483932500007</v>
      </c>
      <c r="AA69" s="867">
        <f>+SUM(AA66:AA68)</f>
        <v>0.36842983945665458</v>
      </c>
      <c r="AB69" s="545"/>
      <c r="AC69" s="866">
        <f>SUM(AC66:AC68)</f>
        <v>39766.483932500007</v>
      </c>
      <c r="AD69" s="867">
        <f>+SUM(AD66:AD68)</f>
        <v>0.36842983945665458</v>
      </c>
      <c r="AE69" s="545"/>
      <c r="AF69" s="866">
        <f>SUM(AF66:AF68)</f>
        <v>41159.267308750008</v>
      </c>
      <c r="AG69" s="867">
        <f>+SUM(AG66:AG68)</f>
        <v>0.36728280338988617</v>
      </c>
      <c r="AH69" s="545"/>
      <c r="AI69" s="866">
        <f>SUM(AI66:AI68)</f>
        <v>41159.267308750008</v>
      </c>
      <c r="AJ69" s="867">
        <f>+SUM(AJ66:AJ68)</f>
        <v>0.36728280338988617</v>
      </c>
      <c r="AK69" s="770"/>
      <c r="AL69" s="866">
        <f>SUM(AL66:AL68)</f>
        <v>36594.455705</v>
      </c>
      <c r="AM69" s="867">
        <f>+SUM(AM66:AM68)</f>
        <v>0.37140099476458388</v>
      </c>
      <c r="AN69" s="545"/>
      <c r="AO69" s="866">
        <f>SUM(AO66:AO68)</f>
        <v>37819.040219999995</v>
      </c>
      <c r="AP69" s="867">
        <f>+SUM(AP66:AP68)</f>
        <v>0.3701891342522714</v>
      </c>
      <c r="AQ69" s="954"/>
      <c r="AR69" s="959">
        <f>SUM(AR66:AR68)</f>
        <v>390562.40798149997</v>
      </c>
      <c r="AS69" s="960">
        <f>+SUM(AS66:AS68)</f>
        <v>0.37977336751878676</v>
      </c>
      <c r="AT69" s="545"/>
      <c r="AU69" s="545"/>
      <c r="AV69" s="545"/>
      <c r="AW69" s="545"/>
    </row>
    <row r="70" spans="2:58" ht="15" thickTop="1" thickBot="1" x14ac:dyDescent="0.2">
      <c r="AR70" s="190"/>
      <c r="AS70" s="190"/>
    </row>
    <row r="71" spans="2:58" ht="15" thickTop="1" thickBot="1" x14ac:dyDescent="0.2">
      <c r="C71" s="978"/>
      <c r="D71" s="979"/>
      <c r="E71" s="979"/>
      <c r="F71" s="979"/>
      <c r="G71" s="979"/>
      <c r="H71" s="979"/>
      <c r="I71" s="980"/>
      <c r="K71" s="279" t="s">
        <v>1</v>
      </c>
      <c r="AR71" s="190"/>
      <c r="AS71" s="190"/>
    </row>
    <row r="72" spans="2:58" ht="15" thickTop="1" thickBot="1" x14ac:dyDescent="0.2">
      <c r="C72" s="1514" t="s">
        <v>338</v>
      </c>
      <c r="D72" s="1515"/>
      <c r="E72" s="1515"/>
      <c r="F72" s="868">
        <v>0.01</v>
      </c>
      <c r="G72" s="166"/>
      <c r="H72" s="166"/>
      <c r="I72" s="972"/>
      <c r="Z72" s="138" t="s">
        <v>1</v>
      </c>
      <c r="AR72" s="190"/>
      <c r="AS72" s="190"/>
    </row>
    <row r="73" spans="2:58" ht="14" thickTop="1" x14ac:dyDescent="0.15">
      <c r="C73" s="973"/>
      <c r="D73" s="166"/>
      <c r="E73" s="166"/>
      <c r="F73" s="166"/>
      <c r="G73" s="166"/>
      <c r="H73" s="166"/>
      <c r="I73" s="972"/>
      <c r="AR73" s="190"/>
      <c r="AS73" s="190"/>
    </row>
    <row r="74" spans="2:58" ht="14" thickBot="1" x14ac:dyDescent="0.2">
      <c r="C74" s="973"/>
      <c r="D74" s="166"/>
      <c r="E74" s="166"/>
      <c r="F74" s="166"/>
      <c r="G74" s="166"/>
      <c r="H74" s="166"/>
      <c r="I74" s="972"/>
      <c r="AR74" s="190"/>
      <c r="AS74" s="190"/>
    </row>
    <row r="75" spans="2:58" ht="14" customHeight="1" thickTop="1" thickBot="1" x14ac:dyDescent="0.2">
      <c r="C75" s="1514" t="s">
        <v>339</v>
      </c>
      <c r="D75" s="1515"/>
      <c r="E75" s="1515"/>
      <c r="F75" s="1515"/>
      <c r="G75" s="974"/>
      <c r="H75" s="868">
        <v>0.12</v>
      </c>
      <c r="I75" s="972"/>
      <c r="AR75" s="190"/>
      <c r="AS75" s="190"/>
    </row>
    <row r="76" spans="2:58" ht="15" thickTop="1" thickBot="1" x14ac:dyDescent="0.2">
      <c r="C76" s="1514" t="s">
        <v>340</v>
      </c>
      <c r="D76" s="1515"/>
      <c r="E76" s="1515"/>
      <c r="F76" s="1515"/>
      <c r="G76" s="166"/>
      <c r="H76" s="868">
        <v>0.11</v>
      </c>
      <c r="I76" s="972"/>
      <c r="AR76" s="190"/>
      <c r="AS76" s="190"/>
    </row>
    <row r="77" spans="2:58" ht="14" thickTop="1" x14ac:dyDescent="0.15">
      <c r="C77" s="973"/>
      <c r="D77" s="166"/>
      <c r="E77" s="166"/>
      <c r="F77" s="166"/>
      <c r="G77" s="166"/>
      <c r="H77" s="166"/>
      <c r="I77" s="972"/>
      <c r="AR77" s="190"/>
      <c r="AS77" s="190"/>
    </row>
    <row r="78" spans="2:58" ht="14" thickBot="1" x14ac:dyDescent="0.2">
      <c r="C78" s="975"/>
      <c r="D78" s="976"/>
      <c r="E78" s="976"/>
      <c r="F78" s="976"/>
      <c r="G78" s="976"/>
      <c r="H78" s="976"/>
      <c r="I78" s="977"/>
      <c r="AR78" s="190"/>
      <c r="AS78" s="190"/>
    </row>
    <row r="79" spans="2:58" ht="14" thickTop="1" x14ac:dyDescent="0.15">
      <c r="AR79" s="190"/>
      <c r="AS79" s="190"/>
    </row>
    <row r="80" spans="2:58" x14ac:dyDescent="0.15">
      <c r="AR80" s="190"/>
      <c r="AS80" s="190"/>
    </row>
    <row r="81" spans="44:45" x14ac:dyDescent="0.15">
      <c r="AR81" s="190"/>
      <c r="AS81" s="190"/>
    </row>
    <row r="82" spans="44:45" x14ac:dyDescent="0.15">
      <c r="AR82" s="190"/>
      <c r="AS82" s="190"/>
    </row>
  </sheetData>
  <sheetProtection algorithmName="SHA-512" hashValue="RPp+2oOcDlqLS5GaYjur/DTBTKNdh69imDaA31WlqzTXcX7dQVRHQ/dEnTKM4EVcOovkyR/5Tb80HZEY/YkrcQ==" saltValue="U7lnmxVz+QN5MyI6H/maRg==" spinCount="100000" sheet="1" objects="1" scenarios="1"/>
  <mergeCells count="12">
    <mergeCell ref="B9:C9"/>
    <mergeCell ref="C72:E72"/>
    <mergeCell ref="C75:F75"/>
    <mergeCell ref="C76:F76"/>
    <mergeCell ref="B2:C2"/>
    <mergeCell ref="AU2:AU8"/>
    <mergeCell ref="BE2:BE8"/>
    <mergeCell ref="B3:C3"/>
    <mergeCell ref="B4:C4"/>
    <mergeCell ref="B6:C6"/>
    <mergeCell ref="B7:C7"/>
    <mergeCell ref="B8:C8"/>
  </mergeCells>
  <pageMargins left="0.75000000000000011" right="0.75000000000000011" top="1" bottom="1" header="0.49" footer="0.49"/>
  <pageSetup paperSize="5" scale="44" fitToHeight="2" orientation="landscape"/>
  <headerFooter>
    <oddFooter>&amp;C&amp;K000000Budget et indicateurs de performance (430-763-Me)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68D6E-5A2C-6842-B9A5-B1D8F6B60D19}">
  <sheetPr>
    <tabColor theme="2" tint="-0.499984740745262"/>
  </sheetPr>
  <dimension ref="C1:BE82"/>
  <sheetViews>
    <sheetView zoomScale="190" zoomScaleNormal="190" zoomScalePageLayoutView="125" workbookViewId="0">
      <pane xSplit="3" ySplit="9" topLeftCell="D10" activePane="bottomRight" state="frozen"/>
      <selection pane="topRight" activeCell="C1" sqref="C1"/>
      <selection pane="bottomLeft" activeCell="A10" sqref="A10"/>
      <selection pane="bottomRight"/>
    </sheetView>
  </sheetViews>
  <sheetFormatPr baseColWidth="10" defaultRowHeight="13" x14ac:dyDescent="0.15"/>
  <cols>
    <col min="1" max="1" width="1.83203125" style="138" customWidth="1"/>
    <col min="2" max="2" width="1.5" style="138" customWidth="1"/>
    <col min="3" max="3" width="55.5" style="138" bestFit="1" customWidth="1"/>
    <col min="4" max="4" width="0.83203125" style="138" customWidth="1"/>
    <col min="5" max="5" width="15.6640625" style="138" bestFit="1" customWidth="1"/>
    <col min="6" max="6" width="12.1640625" style="138" bestFit="1" customWidth="1"/>
    <col min="7" max="7" width="0.83203125" style="138" customWidth="1"/>
    <col min="8" max="8" width="15.6640625" style="138" bestFit="1" customWidth="1"/>
    <col min="9" max="9" width="9.33203125" style="138" bestFit="1" customWidth="1"/>
    <col min="10" max="10" width="0.83203125" style="138" customWidth="1"/>
    <col min="11" max="11" width="15.6640625" style="138" bestFit="1" customWidth="1"/>
    <col min="12" max="12" width="9.33203125" style="138" bestFit="1" customWidth="1"/>
    <col min="13" max="13" width="0.83203125" style="138" customWidth="1"/>
    <col min="14" max="14" width="15.6640625" style="138" bestFit="1" customWidth="1"/>
    <col min="15" max="15" width="9.33203125" style="138" bestFit="1" customWidth="1"/>
    <col min="16" max="16" width="0.83203125" style="138" customWidth="1"/>
    <col min="17" max="17" width="15.6640625" style="138" bestFit="1" customWidth="1"/>
    <col min="18" max="18" width="9.33203125" style="138" bestFit="1" customWidth="1"/>
    <col min="19" max="19" width="0.83203125" style="138" customWidth="1"/>
    <col min="20" max="20" width="15.6640625" style="138" bestFit="1" customWidth="1"/>
    <col min="21" max="21" width="9.33203125" style="138" bestFit="1" customWidth="1"/>
    <col min="22" max="22" width="0.83203125" style="138" customWidth="1"/>
    <col min="23" max="23" width="15.6640625" style="138" bestFit="1" customWidth="1"/>
    <col min="24" max="24" width="9.33203125" style="138" bestFit="1" customWidth="1"/>
    <col min="25" max="25" width="0.83203125" style="138" customWidth="1"/>
    <col min="26" max="26" width="15.6640625" style="138" bestFit="1" customWidth="1"/>
    <col min="27" max="27" width="9.33203125" style="138" bestFit="1" customWidth="1"/>
    <col min="28" max="28" width="0.83203125" style="138" customWidth="1"/>
    <col min="29" max="29" width="15.6640625" style="138" bestFit="1" customWidth="1"/>
    <col min="30" max="30" width="9.33203125" style="138" bestFit="1" customWidth="1"/>
    <col min="31" max="31" width="0.83203125" style="138" customWidth="1"/>
    <col min="32" max="32" width="15.6640625" style="138" bestFit="1" customWidth="1"/>
    <col min="33" max="33" width="9.33203125" style="138" bestFit="1" customWidth="1"/>
    <col min="34" max="34" width="0.83203125" style="138" customWidth="1"/>
    <col min="35" max="35" width="15.6640625" style="138" bestFit="1" customWidth="1"/>
    <col min="36" max="36" width="9.33203125" style="138" bestFit="1" customWidth="1"/>
    <col min="37" max="37" width="0.83203125" style="138" customWidth="1"/>
    <col min="38" max="38" width="15.6640625" style="138" bestFit="1" customWidth="1"/>
    <col min="39" max="39" width="9.33203125" style="138" bestFit="1" customWidth="1"/>
    <col min="40" max="40" width="0.83203125" style="138" customWidth="1"/>
    <col min="41" max="41" width="15.1640625" style="138" bestFit="1" customWidth="1"/>
    <col min="42" max="42" width="11.83203125" style="138" customWidth="1"/>
    <col min="43" max="43" width="1" style="138" customWidth="1"/>
    <col min="44" max="44" width="15.6640625" style="138" bestFit="1" customWidth="1"/>
    <col min="45" max="45" width="8.83203125" style="138" bestFit="1" customWidth="1"/>
    <col min="46" max="46" width="1.5" style="138" customWidth="1"/>
    <col min="47" max="47" width="8.5" style="138" bestFit="1" customWidth="1"/>
    <col min="48" max="48" width="14.6640625" style="138" bestFit="1" customWidth="1"/>
    <col min="49" max="49" width="2.5" style="138" bestFit="1" customWidth="1"/>
    <col min="50" max="50" width="26.83203125" style="138" bestFit="1" customWidth="1"/>
    <col min="51" max="51" width="2.5" style="138" bestFit="1" customWidth="1"/>
    <col min="52" max="52" width="2" style="138" bestFit="1" customWidth="1"/>
    <col min="53" max="53" width="10.83203125" style="138"/>
    <col min="54" max="54" width="2.5" style="138" bestFit="1" customWidth="1"/>
    <col min="55" max="55" width="10.83203125" style="138"/>
    <col min="56" max="56" width="2" style="138" bestFit="1" customWidth="1"/>
    <col min="57" max="57" width="8.5" style="138" bestFit="1" customWidth="1"/>
    <col min="58" max="16384" width="10.83203125" style="138"/>
  </cols>
  <sheetData>
    <row r="1" spans="3:57" ht="14" thickBot="1" x14ac:dyDescent="0.2">
      <c r="I1" s="138" t="s">
        <v>317</v>
      </c>
      <c r="J1" s="138" t="s">
        <v>317</v>
      </c>
    </row>
    <row r="2" spans="3:57" ht="20" customHeight="1" thickTop="1" x14ac:dyDescent="0.2">
      <c r="C2" s="733" t="str">
        <f>'État des Résultats'!C2</f>
        <v>Votre entreprise inc.</v>
      </c>
      <c r="H2" s="734" t="s">
        <v>1</v>
      </c>
      <c r="AU2" s="1518" t="s">
        <v>45</v>
      </c>
      <c r="AV2" s="735"/>
      <c r="AW2" s="735"/>
      <c r="AX2" s="735"/>
      <c r="AY2" s="735"/>
      <c r="AZ2" s="735"/>
      <c r="BA2" s="735"/>
      <c r="BB2" s="735"/>
      <c r="BC2" s="735"/>
      <c r="BD2" s="735"/>
      <c r="BE2" s="1521" t="s">
        <v>46</v>
      </c>
    </row>
    <row r="3" spans="3:57" ht="20" customHeight="1" x14ac:dyDescent="0.2">
      <c r="C3" s="736" t="str">
        <f>'État des Résultats'!C3</f>
        <v xml:space="preserve">États des résultats </v>
      </c>
      <c r="AU3" s="1519"/>
      <c r="AV3" s="737"/>
      <c r="AW3" s="737"/>
      <c r="AX3" s="737"/>
      <c r="AY3" s="737"/>
      <c r="AZ3" s="737"/>
      <c r="BA3" s="737"/>
      <c r="BB3" s="737"/>
      <c r="BC3" s="737"/>
      <c r="BD3" s="737"/>
      <c r="BE3" s="1522"/>
    </row>
    <row r="4" spans="3:57" ht="20" customHeight="1" thickBot="1" x14ac:dyDescent="0.3">
      <c r="C4" s="738" t="str">
        <f>'État des Résultats'!C4</f>
        <v>Pour la période du 2 janvier 2023 au 31 décembre 2023</v>
      </c>
      <c r="E4" s="396" t="s">
        <v>1</v>
      </c>
      <c r="AU4" s="1519"/>
      <c r="AV4" s="739" t="str">
        <f>'[1]Formule pour le calcul D'!BA103</f>
        <v>Coût annuel</v>
      </c>
      <c r="AW4" s="739" t="s">
        <v>48</v>
      </c>
      <c r="AX4" s="739" t="str">
        <f>'[1]Formule pour le calcul D'!BC103</f>
        <v>Achalandage annuelle</v>
      </c>
      <c r="AY4" s="739" t="s">
        <v>50</v>
      </c>
      <c r="AZ4" s="739" t="s">
        <v>51</v>
      </c>
      <c r="BA4" s="739" t="str">
        <f>'[1]Formule pour le calcul D'!BF103</f>
        <v>Um/A</v>
      </c>
      <c r="BB4" s="739" t="s">
        <v>50</v>
      </c>
      <c r="BC4" s="739" t="str">
        <f>'[1]Formule pour le calcul D'!BH103</f>
        <v>CmO</v>
      </c>
      <c r="BD4" s="739" t="s">
        <v>54</v>
      </c>
      <c r="BE4" s="1522"/>
    </row>
    <row r="5" spans="3:57" ht="21" thickTop="1" thickBot="1" x14ac:dyDescent="0.3">
      <c r="C5" s="545"/>
      <c r="AU5" s="1519"/>
      <c r="AV5" s="740" t="s">
        <v>1</v>
      </c>
      <c r="AW5" s="184"/>
      <c r="AX5" s="740"/>
      <c r="AY5" s="184"/>
      <c r="AZ5" s="184"/>
      <c r="BA5" s="184"/>
      <c r="BB5" s="184"/>
      <c r="BC5" s="184"/>
      <c r="BD5" s="184"/>
      <c r="BE5" s="1522"/>
    </row>
    <row r="6" spans="3:57" ht="27" thickTop="1" x14ac:dyDescent="0.3">
      <c r="C6" s="333" t="str">
        <f>'État des Résultats'!C6</f>
        <v>Nb de places</v>
      </c>
      <c r="E6" s="334" t="str">
        <f>'Coût d''occupation '!E6</f>
        <v>Coût / place / jour</v>
      </c>
      <c r="F6" s="741">
        <f>E14/C7/'% Occupation'!D8</f>
        <v>10.972351190476191</v>
      </c>
      <c r="G6" s="336"/>
      <c r="H6" s="334" t="str">
        <f>+E6</f>
        <v>Coût / place / jour</v>
      </c>
      <c r="I6" s="741">
        <f>H14/C7/'% Occupation'!E8</f>
        <v>10.972351190476191</v>
      </c>
      <c r="J6" s="336"/>
      <c r="K6" s="334" t="str">
        <f>+H6</f>
        <v>Coût / place / jour</v>
      </c>
      <c r="L6" s="741">
        <f>K14/C7/'% Occupation'!F8</f>
        <v>15.783571428571429</v>
      </c>
      <c r="M6" s="336"/>
      <c r="N6" s="334" t="str">
        <f>+K6</f>
        <v>Coût / place / jour</v>
      </c>
      <c r="O6" s="741">
        <f>N14/C7/'% Occupation'!G8</f>
        <v>21.361562499999998</v>
      </c>
      <c r="P6" s="338"/>
      <c r="Q6" s="742" t="str">
        <f>+N6</f>
        <v>Coût / place / jour</v>
      </c>
      <c r="R6" s="741">
        <f>Q14/C7/'% Occupation'!H8</f>
        <v>26.351910714285712</v>
      </c>
      <c r="S6" s="336"/>
      <c r="T6" s="742" t="str">
        <f>+Q6</f>
        <v>Coût / place / jour</v>
      </c>
      <c r="U6" s="741">
        <f>T14/C7/'% Occupation'!I8</f>
        <v>31.342258928571425</v>
      </c>
      <c r="V6" s="336"/>
      <c r="W6" s="742" t="str">
        <f>+T6</f>
        <v>Coût / place / jour</v>
      </c>
      <c r="X6" s="741">
        <f>W14/C7/'% Occupation'!J8</f>
        <v>37.569819047619049</v>
      </c>
      <c r="Y6" s="336"/>
      <c r="Z6" s="334" t="str">
        <f>+W6</f>
        <v>Coût / place / jour</v>
      </c>
      <c r="AA6" s="741">
        <f>Z14/C7/'% Occupation'!K8</f>
        <v>42.806238095238101</v>
      </c>
      <c r="AB6" s="336"/>
      <c r="AC6" s="334" t="str">
        <f>+Z6</f>
        <v>Coût / place / jour</v>
      </c>
      <c r="AD6" s="741">
        <f>AC14/C7/'% Occupation'!L8</f>
        <v>42.806238095238101</v>
      </c>
      <c r="AE6" s="743"/>
      <c r="AF6" s="334" t="str">
        <f>+AC6</f>
        <v>Coût / place / jour</v>
      </c>
      <c r="AG6" s="741">
        <f>AF14/C7/'% Occupation'!M8</f>
        <v>44.289520833333334</v>
      </c>
      <c r="AH6" s="336"/>
      <c r="AI6" s="334" t="str">
        <f>+AF6</f>
        <v>Coût / place / jour</v>
      </c>
      <c r="AJ6" s="741">
        <f>AI14/C7/'% Occupation'!N8</f>
        <v>44.289520833333334</v>
      </c>
      <c r="AK6" s="336"/>
      <c r="AL6" s="334" t="str">
        <f>+AI6</f>
        <v>Coût / place / jour</v>
      </c>
      <c r="AM6" s="741">
        <f>AL14/C7/'% Occupation'!O8</f>
        <v>38.940916666666666</v>
      </c>
      <c r="AN6" s="336"/>
      <c r="AO6" s="334" t="str">
        <f>+AL6</f>
        <v>Coût / place / jour</v>
      </c>
      <c r="AP6" s="741">
        <f>AO14/C7/'% Occupation'!P8</f>
        <v>40.245071428571421</v>
      </c>
      <c r="AQ6" s="336"/>
      <c r="AR6" s="339" t="str">
        <f>+E6</f>
        <v>Coût / place / jour</v>
      </c>
      <c r="AS6" s="1074">
        <f>AR14/C7/'% Occupation'!Q8</f>
        <v>31.363948534798535</v>
      </c>
      <c r="AT6" s="336"/>
      <c r="AU6" s="1519"/>
      <c r="AV6" s="744" t="str">
        <f>'[1]Formule pour le calcul D'!BA105</f>
        <v xml:space="preserve">C </v>
      </c>
      <c r="AW6" s="745"/>
      <c r="AX6" s="744" t="str">
        <f>'[1]Formule pour le calcul D'!BC105</f>
        <v>A</v>
      </c>
      <c r="AY6" s="745"/>
      <c r="AZ6" s="745"/>
      <c r="BA6" s="744" t="str">
        <f>BA4</f>
        <v>Um/A</v>
      </c>
      <c r="BB6" s="745"/>
      <c r="BC6" s="744" t="str">
        <f>BC4</f>
        <v>CmO</v>
      </c>
      <c r="BD6" s="745"/>
      <c r="BE6" s="1522"/>
    </row>
    <row r="7" spans="3:57" ht="21" x14ac:dyDescent="0.25">
      <c r="C7" s="746">
        <f>'État des Résultats'!C7</f>
        <v>30</v>
      </c>
      <c r="E7" s="747">
        <f>+E14/$AR$14</f>
        <v>2.6910738414060349E-2</v>
      </c>
      <c r="F7" s="748"/>
      <c r="G7" s="336"/>
      <c r="H7" s="747">
        <f>+H14/$AR$14</f>
        <v>2.6910738414060349E-2</v>
      </c>
      <c r="I7" s="349"/>
      <c r="J7" s="336"/>
      <c r="K7" s="747">
        <f>+K14/$AR$14</f>
        <v>3.8710715194989018E-2</v>
      </c>
      <c r="L7" s="349"/>
      <c r="M7" s="336"/>
      <c r="N7" s="747">
        <f>+N14/$AR$14</f>
        <v>5.2391270619561038E-2</v>
      </c>
      <c r="O7" s="349"/>
      <c r="P7" s="338"/>
      <c r="Q7" s="747">
        <f>+Q14/$AR$14</f>
        <v>6.4630575856735817E-2</v>
      </c>
      <c r="R7" s="349"/>
      <c r="S7" s="336"/>
      <c r="T7" s="747">
        <f>+T14/$AR$14</f>
        <v>7.6869881093910575E-2</v>
      </c>
      <c r="U7" s="349"/>
      <c r="V7" s="336"/>
      <c r="W7" s="747">
        <f>+W14/$AR$14</f>
        <v>9.2143566597796808E-2</v>
      </c>
      <c r="X7" s="349"/>
      <c r="Y7" s="336"/>
      <c r="Z7" s="747">
        <f>+Z14/$AR$14</f>
        <v>0.10498638403688788</v>
      </c>
      <c r="AA7" s="349"/>
      <c r="AB7" s="336"/>
      <c r="AC7" s="747">
        <f>+AC14/$AR$14</f>
        <v>0.10498638403688788</v>
      </c>
      <c r="AD7" s="349"/>
      <c r="AE7" s="749"/>
      <c r="AF7" s="747">
        <f>+AF14/$AR$14</f>
        <v>0.10862427650551564</v>
      </c>
      <c r="AG7" s="349"/>
      <c r="AH7" s="336"/>
      <c r="AI7" s="747">
        <f>+AI14/$AR$14</f>
        <v>0.10862427650551564</v>
      </c>
      <c r="AJ7" s="349"/>
      <c r="AK7" s="336"/>
      <c r="AL7" s="747">
        <f>+AL14/$AR$14</f>
        <v>9.5506314355848651E-2</v>
      </c>
      <c r="AM7" s="349"/>
      <c r="AN7" s="336"/>
      <c r="AO7" s="747">
        <f>+AO14/$AR$14</f>
        <v>9.8704878368230303E-2</v>
      </c>
      <c r="AP7" s="349" t="s">
        <v>151</v>
      </c>
      <c r="AQ7" s="336"/>
      <c r="AR7" s="350">
        <f>+E7+H7+K7+N7+Q7+T7+W7+Z7+AC7+AF7+AI7+AL7+AO7</f>
        <v>1</v>
      </c>
      <c r="AS7" s="1075" t="str">
        <f>AP7</f>
        <v>364 jours</v>
      </c>
      <c r="AT7" s="336"/>
      <c r="AU7" s="1519"/>
      <c r="AV7" s="773">
        <f>+AR14</f>
        <v>342494.31800000003</v>
      </c>
      <c r="AW7" s="739" t="s">
        <v>48</v>
      </c>
      <c r="AX7" s="774">
        <f>'Formule pour le calcul D'!G114</f>
        <v>54651</v>
      </c>
      <c r="AY7" s="739" t="s">
        <v>50</v>
      </c>
      <c r="AZ7" s="739" t="s">
        <v>51</v>
      </c>
      <c r="BA7" s="775">
        <f>'Formule pour le calcul D'!J114</f>
        <v>2.2692307692307692</v>
      </c>
      <c r="BB7" s="739" t="s">
        <v>50</v>
      </c>
      <c r="BC7" s="773">
        <f>AV7/AX7/BA7</f>
        <v>2.761700599396665</v>
      </c>
      <c r="BD7" s="739" t="s">
        <v>54</v>
      </c>
      <c r="BE7" s="1522"/>
    </row>
    <row r="8" spans="3:57" ht="17" thickBot="1" x14ac:dyDescent="0.25">
      <c r="C8" s="750" t="s">
        <v>318</v>
      </c>
      <c r="E8" s="751" t="str">
        <f>'% Occupation'!D5</f>
        <v>Pér.01</v>
      </c>
      <c r="F8" s="776" t="str">
        <f>'Coût d''occupation '!F8</f>
        <v>(%)</v>
      </c>
      <c r="G8" s="355"/>
      <c r="H8" s="751" t="str">
        <f>'% Occupation'!E5</f>
        <v>Pér.02</v>
      </c>
      <c r="I8" s="356" t="str">
        <f>F8</f>
        <v>(%)</v>
      </c>
      <c r="J8" s="355"/>
      <c r="K8" s="751" t="str">
        <f>'% Occupation'!F5</f>
        <v>Pér.03</v>
      </c>
      <c r="L8" s="356" t="str">
        <f>I8</f>
        <v>(%)</v>
      </c>
      <c r="M8" s="355"/>
      <c r="N8" s="751" t="str">
        <f>'% Occupation'!G5</f>
        <v>Pér.04</v>
      </c>
      <c r="O8" s="356" t="str">
        <f>L8</f>
        <v>(%)</v>
      </c>
      <c r="P8" s="359"/>
      <c r="Q8" s="751" t="str">
        <f>'% Occupation'!H5</f>
        <v>Pér.05</v>
      </c>
      <c r="R8" s="356" t="str">
        <f>O8</f>
        <v>(%)</v>
      </c>
      <c r="S8" s="355"/>
      <c r="T8" s="751" t="str">
        <f>'% Occupation'!I5</f>
        <v>Pér.06</v>
      </c>
      <c r="U8" s="356" t="str">
        <f>R8</f>
        <v>(%)</v>
      </c>
      <c r="V8" s="355"/>
      <c r="W8" s="751" t="str">
        <f>'% Occupation'!J5</f>
        <v>Pér.07</v>
      </c>
      <c r="X8" s="356" t="str">
        <f>U8</f>
        <v>(%)</v>
      </c>
      <c r="Y8" s="355"/>
      <c r="Z8" s="751" t="str">
        <f>'% Occupation'!K5</f>
        <v>Pér.08</v>
      </c>
      <c r="AA8" s="356" t="str">
        <f>X8</f>
        <v>(%)</v>
      </c>
      <c r="AB8" s="355"/>
      <c r="AC8" s="751" t="str">
        <f>'% Occupation'!L5</f>
        <v>Pér.09</v>
      </c>
      <c r="AD8" s="356" t="str">
        <f>AA8</f>
        <v>(%)</v>
      </c>
      <c r="AE8" s="752"/>
      <c r="AF8" s="751" t="str">
        <f>'% Occupation'!M5</f>
        <v>Pér.10</v>
      </c>
      <c r="AG8" s="356" t="str">
        <f>AD8</f>
        <v>(%)</v>
      </c>
      <c r="AH8" s="355"/>
      <c r="AI8" s="751" t="str">
        <f>'% Occupation'!N5</f>
        <v>Pér.11</v>
      </c>
      <c r="AJ8" s="356" t="str">
        <f>AG8</f>
        <v>(%)</v>
      </c>
      <c r="AK8" s="355"/>
      <c r="AL8" s="751" t="str">
        <f>'% Occupation'!O5</f>
        <v>Pér.12</v>
      </c>
      <c r="AM8" s="356" t="str">
        <f>AJ8</f>
        <v>(%)</v>
      </c>
      <c r="AN8" s="355"/>
      <c r="AO8" s="751" t="str">
        <f>'% Occupation'!P5</f>
        <v>Pér.13</v>
      </c>
      <c r="AP8" s="356" t="str">
        <f>AM8</f>
        <v>(%)</v>
      </c>
      <c r="AQ8" s="279"/>
      <c r="AR8" s="1076" t="str">
        <f>'% Occupation'!Q5</f>
        <v>Année</v>
      </c>
      <c r="AS8" s="362" t="str">
        <f>AP8</f>
        <v>(%)</v>
      </c>
      <c r="AU8" s="1520"/>
      <c r="AV8" s="753"/>
      <c r="AW8" s="753"/>
      <c r="AX8" s="753"/>
      <c r="AY8" s="753"/>
      <c r="AZ8" s="753"/>
      <c r="BA8" s="753"/>
      <c r="BB8" s="753"/>
      <c r="BC8" s="753"/>
      <c r="BD8" s="753"/>
      <c r="BE8" s="1523"/>
    </row>
    <row r="9" spans="3:57" ht="15" thickTop="1" thickBot="1" x14ac:dyDescent="0.2">
      <c r="C9" s="754">
        <f>+AR14/C7</f>
        <v>11416.477266666667</v>
      </c>
      <c r="E9" s="594">
        <f>'% Occupation'!D6</f>
        <v>44928</v>
      </c>
      <c r="F9" s="595" t="s">
        <v>1</v>
      </c>
      <c r="G9" s="546"/>
      <c r="H9" s="594">
        <f>'% Occupation'!E6</f>
        <v>44956</v>
      </c>
      <c r="I9" s="595" t="str">
        <f>F9</f>
        <v xml:space="preserve"> </v>
      </c>
      <c r="J9" s="576"/>
      <c r="K9" s="594">
        <f>'% Occupation'!F6</f>
        <v>44984</v>
      </c>
      <c r="L9" s="595" t="str">
        <f>I9</f>
        <v xml:space="preserve"> </v>
      </c>
      <c r="M9" s="546"/>
      <c r="N9" s="594">
        <f>'% Occupation'!G6</f>
        <v>45012</v>
      </c>
      <c r="O9" s="595" t="s">
        <v>1</v>
      </c>
      <c r="P9" s="598"/>
      <c r="Q9" s="594">
        <f>'% Occupation'!H6</f>
        <v>45040</v>
      </c>
      <c r="R9" s="595" t="s">
        <v>1</v>
      </c>
      <c r="S9" s="546"/>
      <c r="T9" s="594">
        <f>'% Occupation'!I6</f>
        <v>45068</v>
      </c>
      <c r="U9" s="595" t="s">
        <v>1</v>
      </c>
      <c r="V9" s="546"/>
      <c r="W9" s="594">
        <f>'% Occupation'!J6</f>
        <v>45096</v>
      </c>
      <c r="X9" s="595" t="s">
        <v>1</v>
      </c>
      <c r="Y9" s="546"/>
      <c r="Z9" s="594">
        <f>'% Occupation'!K6</f>
        <v>45124</v>
      </c>
      <c r="AA9" s="595" t="s">
        <v>1</v>
      </c>
      <c r="AB9" s="546"/>
      <c r="AC9" s="594">
        <f>'% Occupation'!L6</f>
        <v>45152</v>
      </c>
      <c r="AD9" s="595" t="s">
        <v>1</v>
      </c>
      <c r="AE9" s="777"/>
      <c r="AF9" s="594">
        <f>'% Occupation'!M6</f>
        <v>45180</v>
      </c>
      <c r="AG9" s="595" t="s">
        <v>1</v>
      </c>
      <c r="AH9" s="546"/>
      <c r="AI9" s="594">
        <f>'% Occupation'!N6</f>
        <v>45208</v>
      </c>
      <c r="AJ9" s="595" t="s">
        <v>1</v>
      </c>
      <c r="AK9" s="546"/>
      <c r="AL9" s="594">
        <f>'% Occupation'!O6</f>
        <v>45236</v>
      </c>
      <c r="AM9" s="595" t="s">
        <v>1</v>
      </c>
      <c r="AN9" s="546"/>
      <c r="AO9" s="594">
        <f>'% Occupation'!P6</f>
        <v>45264</v>
      </c>
      <c r="AP9" s="595" t="s">
        <v>1</v>
      </c>
      <c r="AQ9" s="366"/>
      <c r="AR9" s="367" t="str">
        <f>'% Occupation'!Q6</f>
        <v>Total</v>
      </c>
      <c r="AS9" s="1077" t="s">
        <v>1</v>
      </c>
    </row>
    <row r="10" spans="3:57" ht="20" customHeight="1" thickTop="1" x14ac:dyDescent="0.15">
      <c r="C10" s="369" t="str">
        <f>'État des Résultats'!C16</f>
        <v>Coût des produits vendus</v>
      </c>
      <c r="E10" s="370"/>
      <c r="F10" s="371"/>
      <c r="H10" s="370"/>
      <c r="I10" s="371"/>
      <c r="K10" s="370"/>
      <c r="L10" s="371"/>
      <c r="N10" s="370"/>
      <c r="O10" s="371"/>
      <c r="P10" s="372"/>
      <c r="Q10" s="370"/>
      <c r="R10" s="371"/>
      <c r="T10" s="370"/>
      <c r="U10" s="371"/>
      <c r="W10" s="370"/>
      <c r="X10" s="371"/>
      <c r="Z10" s="370"/>
      <c r="AA10" s="371"/>
      <c r="AC10" s="370"/>
      <c r="AD10" s="371"/>
      <c r="AF10" s="370"/>
      <c r="AG10" s="371"/>
      <c r="AI10" s="370"/>
      <c r="AJ10" s="371"/>
      <c r="AL10" s="370"/>
      <c r="AM10" s="371"/>
      <c r="AO10" s="370"/>
      <c r="AP10" s="371"/>
      <c r="AR10" s="1028"/>
      <c r="AS10" s="1029"/>
    </row>
    <row r="11" spans="3:57" x14ac:dyDescent="0.15">
      <c r="C11" s="373" t="s">
        <v>323</v>
      </c>
      <c r="E11" s="755">
        <f>+F11*'État des Résultats'!E11</f>
        <v>2348.4416666666666</v>
      </c>
      <c r="F11" s="1259">
        <f>'Calcul CmO et PmO'!G21</f>
        <v>0.30761245674740478</v>
      </c>
      <c r="G11" s="396"/>
      <c r="H11" s="755">
        <f>'Formule pour le calcul D'!Q18*'Calcul CmO et PmO'!G64</f>
        <v>2348.4416666666666</v>
      </c>
      <c r="I11" s="1259">
        <f>+'Calcul CmO et PmO'!G64</f>
        <v>0.30761245674740478</v>
      </c>
      <c r="K11" s="755">
        <f>'Formule pour le calcul D'!Q26*'Calcul CmO et PmO'!G107</f>
        <v>3378.2</v>
      </c>
      <c r="L11" s="1259">
        <f>+'Calcul CmO et PmO'!G107</f>
        <v>0.30761245674740478</v>
      </c>
      <c r="N11" s="755">
        <f>'Formule pour le calcul D'!Q34*'Calcul CmO et PmO'!G150</f>
        <v>4628.3562499999998</v>
      </c>
      <c r="O11" s="1259">
        <f>+'Calcul CmO et PmO'!G150</f>
        <v>0.30761245674740478</v>
      </c>
      <c r="P11" s="372"/>
      <c r="Q11" s="755">
        <f>'Formule pour le calcul D'!Q42*'Calcul CmO et PmO'!G193</f>
        <v>5709.6025000000009</v>
      </c>
      <c r="R11" s="1259">
        <f>+'Calcul CmO et PmO'!G193</f>
        <v>0.30761245674740478</v>
      </c>
      <c r="T11" s="755">
        <f>'Formule pour le calcul D'!Q50*'Calcul CmO et PmO'!G236</f>
        <v>6790.8487499999992</v>
      </c>
      <c r="U11" s="1259">
        <f>+'Calcul CmO et PmO'!G236</f>
        <v>0.30761245674740478</v>
      </c>
      <c r="W11" s="755">
        <f>'Formule pour le calcul D'!Q58*'Calcul CmO et PmO'!G279</f>
        <v>8232.2881666666672</v>
      </c>
      <c r="X11" s="1259">
        <f>+'Calcul CmO et PmO'!G279</f>
        <v>0.30761245674740478</v>
      </c>
      <c r="Z11" s="755">
        <f>'Formule pour le calcul D'!Q66*'Calcul CmO et PmO'!G322</f>
        <v>9379.690833333334</v>
      </c>
      <c r="AA11" s="1259">
        <f>+'Calcul CmO et PmO'!G322</f>
        <v>0.30761245674740478</v>
      </c>
      <c r="AC11" s="755">
        <f>'Formule pour le calcul D'!Q74*'Calcul CmO et PmO'!G365</f>
        <v>9379.690833333334</v>
      </c>
      <c r="AD11" s="1259">
        <f>+'Calcul CmO et PmO'!G365</f>
        <v>0.30761245674740478</v>
      </c>
      <c r="AF11" s="755">
        <f>'Formule pour le calcul D'!Q82*'Calcul CmO et PmO'!G408</f>
        <v>9806.0404166666649</v>
      </c>
      <c r="AG11" s="1259">
        <f>+'Calcul CmO et PmO'!G408</f>
        <v>0.30761245674740478</v>
      </c>
      <c r="AI11" s="755">
        <f>'Formule pour le calcul D'!Q90*'Calcul CmO et PmO'!G451</f>
        <v>9806.0404166666649</v>
      </c>
      <c r="AJ11" s="1259">
        <f>+'Calcul CmO et PmO'!G451</f>
        <v>0.30761245674740478</v>
      </c>
      <c r="AL11" s="755">
        <f>'Formule pour le calcul D'!Q98*'Calcul CmO et PmO'!G494</f>
        <v>8621.8183333333327</v>
      </c>
      <c r="AM11" s="1259">
        <f>+'Calcul CmO et PmO'!G494</f>
        <v>0.30761245674740478</v>
      </c>
      <c r="AO11" s="755">
        <f>'Formule pour le calcul D'!Q106*'Calcul CmO et PmO'!G537</f>
        <v>8996.6799999999985</v>
      </c>
      <c r="AP11" s="1259">
        <f>+'Calcul CmO et PmO'!G537</f>
        <v>0.30761245674740478</v>
      </c>
      <c r="AR11" s="1030">
        <f>+$AO11+$AL11+$AI11+$AF11+$AC11+$Z11+$W11+$T11+$Q11+$N11+$K11+$H11+$E11</f>
        <v>89426.13983333332</v>
      </c>
      <c r="AS11" s="1031">
        <f>AR11/'État des Résultats'!AR$14</f>
        <v>8.6955799059697525E-2</v>
      </c>
    </row>
    <row r="12" spans="3:57" x14ac:dyDescent="0.15">
      <c r="C12" s="373" t="s">
        <v>324</v>
      </c>
      <c r="E12" s="755">
        <f>+F12*'État des Résultats'!E12</f>
        <v>4514.6083333333336</v>
      </c>
      <c r="F12" s="1259">
        <f>'Calcul CmO et PmO'!G36</f>
        <v>0.29877622377622376</v>
      </c>
      <c r="H12" s="755">
        <f>'Formule pour le calcul D'!AC18*'Calcul CmO et PmO'!G79</f>
        <v>4514.6083333333336</v>
      </c>
      <c r="I12" s="1259">
        <f>+'Calcul CmO et PmO'!G79</f>
        <v>0.29877622377622376</v>
      </c>
      <c r="K12" s="755">
        <f>'Formule pour le calcul D'!AC26*'Calcul CmO et PmO'!G122</f>
        <v>6494.2</v>
      </c>
      <c r="L12" s="1259">
        <f>+'Calcul CmO et PmO'!G122</f>
        <v>0.29877622377622376</v>
      </c>
      <c r="N12" s="755">
        <f>'Formule pour le calcul D'!AC34*'Calcul CmO et PmO'!G165</f>
        <v>8897.4812499999989</v>
      </c>
      <c r="O12" s="1259">
        <f>+'Calcul CmO et PmO'!G165</f>
        <v>0.29877622377622376</v>
      </c>
      <c r="P12" s="372"/>
      <c r="Q12" s="755">
        <f>'Formule pour le calcul D'!AC42*'Calcul CmO et PmO'!G208</f>
        <v>10976.052499999998</v>
      </c>
      <c r="R12" s="1259">
        <f>+'Calcul CmO et PmO'!G208</f>
        <v>0.29877622377622376</v>
      </c>
      <c r="T12" s="755">
        <f>'Formule pour le calcul D'!AC50*'Calcul CmO et PmO'!G251</f>
        <v>13054.623749999999</v>
      </c>
      <c r="U12" s="1259">
        <f>+'Calcul CmO et PmO'!G251</f>
        <v>0.29877622377622376</v>
      </c>
      <c r="W12" s="755">
        <f>'Formule pour le calcul D'!AC58*'Calcul CmO et PmO'!G294</f>
        <v>15825.624833333335</v>
      </c>
      <c r="X12" s="1259">
        <f>+'Calcul CmO et PmO'!G294</f>
        <v>0.29877622377622376</v>
      </c>
      <c r="Z12" s="755">
        <f>'Formule pour le calcul D'!AC66*'Calcul CmO et PmO'!G337</f>
        <v>18031.374166666668</v>
      </c>
      <c r="AA12" s="1259">
        <f>+'Calcul CmO et PmO'!G337</f>
        <v>0.29877622377622376</v>
      </c>
      <c r="AC12" s="755">
        <f>'Formule pour le calcul D'!AC74*'Calcul CmO et PmO'!G380</f>
        <v>18031.374166666668</v>
      </c>
      <c r="AD12" s="1259">
        <f>+'Calcul CmO et PmO'!G380</f>
        <v>0.29877622377622376</v>
      </c>
      <c r="AF12" s="755">
        <f>'Formule pour le calcul D'!AC82*'Calcul CmO et PmO'!G423</f>
        <v>18850.982083333332</v>
      </c>
      <c r="AG12" s="1259">
        <f>+'Calcul CmO et PmO'!G423</f>
        <v>0.29877622377622376</v>
      </c>
      <c r="AI12" s="755">
        <f>'Formule pour le calcul D'!AC90*'Calcul CmO et PmO'!G466</f>
        <v>18850.982083333332</v>
      </c>
      <c r="AJ12" s="1259">
        <f>+'Calcul CmO et PmO'!G466</f>
        <v>0.29877622377622376</v>
      </c>
      <c r="AL12" s="755">
        <f>'Formule pour le calcul D'!AC98*'Calcul CmO et PmO'!G509</f>
        <v>16574.451666666664</v>
      </c>
      <c r="AM12" s="1259">
        <f>+'Calcul CmO et PmO'!G509</f>
        <v>0.29877622377622376</v>
      </c>
      <c r="AO12" s="755">
        <f>'Formule pour le calcul D'!AC106*'Calcul CmO et PmO'!G552</f>
        <v>17295.079999999998</v>
      </c>
      <c r="AP12" s="1259">
        <f>AO12/'État des Résultats'!AO$14</f>
        <v>0.16929172857850419</v>
      </c>
      <c r="AR12" s="1030">
        <f>+$AO12+$AL12+$AI12+$AF12+$AC12+$Z12+$W12+$T12+$Q12+$N12+$K12+$H12+$E12</f>
        <v>171911.44316666669</v>
      </c>
      <c r="AS12" s="1031">
        <f>AR12/'État des Résultats'!AR$14</f>
        <v>0.16716249785491916</v>
      </c>
    </row>
    <row r="13" spans="3:57" ht="14" thickBot="1" x14ac:dyDescent="0.2">
      <c r="C13" s="373" t="s">
        <v>326</v>
      </c>
      <c r="E13" s="755">
        <f>+F13*'État des Résultats'!E13</f>
        <v>2353.7250000000004</v>
      </c>
      <c r="F13" s="1259">
        <f>'Calcul CmO, PmO, Etc.'!F21</f>
        <v>0.5</v>
      </c>
      <c r="H13" s="755">
        <f>'Formule pour le calcul D'!AO18*'Calcul CmO, PmO, Etc.'!F21</f>
        <v>2353.7250000000004</v>
      </c>
      <c r="I13" s="1259">
        <f>+'Calcul CmO, PmO, Etc.'!F21</f>
        <v>0.5</v>
      </c>
      <c r="K13" s="755">
        <f>'Formule pour le calcul D'!AO26*'Calcul CmO, PmO, Etc.'!F21</f>
        <v>3385.8</v>
      </c>
      <c r="L13" s="1259">
        <f>+'Calcul CmO, PmO, Etc.'!F21</f>
        <v>0.5</v>
      </c>
      <c r="N13" s="755">
        <f>'Formule pour le calcul D'!AO34*'Calcul CmO, PmO, Etc.'!F21</f>
        <v>4417.875</v>
      </c>
      <c r="O13" s="1259">
        <f>+'Calcul CmO, PmO, Etc.'!F21</f>
        <v>0.5</v>
      </c>
      <c r="P13" s="372"/>
      <c r="Q13" s="755">
        <f>'Formule pour le calcul D'!AO42*'Calcul CmO, PmO, Etc.'!F21</f>
        <v>5449.9500000000007</v>
      </c>
      <c r="R13" s="1259">
        <f>+'Calcul CmO, PmO, Etc.'!F21</f>
        <v>0.5</v>
      </c>
      <c r="T13" s="755">
        <f>'Formule pour le calcul D'!AO50*'Calcul CmO, PmO, Etc.'!F21</f>
        <v>6482.0250000000005</v>
      </c>
      <c r="U13" s="1259">
        <f>+'Calcul CmO, PmO, Etc.'!F21</f>
        <v>0.5</v>
      </c>
      <c r="W13" s="755">
        <f>'Formule pour le calcul D'!AO58*'Calcul CmO, PmO, Etc.'!F21</f>
        <v>7500.7350000000006</v>
      </c>
      <c r="X13" s="1259">
        <f>+'Calcul CmO, PmO, Etc.'!F21</f>
        <v>0.5</v>
      </c>
      <c r="Z13" s="755">
        <f>'Formule pour le calcul D'!AO66*'Calcul CmO, PmO, Etc.'!F21</f>
        <v>8546.1750000000011</v>
      </c>
      <c r="AA13" s="1259">
        <f>+'Calcul CmO, PmO, Etc.'!F21</f>
        <v>0.5</v>
      </c>
      <c r="AC13" s="755">
        <f>'Formule pour le calcul D'!AO74*'Calcul CmO, PmO, Etc.'!F21</f>
        <v>8546.1750000000011</v>
      </c>
      <c r="AD13" s="1259">
        <f>+'Calcul CmO, PmO, Etc.'!F21</f>
        <v>0.5</v>
      </c>
      <c r="AF13" s="755">
        <f>'Formule pour le calcul D'!AO82*'Calcul CmO, PmO, Etc.'!F21</f>
        <v>8546.1750000000011</v>
      </c>
      <c r="AG13" s="1259">
        <f>+'Calcul CmO, PmO, Etc.'!F21</f>
        <v>0.5</v>
      </c>
      <c r="AI13" s="755">
        <f>'Formule pour le calcul D'!AO90*'Calcul CmO, PmO, Etc.'!F21</f>
        <v>8546.1750000000011</v>
      </c>
      <c r="AJ13" s="1259">
        <f>+'Calcul CmO, PmO, Etc.'!F21</f>
        <v>0.5</v>
      </c>
      <c r="AL13" s="755">
        <f>'Formule pour le calcul D'!AO98*'Calcul CmO, PmO, Etc.'!F21</f>
        <v>7514.1</v>
      </c>
      <c r="AM13" s="1259">
        <f>+'Calcul CmO, PmO, Etc.'!F21</f>
        <v>0.5</v>
      </c>
      <c r="AO13" s="755">
        <f>'Formule pour le calcul D'!AO106*'Calcul CmO, PmO, Etc.'!F21</f>
        <v>7514.1</v>
      </c>
      <c r="AP13" s="1259">
        <f>+'Calcul CmO, PmO, Etc.'!F21</f>
        <v>0.5</v>
      </c>
      <c r="AR13" s="1030">
        <f>+$AO13+$AL13+$AI13+$AF13+$AC13+$Z13+$W13+$T13+$Q13+$N13+$K13+$H13+$E13</f>
        <v>81156.73500000003</v>
      </c>
      <c r="AS13" s="1031">
        <f>AR13/'État des Résultats'!AR$14</f>
        <v>7.8914831325086796E-2</v>
      </c>
    </row>
    <row r="14" spans="3:57" ht="20" customHeight="1" thickTop="1" thickBot="1" x14ac:dyDescent="0.25">
      <c r="C14" s="756" t="str">
        <f>'État des Résultats'!C16</f>
        <v>Coût des produits vendus</v>
      </c>
      <c r="D14" s="757"/>
      <c r="E14" s="758">
        <f>+SUM(E11:E13)</f>
        <v>9216.7750000000015</v>
      </c>
      <c r="F14" s="759">
        <f>E14/'État des Résultats'!E14</f>
        <v>0.33573903002309474</v>
      </c>
      <c r="G14" s="760"/>
      <c r="H14" s="758">
        <f>+SUM(H11:H13)</f>
        <v>9216.7750000000015</v>
      </c>
      <c r="I14" s="759">
        <f>H14/'État des Résultats'!H14</f>
        <v>0.33573903002309474</v>
      </c>
      <c r="J14" s="761"/>
      <c r="K14" s="758">
        <f>+SUM(K11:K13)</f>
        <v>13258.2</v>
      </c>
      <c r="L14" s="759">
        <f>K14/'État des Résultats'!K14</f>
        <v>0.33573903002309474</v>
      </c>
      <c r="M14" s="761"/>
      <c r="N14" s="758">
        <f>+SUM(N11:N13)</f>
        <v>17943.712499999998</v>
      </c>
      <c r="O14" s="759">
        <f>N14/'État des Résultats'!N14</f>
        <v>0.33438669438669433</v>
      </c>
      <c r="P14" s="760"/>
      <c r="Q14" s="758">
        <f>+SUM(Q11:Q13)</f>
        <v>22135.605</v>
      </c>
      <c r="R14" s="759">
        <f>Q14/'État des Résultats'!Q14</f>
        <v>0.33438669438669438</v>
      </c>
      <c r="S14" s="761"/>
      <c r="T14" s="758">
        <f>+SUM(T11:T13)</f>
        <v>26327.497499999998</v>
      </c>
      <c r="U14" s="759">
        <f>T14/'État des Résultats'!T14</f>
        <v>0.33438669438669427</v>
      </c>
      <c r="V14" s="761"/>
      <c r="W14" s="758">
        <f>+SUM(W11:W13)</f>
        <v>31558.648000000001</v>
      </c>
      <c r="X14" s="759">
        <f>W14/'État des Résultats'!W14</f>
        <v>0.3331378299120234</v>
      </c>
      <c r="Y14" s="761"/>
      <c r="Z14" s="758">
        <f>+SUM(Z11:Z13)</f>
        <v>35957.240000000005</v>
      </c>
      <c r="AA14" s="759">
        <f>Z14/'État des Résultats'!Z14</f>
        <v>0.33313782991202345</v>
      </c>
      <c r="AB14" s="761"/>
      <c r="AC14" s="758">
        <f>+SUM(AC11:AC13)</f>
        <v>35957.240000000005</v>
      </c>
      <c r="AD14" s="759">
        <f>AC14/'État des Résultats'!AC14</f>
        <v>0.33313782991202345</v>
      </c>
      <c r="AE14" s="761"/>
      <c r="AF14" s="758">
        <f>+SUM(AF11:AF13)</f>
        <v>37203.197500000002</v>
      </c>
      <c r="AG14" s="759">
        <f>AF14/'État des Résultats'!AF14</f>
        <v>0.33198099884452437</v>
      </c>
      <c r="AH14" s="761"/>
      <c r="AI14" s="758">
        <f>+SUM(AI11:AI13)</f>
        <v>37203.197500000002</v>
      </c>
      <c r="AJ14" s="759">
        <f>AI14/'État des Résultats'!AI14</f>
        <v>0.33198099884452437</v>
      </c>
      <c r="AK14" s="761"/>
      <c r="AL14" s="758">
        <f>+SUM(AL11:AL13)</f>
        <v>32710.369999999995</v>
      </c>
      <c r="AM14" s="759">
        <f>AL14/'État des Résultats'!AL14</f>
        <v>0.33198099884452431</v>
      </c>
      <c r="AN14" s="761"/>
      <c r="AO14" s="758">
        <f>+SUM(AO11:AO13)</f>
        <v>33805.859999999993</v>
      </c>
      <c r="AP14" s="759">
        <f>AO14/'État des Résultats'!AO14</f>
        <v>0.33090638930163441</v>
      </c>
      <c r="AQ14" s="761"/>
      <c r="AR14" s="762">
        <f>SUM(AR11:AR13)</f>
        <v>342494.31800000003</v>
      </c>
      <c r="AS14" s="759">
        <f>+SUM(AS11:AS13)</f>
        <v>0.33303312823970349</v>
      </c>
      <c r="AT14" s="757"/>
      <c r="AU14" s="377"/>
      <c r="AV14" s="377"/>
      <c r="AW14" s="377"/>
      <c r="AX14" s="377"/>
    </row>
    <row r="15" spans="3:57" x14ac:dyDescent="0.15">
      <c r="C15" s="763"/>
      <c r="E15" s="764"/>
      <c r="F15" s="371"/>
      <c r="H15" s="764"/>
      <c r="I15" s="371"/>
      <c r="K15" s="764"/>
      <c r="L15" s="371"/>
      <c r="N15" s="764"/>
      <c r="O15" s="371"/>
      <c r="P15" s="372"/>
      <c r="Q15" s="764"/>
      <c r="R15" s="371"/>
      <c r="T15" s="764"/>
      <c r="U15" s="371"/>
      <c r="W15" s="764"/>
      <c r="X15" s="371"/>
      <c r="Z15" s="764"/>
      <c r="AA15" s="371"/>
      <c r="AC15" s="764"/>
      <c r="AD15" s="371"/>
      <c r="AF15" s="764"/>
      <c r="AG15" s="371"/>
      <c r="AI15" s="764"/>
      <c r="AJ15" s="371"/>
      <c r="AL15" s="764">
        <f>+'Calcul CmO et PmO'!G552</f>
        <v>0.29877622377622376</v>
      </c>
      <c r="AM15" s="371"/>
      <c r="AO15" s="764"/>
      <c r="AP15" s="371"/>
      <c r="AR15" s="1030"/>
      <c r="AS15" s="1029"/>
    </row>
    <row r="16" spans="3:57" ht="15" customHeight="1" x14ac:dyDescent="0.15">
      <c r="C16" s="765" t="str">
        <f>C10</f>
        <v>Coût des produits vendus</v>
      </c>
      <c r="D16" s="766"/>
      <c r="E16" s="767">
        <f>E14</f>
        <v>9216.7750000000015</v>
      </c>
      <c r="F16" s="768">
        <f>F14</f>
        <v>0.33573903002309474</v>
      </c>
      <c r="G16" s="766"/>
      <c r="H16" s="767">
        <f>H14</f>
        <v>9216.7750000000015</v>
      </c>
      <c r="I16" s="768">
        <f>I14</f>
        <v>0.33573903002309474</v>
      </c>
      <c r="J16" s="766"/>
      <c r="K16" s="767">
        <f>K14</f>
        <v>13258.2</v>
      </c>
      <c r="L16" s="768">
        <f>L14</f>
        <v>0.33573903002309474</v>
      </c>
      <c r="M16" s="766"/>
      <c r="N16" s="767">
        <f>N14</f>
        <v>17943.712499999998</v>
      </c>
      <c r="O16" s="768">
        <f>O14</f>
        <v>0.33438669438669433</v>
      </c>
      <c r="P16" s="769"/>
      <c r="Q16" s="767">
        <f>Q14</f>
        <v>22135.605</v>
      </c>
      <c r="R16" s="768">
        <f>R14</f>
        <v>0.33438669438669438</v>
      </c>
      <c r="S16" s="766"/>
      <c r="T16" s="767">
        <f>T14</f>
        <v>26327.497499999998</v>
      </c>
      <c r="U16" s="768">
        <f>U14</f>
        <v>0.33438669438669427</v>
      </c>
      <c r="V16" s="766"/>
      <c r="W16" s="767">
        <f>W14</f>
        <v>31558.648000000001</v>
      </c>
      <c r="X16" s="768">
        <f>X14</f>
        <v>0.3331378299120234</v>
      </c>
      <c r="Y16" s="766"/>
      <c r="Z16" s="767">
        <f>Z14</f>
        <v>35957.240000000005</v>
      </c>
      <c r="AA16" s="768">
        <f>AA14</f>
        <v>0.33313782991202345</v>
      </c>
      <c r="AB16" s="766"/>
      <c r="AC16" s="767">
        <f>AC14</f>
        <v>35957.240000000005</v>
      </c>
      <c r="AD16" s="768">
        <f>AD14</f>
        <v>0.33313782991202345</v>
      </c>
      <c r="AE16" s="766"/>
      <c r="AF16" s="767">
        <f>AF14</f>
        <v>37203.197500000002</v>
      </c>
      <c r="AG16" s="768">
        <f>AG14</f>
        <v>0.33198099884452437</v>
      </c>
      <c r="AH16" s="766"/>
      <c r="AI16" s="767">
        <f>AI14</f>
        <v>37203.197500000002</v>
      </c>
      <c r="AJ16" s="768">
        <f>AJ14</f>
        <v>0.33198099884452437</v>
      </c>
      <c r="AK16" s="766"/>
      <c r="AL16" s="767">
        <f>AL14</f>
        <v>32710.369999999995</v>
      </c>
      <c r="AM16" s="768">
        <f>AM14</f>
        <v>0.33198099884452431</v>
      </c>
      <c r="AN16" s="766"/>
      <c r="AO16" s="767">
        <f>AO14</f>
        <v>33805.859999999993</v>
      </c>
      <c r="AP16" s="768">
        <f>AP14</f>
        <v>0.33090638930163441</v>
      </c>
      <c r="AQ16" s="766"/>
      <c r="AR16" s="1032">
        <f>+$AO16+$AL16+$AI16+$AF16+$AC16+$Z16+$W16+$T16+$Q16+$N16+$K16+$H16+$E16</f>
        <v>342494.31800000003</v>
      </c>
      <c r="AS16" s="1033">
        <f>+AR16/'[1]État des Résultats'!AR14</f>
        <v>0.32478446449498211</v>
      </c>
    </row>
    <row r="17" spans="3:53" x14ac:dyDescent="0.15">
      <c r="C17" s="373"/>
      <c r="E17" s="764"/>
      <c r="F17" s="371"/>
      <c r="H17" s="764"/>
      <c r="I17" s="371"/>
      <c r="K17" s="764"/>
      <c r="L17" s="371"/>
      <c r="N17" s="764"/>
      <c r="O17" s="371"/>
      <c r="P17" s="372"/>
      <c r="Q17" s="764"/>
      <c r="R17" s="371"/>
      <c r="T17" s="764"/>
      <c r="U17" s="371"/>
      <c r="W17" s="764"/>
      <c r="X17" s="371"/>
      <c r="Z17" s="764"/>
      <c r="AA17" s="371"/>
      <c r="AC17" s="764"/>
      <c r="AD17" s="371"/>
      <c r="AF17" s="764"/>
      <c r="AG17" s="371"/>
      <c r="AI17" s="764"/>
      <c r="AJ17" s="371"/>
      <c r="AL17" s="764"/>
      <c r="AM17" s="371"/>
      <c r="AO17" s="764"/>
      <c r="AP17" s="371"/>
      <c r="AR17" s="1030"/>
      <c r="AS17" s="1029"/>
    </row>
    <row r="18" spans="3:53" ht="15" customHeight="1" x14ac:dyDescent="0.15">
      <c r="C18" s="770" t="s">
        <v>319</v>
      </c>
      <c r="E18" s="764">
        <f>+SUM(E11:E12)</f>
        <v>6863.05</v>
      </c>
      <c r="F18" s="371">
        <f>E18/('État des Résultats'!E11+'État des Résultats'!E12)</f>
        <v>0.30174216027874567</v>
      </c>
      <c r="H18" s="764">
        <f>SUM(H11:H12)</f>
        <v>6863.05</v>
      </c>
      <c r="I18" s="371">
        <f>H18/('État des Résultats'!H11+'État des Résultats'!H12)</f>
        <v>0.30174216027874567</v>
      </c>
      <c r="K18" s="764">
        <f>SUM(K11:K12)</f>
        <v>9872.4</v>
      </c>
      <c r="L18" s="371">
        <f>K18/('État des Résultats'!K11+'État des Résultats'!K12)</f>
        <v>0.30174216027874562</v>
      </c>
      <c r="N18" s="764">
        <f>SUM(N11:N12)</f>
        <v>13525.837499999998</v>
      </c>
      <c r="O18" s="371">
        <f>N18/('État des Résultats'!N11+'État des Résultats'!N12)</f>
        <v>0.30174216027874562</v>
      </c>
      <c r="P18" s="372"/>
      <c r="Q18" s="764">
        <f>SUM(Q11:Q12)</f>
        <v>16685.654999999999</v>
      </c>
      <c r="R18" s="371">
        <f>Q18/('État des Résultats'!Q11+'État des Résultats'!Q12)</f>
        <v>0.30174216027874562</v>
      </c>
      <c r="T18" s="764">
        <f>SUM(T11:T12)</f>
        <v>19845.472499999996</v>
      </c>
      <c r="U18" s="371">
        <f>T18/('État des Résultats'!T11+'État des Résultats'!T12)</f>
        <v>0.30174216027874551</v>
      </c>
      <c r="W18" s="764">
        <f>SUM(W11:W12)</f>
        <v>24057.913</v>
      </c>
      <c r="X18" s="371">
        <f>W18/('État des Résultats'!W11+'État des Résultats'!W12)</f>
        <v>0.30174216027874556</v>
      </c>
      <c r="Z18" s="764">
        <f>SUM(Z11:Z12)</f>
        <v>27411.065000000002</v>
      </c>
      <c r="AA18" s="371">
        <f>Z18/('État des Résultats'!Z11+'État des Résultats'!Z12)</f>
        <v>0.30174216027874562</v>
      </c>
      <c r="AC18" s="764">
        <f>SUM(AC11:AC12)</f>
        <v>27411.065000000002</v>
      </c>
      <c r="AD18" s="371">
        <f>AC18/('État des Résultats'!AC11+'État des Résultats'!AC12)</f>
        <v>0.30174216027874562</v>
      </c>
      <c r="AF18" s="764">
        <f>SUM(AF11:AF12)</f>
        <v>28657.022499999999</v>
      </c>
      <c r="AG18" s="371">
        <f>AF18/('État des Résultats'!AF11+'État des Résultats'!AF12)</f>
        <v>0.30174216027874562</v>
      </c>
      <c r="AI18" s="764">
        <f>SUM(AI11:AI12)</f>
        <v>28657.022499999999</v>
      </c>
      <c r="AJ18" s="371">
        <f>AI18/('État des Résultats'!AI11+'État des Résultats'!AI12)</f>
        <v>0.30174216027874562</v>
      </c>
      <c r="AL18" s="764">
        <f>SUM(AL11:AL12)</f>
        <v>25196.269999999997</v>
      </c>
      <c r="AM18" s="371">
        <f>AL18/('État des Résultats'!AL11+'État des Résultats'!AL12)</f>
        <v>0.30174216027874562</v>
      </c>
      <c r="AO18" s="764">
        <f>SUM(AO11:AO12)</f>
        <v>26291.759999999995</v>
      </c>
      <c r="AP18" s="371">
        <f>AO18/('État des Résultats'!AO11+'État des Résultats'!AO12)</f>
        <v>0.30174216027874562</v>
      </c>
      <c r="AR18" s="1030">
        <f>+$AO18+$AL18+$AI18+$AF18+$AC18+$Z18+$W18+$T18+$Q18+$N18+$K18+$H18+$E18</f>
        <v>261337.58299999996</v>
      </c>
      <c r="AS18" s="1029">
        <f>AR18/('État des Résultats'!AR11+'État des Résultats'!AR12)</f>
        <v>0.30174216027874556</v>
      </c>
    </row>
    <row r="19" spans="3:53" ht="15" customHeight="1" x14ac:dyDescent="0.15">
      <c r="C19" s="373" t="s">
        <v>320</v>
      </c>
      <c r="E19" s="764">
        <f>+E11</f>
        <v>2348.4416666666666</v>
      </c>
      <c r="F19" s="371">
        <f>E19/'État des Résultats'!E11</f>
        <v>0.30761245674740478</v>
      </c>
      <c r="H19" s="764">
        <f>+H11</f>
        <v>2348.4416666666666</v>
      </c>
      <c r="I19" s="371">
        <f>H19/'État des Résultats'!H11</f>
        <v>0.30761245674740478</v>
      </c>
      <c r="K19" s="764">
        <f>+K11</f>
        <v>3378.2</v>
      </c>
      <c r="L19" s="371">
        <f>K19/'État des Résultats'!K11</f>
        <v>0.30761245674740478</v>
      </c>
      <c r="N19" s="764">
        <f>+N11</f>
        <v>4628.3562499999998</v>
      </c>
      <c r="O19" s="371">
        <f>N19/'État des Résultats'!N11</f>
        <v>0.30761245674740478</v>
      </c>
      <c r="P19" s="372"/>
      <c r="Q19" s="764">
        <f>+Q11</f>
        <v>5709.6025000000009</v>
      </c>
      <c r="R19" s="371">
        <f>Q19/'État des Résultats'!Q11</f>
        <v>0.30761245674740478</v>
      </c>
      <c r="T19" s="764">
        <f>+T11</f>
        <v>6790.8487499999992</v>
      </c>
      <c r="U19" s="371">
        <f>T19/'État des Résultats'!T11</f>
        <v>0.30761245674740478</v>
      </c>
      <c r="W19" s="764">
        <f>+W11</f>
        <v>8232.2881666666672</v>
      </c>
      <c r="X19" s="371">
        <f>W19/'État des Résultats'!W11</f>
        <v>0.30761245674740478</v>
      </c>
      <c r="Z19" s="764">
        <f>+Z11</f>
        <v>9379.690833333334</v>
      </c>
      <c r="AA19" s="371">
        <f>Z19/'État des Résultats'!Z11</f>
        <v>0.30761245674740478</v>
      </c>
      <c r="AC19" s="764">
        <f>+AC11</f>
        <v>9379.690833333334</v>
      </c>
      <c r="AD19" s="371">
        <f>AC19/'État des Résultats'!AC11</f>
        <v>0.30761245674740478</v>
      </c>
      <c r="AF19" s="764">
        <f>+AF11</f>
        <v>9806.0404166666649</v>
      </c>
      <c r="AG19" s="371">
        <f>AF19/'État des Résultats'!AF11</f>
        <v>0.30761245674740478</v>
      </c>
      <c r="AI19" s="764">
        <f>+AI11</f>
        <v>9806.0404166666649</v>
      </c>
      <c r="AJ19" s="371">
        <f>AI19/'État des Résultats'!AI11</f>
        <v>0.30761245674740478</v>
      </c>
      <c r="AL19" s="764">
        <f>+AL11</f>
        <v>8621.8183333333327</v>
      </c>
      <c r="AM19" s="371">
        <f>AL19/'État des Résultats'!AL11</f>
        <v>0.30761245674740484</v>
      </c>
      <c r="AO19" s="764">
        <f>+AO11</f>
        <v>8996.6799999999985</v>
      </c>
      <c r="AP19" s="371">
        <f>AO19/'État des Résultats'!AO11</f>
        <v>0.30761245674740478</v>
      </c>
      <c r="AR19" s="1030">
        <f>+AR11</f>
        <v>89426.13983333332</v>
      </c>
      <c r="AS19" s="1029">
        <f>AR19/'État des Résultats'!AR11</f>
        <v>0.30761245674740473</v>
      </c>
    </row>
    <row r="20" spans="3:53" ht="15" customHeight="1" x14ac:dyDescent="0.15">
      <c r="C20" s="373" t="s">
        <v>321</v>
      </c>
      <c r="D20" s="139"/>
      <c r="E20" s="764">
        <f>+E12</f>
        <v>4514.6083333333336</v>
      </c>
      <c r="F20" s="371">
        <f>E20/'État des Résultats'!E12</f>
        <v>0.29877622377622376</v>
      </c>
      <c r="H20" s="764">
        <f>+H12</f>
        <v>4514.6083333333336</v>
      </c>
      <c r="I20" s="371">
        <f>H20/'État des Résultats'!H12</f>
        <v>0.29877622377622376</v>
      </c>
      <c r="K20" s="764">
        <f>+K12</f>
        <v>6494.2</v>
      </c>
      <c r="L20" s="371">
        <f>K20/'État des Résultats'!K12</f>
        <v>0.29877622377622376</v>
      </c>
      <c r="N20" s="764">
        <f>+N12</f>
        <v>8897.4812499999989</v>
      </c>
      <c r="O20" s="371">
        <f>N20/'État des Résultats'!N12</f>
        <v>0.29877622377622376</v>
      </c>
      <c r="P20" s="372"/>
      <c r="Q20" s="764">
        <f>+Q12</f>
        <v>10976.052499999998</v>
      </c>
      <c r="R20" s="371">
        <f>Q20/'État des Résultats'!Q12</f>
        <v>0.29877622377622376</v>
      </c>
      <c r="S20" s="139"/>
      <c r="T20" s="764">
        <f>+T12</f>
        <v>13054.623749999999</v>
      </c>
      <c r="U20" s="371">
        <f>T20/'État des Résultats'!T12</f>
        <v>0.29877622377622376</v>
      </c>
      <c r="W20" s="764">
        <f>+W12</f>
        <v>15825.624833333335</v>
      </c>
      <c r="X20" s="371">
        <f>W20/'État des Résultats'!W12</f>
        <v>0.29877622377622376</v>
      </c>
      <c r="Z20" s="764">
        <f>+Z12</f>
        <v>18031.374166666668</v>
      </c>
      <c r="AA20" s="371">
        <f>Z20/'État des Résultats'!Z12</f>
        <v>0.29877622377622376</v>
      </c>
      <c r="AC20" s="764">
        <f>+AC12</f>
        <v>18031.374166666668</v>
      </c>
      <c r="AD20" s="371">
        <f>AC20/'État des Résultats'!AC12</f>
        <v>0.29877622377622376</v>
      </c>
      <c r="AF20" s="764">
        <f>+AF12</f>
        <v>18850.982083333332</v>
      </c>
      <c r="AG20" s="371">
        <f>AF20/'État des Résultats'!AF12</f>
        <v>0.29877622377622376</v>
      </c>
      <c r="AI20" s="764">
        <f>+AI12</f>
        <v>18850.982083333332</v>
      </c>
      <c r="AJ20" s="371">
        <f>AI20/'État des Résultats'!AI12</f>
        <v>0.29877622377622376</v>
      </c>
      <c r="AL20" s="764">
        <f>+AL12</f>
        <v>16574.451666666664</v>
      </c>
      <c r="AM20" s="371">
        <f>AL20/'État des Résultats'!AL12</f>
        <v>0.2987762237762237</v>
      </c>
      <c r="AO20" s="764">
        <f>+AO12</f>
        <v>17295.079999999998</v>
      </c>
      <c r="AP20" s="371">
        <f>AO20/'État des Résultats'!AO12</f>
        <v>0.29877622377622376</v>
      </c>
      <c r="AR20" s="1030">
        <f>+AR12</f>
        <v>171911.44316666669</v>
      </c>
      <c r="AS20" s="1029">
        <f>AR20/'État des Résultats'!AR12</f>
        <v>0.29877622377622376</v>
      </c>
    </row>
    <row r="21" spans="3:53" ht="14" thickBot="1" x14ac:dyDescent="0.2">
      <c r="C21" s="373"/>
      <c r="E21" s="764"/>
      <c r="F21" s="371"/>
      <c r="G21" s="139"/>
      <c r="H21" s="764"/>
      <c r="I21" s="371"/>
      <c r="J21" s="139"/>
      <c r="K21" s="764"/>
      <c r="L21" s="371"/>
      <c r="M21" s="139"/>
      <c r="N21" s="764"/>
      <c r="O21" s="371"/>
      <c r="P21" s="139"/>
      <c r="Q21" s="764"/>
      <c r="R21" s="371"/>
      <c r="S21" s="139"/>
      <c r="T21" s="764"/>
      <c r="U21" s="371"/>
      <c r="W21" s="764"/>
      <c r="X21" s="371"/>
      <c r="Z21" s="764"/>
      <c r="AA21" s="371"/>
      <c r="AC21" s="764"/>
      <c r="AD21" s="371"/>
      <c r="AF21" s="764"/>
      <c r="AG21" s="371"/>
      <c r="AI21" s="764"/>
      <c r="AJ21" s="371"/>
      <c r="AL21" s="764"/>
      <c r="AM21" s="371"/>
      <c r="AO21" s="764"/>
      <c r="AP21" s="371"/>
      <c r="AR21" s="1030"/>
      <c r="AS21" s="1029"/>
    </row>
    <row r="22" spans="3:53" ht="20" customHeight="1" thickTop="1" thickBot="1" x14ac:dyDescent="0.2">
      <c r="C22" s="778" t="s">
        <v>322</v>
      </c>
      <c r="D22" s="771"/>
      <c r="E22" s="779">
        <f>'État des Résultats'!E14-'Coût marchandises vendues'!E14</f>
        <v>18235.424999999999</v>
      </c>
      <c r="F22" s="384">
        <f>E22/'État des Résultats'!E14</f>
        <v>0.66426096997690531</v>
      </c>
      <c r="G22" s="771"/>
      <c r="H22" s="779">
        <f>'État des Résultats'!H14-'Coût marchandises vendues'!H14</f>
        <v>18235.424999999999</v>
      </c>
      <c r="I22" s="384">
        <f>H22/'État des Résultats'!H14</f>
        <v>0.66426096997690531</v>
      </c>
      <c r="J22" s="771"/>
      <c r="K22" s="779">
        <f>'État des Résultats'!K14-'Coût marchandises vendues'!K14</f>
        <v>26231.399999999998</v>
      </c>
      <c r="L22" s="384">
        <f>K22/'État des Résultats'!K14</f>
        <v>0.66426096997690531</v>
      </c>
      <c r="M22" s="771"/>
      <c r="N22" s="779">
        <f>'État des Résultats'!N14-'Coût marchandises vendues'!N14</f>
        <v>35717.850000000006</v>
      </c>
      <c r="O22" s="384">
        <f>N22/'État des Résultats'!N14</f>
        <v>0.66561330561330567</v>
      </c>
      <c r="P22" s="771"/>
      <c r="Q22" s="779">
        <f>'État des Résultats'!Q14-'Coût marchandises vendues'!Q14</f>
        <v>44062.020000000004</v>
      </c>
      <c r="R22" s="384">
        <f>Q22/'État des Résultats'!Q14</f>
        <v>0.66561330561330567</v>
      </c>
      <c r="S22" s="771"/>
      <c r="T22" s="779">
        <f>'État des Résultats'!T14-'Coût marchandises vendues'!T14</f>
        <v>52406.190000000017</v>
      </c>
      <c r="U22" s="384">
        <f>T22/'État des Résultats'!T14</f>
        <v>0.66561330561330567</v>
      </c>
      <c r="V22" s="545"/>
      <c r="W22" s="779">
        <f>'État des Résultats'!W14-'Coût marchandises vendues'!W14</f>
        <v>63172.857000000018</v>
      </c>
      <c r="X22" s="384">
        <f>W22/'État des Résultats'!W14</f>
        <v>0.66686217008797655</v>
      </c>
      <c r="Y22" s="771"/>
      <c r="Z22" s="779">
        <f>'État des Résultats'!Z14-'Coût marchandises vendues'!Z14</f>
        <v>71977.785000000018</v>
      </c>
      <c r="AA22" s="384">
        <f>Z22/'État des Résultats'!Z14</f>
        <v>0.66686217008797655</v>
      </c>
      <c r="AB22" s="771"/>
      <c r="AC22" s="779">
        <f>'État des Résultats'!AC14-'Coût marchandises vendues'!AC14</f>
        <v>71977.785000000018</v>
      </c>
      <c r="AD22" s="384">
        <f>AC22/'État des Résultats'!AC14</f>
        <v>0.66686217008797655</v>
      </c>
      <c r="AE22" s="545"/>
      <c r="AF22" s="779">
        <f>'État des Résultats'!AF14-'Coût marchandises vendues'!AF14</f>
        <v>74861.040000000008</v>
      </c>
      <c r="AG22" s="384">
        <f>AF22/'État des Résultats'!AF14</f>
        <v>0.66801900115547574</v>
      </c>
      <c r="AH22" s="545"/>
      <c r="AI22" s="779">
        <f>'État des Résultats'!AI14-'Coût marchandises vendues'!AI14</f>
        <v>74861.040000000008</v>
      </c>
      <c r="AJ22" s="384">
        <f>AI22/'État des Résultats'!AI14</f>
        <v>0.66801900115547574</v>
      </c>
      <c r="AK22" s="545"/>
      <c r="AL22" s="779">
        <f>'État des Résultats'!AL14-'Coût marchandises vendues'!AL14</f>
        <v>65820.479999999996</v>
      </c>
      <c r="AM22" s="384">
        <f>AL22/'État des Résultats'!AL14</f>
        <v>0.66801900115547563</v>
      </c>
      <c r="AN22" s="545"/>
      <c r="AO22" s="779">
        <f>'État des Résultats'!AO14-'Coût marchandises vendues'!AO14</f>
        <v>68355.540000000008</v>
      </c>
      <c r="AP22" s="384">
        <f>AO22/'État des Résultats'!AO14</f>
        <v>0.66909361069836559</v>
      </c>
      <c r="AQ22" s="545"/>
      <c r="AR22" s="779">
        <f>'État des Résultats'!AR14-'Coût marchandises vendues'!AR14</f>
        <v>685914.83699999982</v>
      </c>
      <c r="AS22" s="384">
        <f>AR22/'État des Résultats'!AR14</f>
        <v>0.66696687176029645</v>
      </c>
    </row>
    <row r="23" spans="3:53" ht="14" thickTop="1" x14ac:dyDescent="0.15">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row>
    <row r="24" spans="3:53" x14ac:dyDescent="0.15">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s="772"/>
    </row>
    <row r="25" spans="3:53" x14ac:dyDescent="0.1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s="772"/>
    </row>
    <row r="26" spans="3:53" x14ac:dyDescent="0.15">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s="772"/>
    </row>
    <row r="27" spans="3:53" x14ac:dyDescent="0.15">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s="772"/>
    </row>
    <row r="28" spans="3:53" x14ac:dyDescent="0.15">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s="772"/>
    </row>
    <row r="29" spans="3:53" x14ac:dyDescent="0.15">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s="772"/>
    </row>
    <row r="30" spans="3:53" x14ac:dyDescent="0.15">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s="772"/>
    </row>
    <row r="31" spans="3:53" x14ac:dyDescent="0.15">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s="772"/>
    </row>
    <row r="32" spans="3:53" x14ac:dyDescent="0.15">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s="772"/>
    </row>
    <row r="33" spans="3:47" x14ac:dyDescent="0.15">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s="772"/>
    </row>
    <row r="34" spans="3:47" x14ac:dyDescent="0.15">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s="772"/>
    </row>
    <row r="35" spans="3:47" x14ac:dyDescent="0.1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s="772"/>
    </row>
    <row r="36" spans="3:47" x14ac:dyDescent="0.15">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s="772"/>
    </row>
    <row r="37" spans="3:47" x14ac:dyDescent="0.15">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772"/>
    </row>
    <row r="38" spans="3:47" x14ac:dyDescent="0.15">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s="772"/>
    </row>
    <row r="39" spans="3:47" x14ac:dyDescent="0.15">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772"/>
    </row>
    <row r="40" spans="3:47" x14ac:dyDescent="0.15">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s="772"/>
    </row>
    <row r="41" spans="3:47" x14ac:dyDescent="0.15">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772"/>
    </row>
    <row r="42" spans="3:47" x14ac:dyDescent="0.15">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s="772"/>
    </row>
    <row r="43" spans="3:47" x14ac:dyDescent="0.15">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772"/>
    </row>
    <row r="44" spans="3:47" x14ac:dyDescent="0.15">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s="772"/>
    </row>
    <row r="45" spans="3:47" x14ac:dyDescent="0.1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772"/>
    </row>
    <row r="46" spans="3:47" x14ac:dyDescent="0.15">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s="772"/>
    </row>
    <row r="47" spans="3:47" x14ac:dyDescent="0.15">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772"/>
    </row>
    <row r="48" spans="3:47" x14ac:dyDescent="0.15">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s="772"/>
    </row>
    <row r="49" spans="3:47" x14ac:dyDescent="0.15">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772"/>
    </row>
    <row r="50" spans="3:47" x14ac:dyDescent="0.15">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s="772"/>
    </row>
    <row r="51" spans="3:47" x14ac:dyDescent="0.15">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772"/>
    </row>
    <row r="52" spans="3:47" x14ac:dyDescent="0.15">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s="772"/>
    </row>
    <row r="53" spans="3:47" x14ac:dyDescent="0.15">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772"/>
    </row>
    <row r="54" spans="3:47" x14ac:dyDescent="0.15">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s="772"/>
    </row>
    <row r="55" spans="3:47" x14ac:dyDescent="0.1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772"/>
    </row>
    <row r="56" spans="3:47" x14ac:dyDescent="0.15">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s="772"/>
    </row>
    <row r="57" spans="3:47" x14ac:dyDescent="0.15">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s="772"/>
    </row>
    <row r="58" spans="3:47" x14ac:dyDescent="0.15">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s="772"/>
    </row>
    <row r="59" spans="3:47" x14ac:dyDescent="0.15">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s="772"/>
    </row>
    <row r="60" spans="3:47" x14ac:dyDescent="0.15">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s="772"/>
    </row>
    <row r="61" spans="3:47" x14ac:dyDescent="0.15">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s="772"/>
    </row>
    <row r="62" spans="3:47" x14ac:dyDescent="0.15">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s="772"/>
    </row>
    <row r="63" spans="3:47" x14ac:dyDescent="0.15">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s="772"/>
    </row>
    <row r="64" spans="3:47" x14ac:dyDescent="0.15">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s="772"/>
    </row>
    <row r="65" spans="3:47" x14ac:dyDescent="0.1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s="772"/>
    </row>
    <row r="66" spans="3:47" x14ac:dyDescent="0.15">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s="772"/>
    </row>
    <row r="67" spans="3:47" x14ac:dyDescent="0.15">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s="772"/>
    </row>
    <row r="68" spans="3:47" x14ac:dyDescent="0.15">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row>
    <row r="69" spans="3:47" x14ac:dyDescent="0.15">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row>
    <row r="70" spans="3:47" x14ac:dyDescent="0.15">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row>
    <row r="71" spans="3:47" x14ac:dyDescent="0.15">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row>
    <row r="72" spans="3:47" x14ac:dyDescent="0.15">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row>
    <row r="73" spans="3:47" x14ac:dyDescent="0.15">
      <c r="D73" s="139"/>
      <c r="G73" s="139"/>
      <c r="J73" s="139"/>
      <c r="M73" s="139"/>
      <c r="P73" s="139"/>
      <c r="V73" s="139"/>
      <c r="AE73" s="139"/>
    </row>
    <row r="74" spans="3:47" x14ac:dyDescent="0.15">
      <c r="D74" s="139"/>
      <c r="G74" s="139"/>
      <c r="J74" s="139"/>
      <c r="M74" s="139"/>
      <c r="P74" s="139"/>
      <c r="V74" s="139"/>
      <c r="AE74" s="139"/>
    </row>
    <row r="75" spans="3:47" x14ac:dyDescent="0.15">
      <c r="D75" s="139"/>
      <c r="G75" s="139"/>
      <c r="J75" s="139"/>
      <c r="M75" s="139"/>
      <c r="P75" s="139"/>
      <c r="V75" s="139"/>
      <c r="AE75" s="139"/>
    </row>
    <row r="76" spans="3:47" x14ac:dyDescent="0.15">
      <c r="D76" s="139"/>
      <c r="G76" s="139"/>
      <c r="J76" s="139"/>
      <c r="P76" s="139"/>
      <c r="V76" s="139"/>
      <c r="AE76" s="139"/>
    </row>
    <row r="77" spans="3:47" x14ac:dyDescent="0.15">
      <c r="D77" s="139"/>
      <c r="G77" s="139"/>
      <c r="J77" s="139"/>
      <c r="P77" s="139"/>
      <c r="V77" s="139"/>
      <c r="AE77" s="139"/>
    </row>
    <row r="78" spans="3:47" x14ac:dyDescent="0.15">
      <c r="D78" s="139"/>
      <c r="G78" s="139"/>
      <c r="J78" s="139"/>
      <c r="P78" s="139"/>
      <c r="V78" s="139"/>
      <c r="AE78" s="139"/>
    </row>
    <row r="79" spans="3:47" x14ac:dyDescent="0.15">
      <c r="D79" s="139"/>
      <c r="G79" s="139"/>
      <c r="P79" s="139"/>
      <c r="V79" s="139"/>
      <c r="AE79" s="139"/>
    </row>
    <row r="80" spans="3:47" x14ac:dyDescent="0.15">
      <c r="D80" s="139"/>
      <c r="P80" s="139"/>
      <c r="AE80" s="139"/>
    </row>
    <row r="81" spans="4:16" x14ac:dyDescent="0.15">
      <c r="D81" s="139"/>
      <c r="P81" s="139"/>
    </row>
    <row r="82" spans="4:16" x14ac:dyDescent="0.15">
      <c r="D82" s="139"/>
      <c r="P82" s="139"/>
    </row>
  </sheetData>
  <mergeCells count="2">
    <mergeCell ref="AU2:AU8"/>
    <mergeCell ref="BE2:BE8"/>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4974B-7180-1F47-BC58-F0F89A2C7864}">
  <sheetPr codeName="Feuil8">
    <tabColor theme="1"/>
    <pageSetUpPr fitToPage="1"/>
  </sheetPr>
  <dimension ref="B1:BS45"/>
  <sheetViews>
    <sheetView topLeftCell="C1" zoomScale="125" zoomScaleNormal="125" zoomScalePageLayoutView="125" workbookViewId="0">
      <selection activeCell="H34" sqref="H34"/>
    </sheetView>
  </sheetViews>
  <sheetFormatPr baseColWidth="10" defaultRowHeight="13" x14ac:dyDescent="0.15"/>
  <cols>
    <col min="1" max="1" width="2.1640625" style="138" customWidth="1"/>
    <col min="2" max="2" width="5.1640625" style="138" customWidth="1"/>
    <col min="3" max="3" width="46.33203125" style="138" customWidth="1"/>
    <col min="4" max="4" width="0.83203125" style="138" customWidth="1"/>
    <col min="5" max="5" width="14.33203125" style="138" customWidth="1"/>
    <col min="6" max="6" width="7.83203125" style="138" customWidth="1"/>
    <col min="7" max="7" width="0.83203125" style="138" customWidth="1"/>
    <col min="8" max="8" width="14.33203125" style="138" customWidth="1"/>
    <col min="9" max="9" width="7.83203125" style="138" customWidth="1"/>
    <col min="10" max="10" width="0.83203125" style="138" customWidth="1"/>
    <col min="11" max="11" width="14.33203125" style="138" customWidth="1"/>
    <col min="12" max="12" width="7.83203125" style="138" customWidth="1"/>
    <col min="13" max="13" width="0.83203125" style="138" customWidth="1"/>
    <col min="14" max="14" width="14.33203125" style="138" customWidth="1"/>
    <col min="15" max="15" width="7.83203125" style="138" customWidth="1"/>
    <col min="16" max="16" width="0.83203125" style="138" customWidth="1"/>
    <col min="17" max="17" width="14.33203125" style="138" customWidth="1"/>
    <col min="18" max="18" width="7.83203125" style="138" customWidth="1"/>
    <col min="19" max="19" width="0.83203125" style="138" customWidth="1"/>
    <col min="20" max="20" width="14.33203125" style="138" customWidth="1"/>
    <col min="21" max="21" width="7.83203125" style="138" customWidth="1"/>
    <col min="22" max="22" width="0.83203125" style="138" customWidth="1"/>
    <col min="23" max="23" width="14.33203125" style="138" customWidth="1"/>
    <col min="24" max="24" width="7.83203125" style="138" customWidth="1"/>
    <col min="25" max="25" width="0.83203125" style="138" customWidth="1"/>
    <col min="26" max="26" width="14.33203125" style="138" customWidth="1"/>
    <col min="27" max="27" width="7.83203125" style="138" customWidth="1"/>
    <col min="28" max="28" width="0.83203125" style="138" customWidth="1"/>
    <col min="29" max="29" width="14.33203125" style="138" customWidth="1"/>
    <col min="30" max="30" width="7.83203125" style="138" customWidth="1"/>
    <col min="31" max="31" width="0.83203125" style="138" customWidth="1"/>
    <col min="32" max="32" width="14.33203125" style="138" customWidth="1"/>
    <col min="33" max="33" width="7.83203125" style="138" customWidth="1"/>
    <col min="34" max="34" width="0.83203125" style="138" customWidth="1"/>
    <col min="35" max="35" width="14.33203125" style="138" customWidth="1"/>
    <col min="36" max="36" width="7.83203125" style="138" customWidth="1"/>
    <col min="37" max="37" width="0.83203125" style="138" customWidth="1"/>
    <col min="38" max="38" width="14.33203125" style="138" customWidth="1"/>
    <col min="39" max="39" width="7.83203125" style="138" customWidth="1"/>
    <col min="40" max="40" width="0.83203125" style="138" customWidth="1"/>
    <col min="41" max="41" width="14.5" style="138" bestFit="1" customWidth="1"/>
    <col min="42" max="42" width="10.33203125" style="138" customWidth="1"/>
    <col min="43" max="43" width="1.33203125" style="138" customWidth="1"/>
    <col min="44" max="44" width="14.1640625" style="138" bestFit="1" customWidth="1"/>
    <col min="45" max="45" width="8.1640625" style="138" customWidth="1"/>
    <col min="46" max="46" width="2.1640625" style="138" customWidth="1"/>
    <col min="47" max="47" width="10.83203125" style="138"/>
    <col min="48" max="48" width="14.6640625" style="138" bestFit="1" customWidth="1"/>
    <col min="49" max="49" width="2.5" style="138" bestFit="1" customWidth="1"/>
    <col min="50" max="50" width="26.83203125" style="138" bestFit="1" customWidth="1"/>
    <col min="51" max="51" width="2.5" style="138" bestFit="1" customWidth="1"/>
    <col min="52" max="52" width="2" style="138" bestFit="1" customWidth="1"/>
    <col min="53" max="53" width="10.83203125" style="138"/>
    <col min="54" max="54" width="2.5" style="138" bestFit="1" customWidth="1"/>
    <col min="55" max="55" width="10.83203125" style="138"/>
    <col min="56" max="56" width="2" style="138" bestFit="1" customWidth="1"/>
    <col min="57" max="16384" width="10.83203125" style="138"/>
  </cols>
  <sheetData>
    <row r="1" spans="2:58" ht="14" thickBot="1" x14ac:dyDescent="0.2"/>
    <row r="2" spans="2:58" ht="20" customHeight="1" thickTop="1" x14ac:dyDescent="0.2">
      <c r="B2" s="1525" t="str">
        <f>'État des Résultats'!C2</f>
        <v>Votre entreprise inc.</v>
      </c>
      <c r="C2" s="1526"/>
      <c r="AU2" s="1527" t="s">
        <v>45</v>
      </c>
      <c r="AV2" s="526"/>
      <c r="AW2" s="526"/>
      <c r="AX2" s="526"/>
      <c r="AY2" s="526"/>
      <c r="AZ2" s="526"/>
      <c r="BA2" s="526"/>
      <c r="BB2" s="526"/>
      <c r="BC2" s="526"/>
      <c r="BD2" s="526"/>
      <c r="BE2" s="1530" t="s">
        <v>46</v>
      </c>
    </row>
    <row r="3" spans="2:58" ht="20" customHeight="1" x14ac:dyDescent="0.2">
      <c r="B3" s="1533" t="str">
        <f>'État des Résultats'!C3</f>
        <v xml:space="preserve">États des résultats </v>
      </c>
      <c r="C3" s="1534"/>
      <c r="AU3" s="1528"/>
      <c r="AV3" s="527"/>
      <c r="AW3" s="527"/>
      <c r="AX3" s="527"/>
      <c r="AY3" s="527"/>
      <c r="AZ3" s="527"/>
      <c r="BA3" s="527"/>
      <c r="BB3" s="527"/>
      <c r="BC3" s="527"/>
      <c r="BD3" s="527"/>
      <c r="BE3" s="1531"/>
    </row>
    <row r="4" spans="2:58" ht="20" customHeight="1" thickBot="1" x14ac:dyDescent="0.3">
      <c r="B4" s="1535" t="str">
        <f>'État des Résultats'!C4</f>
        <v>Pour la période du 2 janvier 2023 au 31 décembre 2023</v>
      </c>
      <c r="C4" s="1536"/>
      <c r="AU4" s="1528"/>
      <c r="AV4" s="528" t="str">
        <f>'[1]Formule pour le calcul D'!BA103</f>
        <v>Coût annuel</v>
      </c>
      <c r="AW4" s="528" t="s">
        <v>48</v>
      </c>
      <c r="AX4" s="528" t="str">
        <f>'[1]Formule pour le calcul D'!BC103</f>
        <v>Achalandage annuelle</v>
      </c>
      <c r="AY4" s="528" t="s">
        <v>50</v>
      </c>
      <c r="AZ4" s="528" t="s">
        <v>51</v>
      </c>
      <c r="BA4" s="528" t="str">
        <f>'[1]Formule pour le calcul D'!BF103</f>
        <v>Um/A</v>
      </c>
      <c r="BB4" s="528" t="s">
        <v>50</v>
      </c>
      <c r="BC4" s="528" t="str">
        <f>'[1]Formule pour le calcul D'!BH103</f>
        <v>CmO</v>
      </c>
      <c r="BD4" s="528" t="s">
        <v>54</v>
      </c>
      <c r="BE4" s="1531"/>
    </row>
    <row r="5" spans="2:58" ht="21" thickTop="1" thickBot="1" x14ac:dyDescent="0.3">
      <c r="AU5" s="1528"/>
      <c r="AV5" s="529" t="s">
        <v>1</v>
      </c>
      <c r="AW5" s="184"/>
      <c r="AX5" s="529"/>
      <c r="AY5" s="184"/>
      <c r="AZ5" s="184"/>
      <c r="BA5" s="184"/>
      <c r="BB5" s="184"/>
      <c r="BC5" s="184"/>
      <c r="BD5" s="184"/>
      <c r="BE5" s="1531"/>
    </row>
    <row r="6" spans="2:58" ht="27" thickTop="1" x14ac:dyDescent="0.3">
      <c r="B6" s="1489" t="str">
        <f>'État des Résultats'!C6</f>
        <v>Nb de places</v>
      </c>
      <c r="C6" s="1537"/>
      <c r="E6" s="530" t="str">
        <f>'Mark &amp; Communication marketing'!E6</f>
        <v>Coût / place / jour</v>
      </c>
      <c r="F6" s="531">
        <f>E26/B7/'Calendrier 2023'!D7</f>
        <v>5.5986787545787555</v>
      </c>
      <c r="G6" s="336"/>
      <c r="H6" s="530" t="str">
        <f>+E6</f>
        <v>Coût / place / jour</v>
      </c>
      <c r="I6" s="531">
        <f>H26/B7/'Calendrier 2023'!E7</f>
        <v>5.5986787545787555</v>
      </c>
      <c r="J6" s="336"/>
      <c r="K6" s="530" t="str">
        <f>+H6</f>
        <v>Coût / place / jour</v>
      </c>
      <c r="L6" s="531">
        <f>K26/B7/'Calendrier 2023'!F7</f>
        <v>5.8852835164835167</v>
      </c>
      <c r="M6" s="336"/>
      <c r="N6" s="530" t="str">
        <f>+K6</f>
        <v>Coût / place / jour</v>
      </c>
      <c r="O6" s="531">
        <f>N26/B7/'Calendrier 2023'!G7</f>
        <v>6.2227111950549467</v>
      </c>
      <c r="P6" s="532"/>
      <c r="Q6" s="530" t="str">
        <f>+N6</f>
        <v>Coût / place / jour</v>
      </c>
      <c r="R6" s="531">
        <f>Q26/B7/'Calendrier 2023'!H7</f>
        <v>6.5211888736263735</v>
      </c>
      <c r="S6" s="532"/>
      <c r="T6" s="530" t="str">
        <f>+Q6</f>
        <v>Coût / place / jour</v>
      </c>
      <c r="U6" s="531">
        <f>T26/B7/'Calendrier 2023'!I7</f>
        <v>6.8196665521978028</v>
      </c>
      <c r="V6" s="336"/>
      <c r="W6" s="530" t="str">
        <f>+T6</f>
        <v>Coût / place / jour</v>
      </c>
      <c r="X6" s="531">
        <f>W26/B7/'Calendrier 2023'!J7</f>
        <v>7.2005669688644698</v>
      </c>
      <c r="Y6" s="336"/>
      <c r="Z6" s="530" t="str">
        <f>+W6</f>
        <v>Coût / place / jour</v>
      </c>
      <c r="AA6" s="531">
        <f>Z26/B7/'Calendrier 2023'!K7</f>
        <v>7.5149364926739946</v>
      </c>
      <c r="AB6" s="336"/>
      <c r="AC6" s="530" t="str">
        <f>+Z6</f>
        <v>Coût / place / jour</v>
      </c>
      <c r="AD6" s="531">
        <f>AC26/B7/'Calendrier 2023'!L7</f>
        <v>7.5149364926739946</v>
      </c>
      <c r="AE6" s="336"/>
      <c r="AF6" s="530" t="str">
        <f>+AC6</f>
        <v>Coût / place / jour</v>
      </c>
      <c r="AG6" s="531">
        <f>AF26/B7/'Calendrier 2023'!M7</f>
        <v>7.6132510760073275</v>
      </c>
      <c r="AH6" s="336"/>
      <c r="AI6" s="530" t="str">
        <f>+AF6</f>
        <v>Coût / place / jour</v>
      </c>
      <c r="AJ6" s="531">
        <f>AI26/B7/'Calendrier 2023'!N7</f>
        <v>7.6132510760073275</v>
      </c>
      <c r="AK6" s="336"/>
      <c r="AL6" s="530" t="str">
        <f>+AI6</f>
        <v>Coût / place / jour</v>
      </c>
      <c r="AM6" s="531">
        <f>AL26/B7/'Calendrier 2023'!O7</f>
        <v>7.2910275641025644</v>
      </c>
      <c r="AN6" s="336"/>
      <c r="AO6" s="566" t="str">
        <f>AL6</f>
        <v>Coût / place / jour</v>
      </c>
      <c r="AP6" s="567">
        <f>AO26/B7/'Calendrier 2023'!P7</f>
        <v>7.37746923076923</v>
      </c>
      <c r="AQ6"/>
      <c r="AR6" s="1078" t="str">
        <f>AO6</f>
        <v>Coût / place / jour</v>
      </c>
      <c r="AS6" s="1056">
        <f>AR26/B7/'Calendrier 2023'!R7</f>
        <v>6.8285881959706973</v>
      </c>
      <c r="AU6" s="1528"/>
      <c r="AV6" s="533" t="str">
        <f>'[1]Formule pour le calcul D'!BA105</f>
        <v xml:space="preserve">C </v>
      </c>
      <c r="AW6" s="534"/>
      <c r="AX6" s="533" t="str">
        <f>'[1]Formule pour le calcul D'!BC105</f>
        <v>A</v>
      </c>
      <c r="AY6" s="534"/>
      <c r="AZ6" s="534"/>
      <c r="BA6" s="533" t="str">
        <f>BA4</f>
        <v>Um/A</v>
      </c>
      <c r="BB6" s="534"/>
      <c r="BC6" s="533" t="str">
        <f>BC4</f>
        <v>CmO</v>
      </c>
      <c r="BD6" s="534"/>
      <c r="BE6" s="1531"/>
    </row>
    <row r="7" spans="2:58" ht="21" x14ac:dyDescent="0.25">
      <c r="B7" s="1538">
        <f>'État des Résultats'!C7</f>
        <v>30</v>
      </c>
      <c r="C7" s="1539"/>
      <c r="E7" s="535">
        <f>+E26/$AR26</f>
        <v>6.3068321612976957E-2</v>
      </c>
      <c r="F7" s="536"/>
      <c r="H7" s="535">
        <f>+H26/$AR26</f>
        <v>6.3068321612976957E-2</v>
      </c>
      <c r="I7" s="536"/>
      <c r="K7" s="535">
        <f>+K26/$AR26</f>
        <v>6.6296883581251589E-2</v>
      </c>
      <c r="L7" s="537"/>
      <c r="N7" s="535">
        <f>+N26/$AR26</f>
        <v>7.0097958493052698E-2</v>
      </c>
      <c r="O7" s="537"/>
      <c r="P7" s="538"/>
      <c r="Q7" s="535">
        <f>+Q26/$AR26</f>
        <v>7.3460267182588121E-2</v>
      </c>
      <c r="R7" s="537"/>
      <c r="S7" s="538"/>
      <c r="T7" s="535">
        <f>+T26/$AR26</f>
        <v>7.6822575872123572E-2</v>
      </c>
      <c r="U7" s="537"/>
      <c r="W7" s="535">
        <f>+W26/$AR26</f>
        <v>8.1113365008971941E-2</v>
      </c>
      <c r="X7" s="537"/>
      <c r="Z7" s="535">
        <f>+Z26/$AR26</f>
        <v>8.4654693079764115E-2</v>
      </c>
      <c r="AA7" s="537"/>
      <c r="AC7" s="535">
        <f>+AC26/$AR26</f>
        <v>8.4654693079764115E-2</v>
      </c>
      <c r="AD7" s="537"/>
      <c r="AF7" s="535">
        <f>+AF26/$AR26</f>
        <v>8.5762192908333756E-2</v>
      </c>
      <c r="AG7" s="537"/>
      <c r="AI7" s="535">
        <f>+AI26/$AR26</f>
        <v>8.5762192908333756E-2</v>
      </c>
      <c r="AJ7" s="537"/>
      <c r="AL7" s="535">
        <f>+AL26/$AR26</f>
        <v>8.2132390776276709E-2</v>
      </c>
      <c r="AM7" s="537"/>
      <c r="AO7" s="535">
        <f>+AO26/$AR26</f>
        <v>8.3106143883585532E-2</v>
      </c>
      <c r="AP7" s="568" t="s">
        <v>151</v>
      </c>
      <c r="AQ7"/>
      <c r="AR7" s="1079">
        <f>+E7+H7+K7+N7+Q7+T7+W7+Z7+AC7+AF7+AI7+AL7+AO7</f>
        <v>0.99999999999999989</v>
      </c>
      <c r="AS7" s="1080" t="str">
        <f>AP7</f>
        <v>364 jours</v>
      </c>
      <c r="AU7" s="1528"/>
      <c r="AV7" s="646">
        <f>AR26</f>
        <v>74568.183100000024</v>
      </c>
      <c r="AW7" s="528" t="s">
        <v>48</v>
      </c>
      <c r="AX7" s="647">
        <f>'Formule pour le calcul D'!G114</f>
        <v>54651</v>
      </c>
      <c r="AY7" s="528" t="s">
        <v>50</v>
      </c>
      <c r="AZ7" s="528" t="s">
        <v>51</v>
      </c>
      <c r="BA7" s="648">
        <f>'Formule pour le calcul D'!J114</f>
        <v>2.2692307692307692</v>
      </c>
      <c r="BB7" s="528" t="s">
        <v>50</v>
      </c>
      <c r="BC7" s="649">
        <f>AV7/AX7/BA7</f>
        <v>0.60128003631053029</v>
      </c>
      <c r="BD7" s="528" t="s">
        <v>54</v>
      </c>
      <c r="BE7" s="1531"/>
    </row>
    <row r="8" spans="2:58" ht="17" thickBot="1" x14ac:dyDescent="0.25">
      <c r="B8" s="1493" t="s">
        <v>218</v>
      </c>
      <c r="C8" s="1539"/>
      <c r="E8" s="539" t="str">
        <f>'Calendrier 2023'!D5</f>
        <v>Pér.01</v>
      </c>
      <c r="F8" s="652" t="str">
        <f>'État des Résultats'!X8</f>
        <v>(%)</v>
      </c>
      <c r="G8" s="541"/>
      <c r="H8" s="539" t="str">
        <f>'Calendrier 2023'!E5</f>
        <v>Pér.02</v>
      </c>
      <c r="I8" s="540" t="str">
        <f>F8</f>
        <v>(%)</v>
      </c>
      <c r="J8" s="541"/>
      <c r="K8" s="539" t="str">
        <f>'Calendrier 2023'!F5</f>
        <v>Pér.03</v>
      </c>
      <c r="L8" s="540" t="str">
        <f>I8</f>
        <v>(%)</v>
      </c>
      <c r="M8" s="541"/>
      <c r="N8" s="539" t="str">
        <f>'Calendrier 2023'!G5</f>
        <v>Pér.04</v>
      </c>
      <c r="O8" s="540" t="str">
        <f>L8</f>
        <v>(%)</v>
      </c>
      <c r="P8" s="542"/>
      <c r="Q8" s="539" t="str">
        <f>'Calendrier 2023'!H5</f>
        <v>Pér.05</v>
      </c>
      <c r="R8" s="540" t="str">
        <f>O8</f>
        <v>(%)</v>
      </c>
      <c r="S8" s="542"/>
      <c r="T8" s="539" t="str">
        <f>'Calendrier 2023'!I5</f>
        <v>Pér.06</v>
      </c>
      <c r="U8" s="540" t="str">
        <f>R8</f>
        <v>(%)</v>
      </c>
      <c r="V8" s="541"/>
      <c r="W8" s="539" t="str">
        <f>'Calendrier 2023'!J5</f>
        <v>Pér.07</v>
      </c>
      <c r="X8" s="540" t="str">
        <f>U8</f>
        <v>(%)</v>
      </c>
      <c r="Y8" s="541"/>
      <c r="Z8" s="539" t="str">
        <f>'Calendrier 2023'!K5</f>
        <v>Pér.08</v>
      </c>
      <c r="AA8" s="540" t="str">
        <f>X8</f>
        <v>(%)</v>
      </c>
      <c r="AB8" s="541"/>
      <c r="AC8" s="539" t="str">
        <f>'Calendrier 2023'!L5</f>
        <v>Pér.09</v>
      </c>
      <c r="AD8" s="540" t="str">
        <f>AA8</f>
        <v>(%)</v>
      </c>
      <c r="AE8" s="541"/>
      <c r="AF8" s="539" t="str">
        <f>'Calendrier 2023'!M5</f>
        <v>Pér.10</v>
      </c>
      <c r="AG8" s="540" t="str">
        <f>AD8</f>
        <v>(%)</v>
      </c>
      <c r="AH8" s="541"/>
      <c r="AI8" s="539" t="str">
        <f>'Calendrier 2023'!N5</f>
        <v>Pér.11</v>
      </c>
      <c r="AJ8" s="540" t="str">
        <f>AG8</f>
        <v>(%)</v>
      </c>
      <c r="AK8" s="541"/>
      <c r="AL8" s="539" t="str">
        <f>'Calendrier 2023'!O5</f>
        <v>Pér.12</v>
      </c>
      <c r="AM8" s="540" t="str">
        <f>AJ8</f>
        <v>(%)</v>
      </c>
      <c r="AN8" s="543" t="s">
        <v>1</v>
      </c>
      <c r="AO8" s="569" t="str">
        <f>'Calendrier 2023'!P5</f>
        <v>Pér.13</v>
      </c>
      <c r="AP8" s="570" t="str">
        <f>AM8</f>
        <v>(%)</v>
      </c>
      <c r="AQ8"/>
      <c r="AR8" s="1058" t="str">
        <f>'Achalandage journalier'!Q5</f>
        <v>Année</v>
      </c>
      <c r="AS8" s="1059" t="str">
        <f>AP8</f>
        <v>(%)</v>
      </c>
      <c r="AU8" s="1529"/>
      <c r="AV8" s="544"/>
      <c r="AW8" s="544"/>
      <c r="AX8" s="544"/>
      <c r="AY8" s="544"/>
      <c r="AZ8" s="544"/>
      <c r="BA8" s="544"/>
      <c r="BB8" s="544"/>
      <c r="BC8" s="544"/>
      <c r="BD8" s="544"/>
      <c r="BE8" s="1532"/>
    </row>
    <row r="9" spans="2:58" ht="15" thickTop="1" thickBot="1" x14ac:dyDescent="0.2">
      <c r="B9" s="1495">
        <f>E26/B7</f>
        <v>156.76300512820515</v>
      </c>
      <c r="C9" s="1524"/>
      <c r="E9" s="574">
        <f>'Calendrier 2023'!D8</f>
        <v>44928</v>
      </c>
      <c r="F9" s="575"/>
      <c r="G9" s="576"/>
      <c r="H9" s="577">
        <f>'Calendrier 2023'!E8</f>
        <v>44956</v>
      </c>
      <c r="I9" s="578"/>
      <c r="J9" s="576"/>
      <c r="K9" s="577">
        <f>'Calendrier 2023'!F8</f>
        <v>44984</v>
      </c>
      <c r="L9" s="578"/>
      <c r="M9" s="576"/>
      <c r="N9" s="574">
        <f>'Calendrier 2023'!G8</f>
        <v>45012</v>
      </c>
      <c r="O9" s="575"/>
      <c r="P9" s="579"/>
      <c r="Q9" s="574">
        <f>'Calendrier 2023'!H8</f>
        <v>45040</v>
      </c>
      <c r="R9" s="575"/>
      <c r="S9" s="579"/>
      <c r="T9" s="577">
        <f>'Calendrier 2023'!I8</f>
        <v>45068</v>
      </c>
      <c r="U9" s="578"/>
      <c r="V9" s="576"/>
      <c r="W9" s="577">
        <f>'Calendrier 2023'!J8</f>
        <v>45096</v>
      </c>
      <c r="X9" s="578"/>
      <c r="Y9" s="576"/>
      <c r="Z9" s="577">
        <f>'Calendrier 2023'!K8</f>
        <v>45124</v>
      </c>
      <c r="AA9" s="578"/>
      <c r="AB9" s="576"/>
      <c r="AC9" s="577">
        <f>'Calendrier 2023'!L8</f>
        <v>45152</v>
      </c>
      <c r="AD9" s="578"/>
      <c r="AE9" s="576"/>
      <c r="AF9" s="577">
        <f>'Calendrier 2023'!M8</f>
        <v>45180</v>
      </c>
      <c r="AG9" s="578"/>
      <c r="AH9" s="576"/>
      <c r="AI9" s="577">
        <f>'Calendrier 2023'!N8</f>
        <v>45208</v>
      </c>
      <c r="AJ9" s="578"/>
      <c r="AK9" s="576"/>
      <c r="AL9" s="577">
        <f>'Calendrier 2023'!O8</f>
        <v>45236</v>
      </c>
      <c r="AM9" s="578"/>
      <c r="AN9" s="576"/>
      <c r="AO9" s="580">
        <f>'Calendrier 2023'!P8</f>
        <v>45264</v>
      </c>
      <c r="AP9" s="581"/>
      <c r="AQ9" s="439"/>
      <c r="AR9" s="1081" t="str">
        <f>'Achalandage journalier'!Q6</f>
        <v>Total</v>
      </c>
      <c r="AS9" s="1082"/>
      <c r="AT9" s="582"/>
      <c r="AU9" s="582"/>
      <c r="AV9" s="336"/>
      <c r="AW9" s="336"/>
      <c r="AX9" s="336"/>
      <c r="AY9" s="573"/>
      <c r="AZ9" s="573"/>
      <c r="BA9" s="573"/>
      <c r="BB9" s="573"/>
      <c r="BC9" s="573"/>
      <c r="BD9" s="573"/>
    </row>
    <row r="10" spans="2:58" ht="15" thickTop="1" thickBot="1" x14ac:dyDescent="0.2">
      <c r="D10" s="545"/>
      <c r="G10" s="546"/>
      <c r="J10" s="546"/>
      <c r="M10" s="546"/>
      <c r="P10" s="547"/>
      <c r="S10" s="547"/>
      <c r="V10" s="546"/>
      <c r="Y10" s="366"/>
      <c r="AB10" s="546"/>
      <c r="AE10" s="546"/>
      <c r="AH10" s="546"/>
      <c r="AK10" s="546"/>
      <c r="AN10" s="546"/>
      <c r="AQ10"/>
      <c r="AT10" s="336"/>
      <c r="AU10" s="336"/>
      <c r="AV10" s="336"/>
    </row>
    <row r="11" spans="2:58" ht="20" customHeight="1" thickTop="1" x14ac:dyDescent="0.2">
      <c r="B11" s="404"/>
      <c r="C11" s="548" t="str">
        <f>'État des Résultats'!C27</f>
        <v> Coût d’occupation </v>
      </c>
      <c r="E11" s="404"/>
      <c r="F11" s="549"/>
      <c r="H11" s="404"/>
      <c r="I11" s="549"/>
      <c r="K11" s="404"/>
      <c r="L11" s="549"/>
      <c r="N11" s="404"/>
      <c r="O11" s="549"/>
      <c r="Q11" s="404"/>
      <c r="R11" s="549"/>
      <c r="T11" s="404"/>
      <c r="U11" s="549"/>
      <c r="W11" s="404"/>
      <c r="X11" s="549"/>
      <c r="Z11" s="404"/>
      <c r="AA11" s="549"/>
      <c r="AC11" s="404"/>
      <c r="AD11" s="549"/>
      <c r="AF11" s="404"/>
      <c r="AG11" s="549"/>
      <c r="AI11" s="404"/>
      <c r="AJ11" s="549"/>
      <c r="AL11" s="404"/>
      <c r="AM11" s="549"/>
      <c r="AO11" s="404"/>
      <c r="AP11" s="549"/>
      <c r="AQ11"/>
      <c r="AR11" s="1083"/>
      <c r="AS11" s="1084"/>
      <c r="AT11" s="366"/>
      <c r="AU11" s="366"/>
      <c r="AV11" s="366"/>
      <c r="AW11" s="366"/>
      <c r="AX11" s="366"/>
      <c r="AY11" s="366"/>
      <c r="AZ11" s="366"/>
      <c r="BA11" s="366"/>
      <c r="BB11" s="366"/>
      <c r="BC11" s="366"/>
      <c r="BD11" s="366"/>
      <c r="BE11" s="366"/>
      <c r="BF11" s="366"/>
    </row>
    <row r="12" spans="2:58" x14ac:dyDescent="0.15">
      <c r="B12" s="370"/>
      <c r="C12" s="550"/>
      <c r="E12" s="370"/>
      <c r="F12" s="414"/>
      <c r="H12" s="370"/>
      <c r="I12" s="414"/>
      <c r="K12" s="370"/>
      <c r="L12" s="414"/>
      <c r="N12" s="370"/>
      <c r="O12" s="414"/>
      <c r="Q12" s="370"/>
      <c r="R12" s="414"/>
      <c r="T12" s="370"/>
      <c r="U12" s="414"/>
      <c r="W12" s="370"/>
      <c r="X12" s="414"/>
      <c r="Z12" s="370"/>
      <c r="AA12" s="414"/>
      <c r="AC12" s="370"/>
      <c r="AD12" s="414"/>
      <c r="AF12" s="370"/>
      <c r="AG12" s="414"/>
      <c r="AI12" s="370"/>
      <c r="AJ12" s="414"/>
      <c r="AL12" s="370"/>
      <c r="AM12" s="371"/>
      <c r="AO12" s="370"/>
      <c r="AP12" s="371"/>
      <c r="AQ12"/>
      <c r="AR12" s="1028"/>
      <c r="AS12" s="1085"/>
      <c r="AT12" s="366"/>
      <c r="AU12" s="366"/>
      <c r="AV12" s="366"/>
      <c r="AW12" s="366"/>
      <c r="AX12" s="366"/>
      <c r="AY12" s="366"/>
      <c r="AZ12" s="366"/>
      <c r="BA12" s="366"/>
      <c r="BB12" s="366"/>
      <c r="BC12" s="366"/>
      <c r="BD12" s="366"/>
      <c r="BE12" s="366"/>
      <c r="BF12" s="366"/>
    </row>
    <row r="13" spans="2:58" x14ac:dyDescent="0.15">
      <c r="B13" s="551">
        <v>7305</v>
      </c>
      <c r="C13" s="414" t="s">
        <v>205</v>
      </c>
      <c r="E13" s="552">
        <f>+(54000/13)</f>
        <v>4153.8461538461543</v>
      </c>
      <c r="F13" s="553">
        <f>E13/'État des Résultats'!E14</f>
        <v>0.15131195874451425</v>
      </c>
      <c r="H13" s="552">
        <f>+(54000/13)</f>
        <v>4153.8461538461543</v>
      </c>
      <c r="I13" s="553">
        <f>H13/'État des Résultats'!H$14</f>
        <v>0.15131195874451425</v>
      </c>
      <c r="K13" s="552">
        <f>+(54000/13)</f>
        <v>4153.8461538461543</v>
      </c>
      <c r="L13" s="553">
        <f>K13/'État des Résultats'!K$14</f>
        <v>0.10518835728511189</v>
      </c>
      <c r="N13" s="552">
        <f>+(54000/13)</f>
        <v>4153.8461538461543</v>
      </c>
      <c r="O13" s="553">
        <f>N13/'État des Résultats'!N$14</f>
        <v>7.7408222204602306E-2</v>
      </c>
      <c r="Q13" s="552">
        <f>+(54000/13)</f>
        <v>4153.8461538461543</v>
      </c>
      <c r="R13" s="553">
        <f>Q13/'État des Résultats'!Q$14</f>
        <v>6.2749171950597232E-2</v>
      </c>
      <c r="T13" s="552">
        <f>+(54000/13)</f>
        <v>4153.8461538461543</v>
      </c>
      <c r="U13" s="553">
        <f>T13/'État des Résultats'!T$14</f>
        <v>5.27581812276499E-2</v>
      </c>
      <c r="W13" s="552">
        <f>+(54000/13)</f>
        <v>4153.8461538461543</v>
      </c>
      <c r="X13" s="553">
        <f>W13/'État des Résultats'!W$14</f>
        <v>4.3848624107113612E-2</v>
      </c>
      <c r="Z13" s="552">
        <f>+(54000/13)</f>
        <v>4153.8461538461543</v>
      </c>
      <c r="AA13" s="553">
        <f>Z13/'État des Résultats'!Z$14</f>
        <v>3.848469163597408E-2</v>
      </c>
      <c r="AC13" s="552">
        <f>+(54000/13)</f>
        <v>4153.8461538461543</v>
      </c>
      <c r="AD13" s="553">
        <f>AC13/'État des Résultats'!AC$14</f>
        <v>3.848469163597408E-2</v>
      </c>
      <c r="AF13" s="552">
        <f>+(54000/13)</f>
        <v>4153.8461538461543</v>
      </c>
      <c r="AG13" s="553">
        <f>AF13/'État des Résultats'!AF$14</f>
        <v>3.7066652542441597E-2</v>
      </c>
      <c r="AI13" s="552">
        <f>+(54000/13)</f>
        <v>4153.8461538461543</v>
      </c>
      <c r="AJ13" s="553">
        <f>AI13/'État des Résultats'!AI$14</f>
        <v>3.7066652542441597E-2</v>
      </c>
      <c r="AL13" s="552">
        <f>+(54000/13)</f>
        <v>4153.8461538461543</v>
      </c>
      <c r="AM13" s="553">
        <f>AL13/'État des Résultats'!AL$14</f>
        <v>4.2157823197974592E-2</v>
      </c>
      <c r="AO13" s="552">
        <f>+(54000/13)</f>
        <v>4153.8461538461543</v>
      </c>
      <c r="AP13" s="553">
        <f>AO13/'État des Résultats'!AO$14</f>
        <v>4.0659643993192676E-2</v>
      </c>
      <c r="AQ13"/>
      <c r="AR13" s="1086">
        <f>SUM(+$AO13+$AL13+$AI13+$AF13+$AC13+$Z13+$W13+$T13+$Q13+$N13+$K13+$H13+$E13)</f>
        <v>54000.000000000022</v>
      </c>
      <c r="AS13" s="1087">
        <f>AR13/'État des Résultats'!AR$14</f>
        <v>5.2508284020478239E-2</v>
      </c>
    </row>
    <row r="14" spans="2:58" x14ac:dyDescent="0.15">
      <c r="B14" s="551">
        <v>7310</v>
      </c>
      <c r="C14" s="414" t="s">
        <v>206</v>
      </c>
      <c r="E14" s="552">
        <f>0.01*'État des Résultats'!E14</f>
        <v>274.52199999999999</v>
      </c>
      <c r="F14" s="553">
        <f>E14/'État des Résultats'!E$14</f>
        <v>0.01</v>
      </c>
      <c r="H14" s="552">
        <f>0.01*'État des Résultats'!H14</f>
        <v>274.52199999999999</v>
      </c>
      <c r="I14" s="553">
        <f>H14/'État des Résultats'!H$14</f>
        <v>0.01</v>
      </c>
      <c r="K14" s="552">
        <f>0.01*'État des Résultats'!K14</f>
        <v>394.89600000000002</v>
      </c>
      <c r="L14" s="553">
        <f>K14/'État des Résultats'!K$14</f>
        <v>0.01</v>
      </c>
      <c r="N14" s="552">
        <f>0.01*'État des Résultats'!N14</f>
        <v>536.61562500000002</v>
      </c>
      <c r="O14" s="553">
        <f>N14/'État des Résultats'!N$14</f>
        <v>0.01</v>
      </c>
      <c r="Q14" s="552">
        <f>0.01*'État des Résultats'!Q14</f>
        <v>661.97625000000005</v>
      </c>
      <c r="R14" s="553">
        <f>Q14/'État des Résultats'!Q$14</f>
        <v>0.01</v>
      </c>
      <c r="T14" s="552">
        <f>0.01*'État des Résultats'!T14</f>
        <v>787.33687500000019</v>
      </c>
      <c r="U14" s="553">
        <f>T14/'État des Résultats'!T$14</f>
        <v>0.01</v>
      </c>
      <c r="W14" s="552">
        <f>0.01*'État des Résultats'!W14</f>
        <v>947.31505000000016</v>
      </c>
      <c r="X14" s="553">
        <f>W14/'État des Résultats'!W$14</f>
        <v>0.01</v>
      </c>
      <c r="Z14" s="552">
        <f>0.01*'État des Résultats'!Z14</f>
        <v>1079.3502500000002</v>
      </c>
      <c r="AA14" s="553">
        <f>Z14/'État des Résultats'!Z$14</f>
        <v>0.01</v>
      </c>
      <c r="AC14" s="552">
        <f>0.01*'État des Résultats'!AC14</f>
        <v>1079.3502500000002</v>
      </c>
      <c r="AD14" s="553">
        <f>AC14/'État des Résultats'!AC$14</f>
        <v>0.01</v>
      </c>
      <c r="AF14" s="552">
        <f>0.01*'État des Résultats'!AF14</f>
        <v>1120.6423750000001</v>
      </c>
      <c r="AG14" s="553">
        <f>AF14/'État des Résultats'!AF$14</f>
        <v>0.01</v>
      </c>
      <c r="AI14" s="552">
        <f>0.01*'État des Résultats'!AI14</f>
        <v>1120.6423750000001</v>
      </c>
      <c r="AJ14" s="553">
        <f>AI14/'État des Résultats'!AI$14</f>
        <v>0.01</v>
      </c>
      <c r="AL14" s="552">
        <f>0.01*'État des Résultats'!AL14</f>
        <v>985.30849999999998</v>
      </c>
      <c r="AM14" s="553">
        <f>AL14/'État des Résultats'!AL$14</f>
        <v>0.01</v>
      </c>
      <c r="AO14" s="552">
        <f>0.01*'État des Résultats'!AO14</f>
        <v>1021.6139999999999</v>
      </c>
      <c r="AP14" s="583">
        <f>AO14/'État des Résultats'!AO$14</f>
        <v>0.01</v>
      </c>
      <c r="AQ14"/>
      <c r="AR14" s="1086">
        <f t="shared" ref="AR14:AR24" si="0">SUM(+$AO14+$AL14+$AI14+$AF14+$AC14+$Z14+$W14+$T14+$Q14+$N14+$K14+$H14+$E14)</f>
        <v>10284.091550000005</v>
      </c>
      <c r="AS14" s="1087">
        <f>AR14/'État des Résultats'!AR$14</f>
        <v>1.0000000000000005E-2</v>
      </c>
    </row>
    <row r="15" spans="2:58" x14ac:dyDescent="0.15">
      <c r="B15" s="551">
        <v>7315</v>
      </c>
      <c r="C15" s="414" t="s">
        <v>207</v>
      </c>
      <c r="E15" s="552">
        <v>0</v>
      </c>
      <c r="F15" s="553">
        <f>E15/'État des Résultats'!E$14</f>
        <v>0</v>
      </c>
      <c r="G15" s="554" t="s">
        <v>1</v>
      </c>
      <c r="H15" s="552">
        <f t="shared" ref="H15:H23" si="1">E15</f>
        <v>0</v>
      </c>
      <c r="I15" s="553">
        <f>H15/'État des Résultats'!H$14</f>
        <v>0</v>
      </c>
      <c r="K15" s="552">
        <f t="shared" ref="K15:K23" si="2">H15</f>
        <v>0</v>
      </c>
      <c r="L15" s="553">
        <f>K15/'État des Résultats'!K$14</f>
        <v>0</v>
      </c>
      <c r="N15" s="552">
        <f t="shared" ref="N15:N23" si="3">K15</f>
        <v>0</v>
      </c>
      <c r="O15" s="553">
        <f>N15/'État des Résultats'!N$14</f>
        <v>0</v>
      </c>
      <c r="Q15" s="552">
        <f t="shared" ref="Q15:Q23" si="4">N15</f>
        <v>0</v>
      </c>
      <c r="R15" s="553">
        <f>Q15/'État des Résultats'!Q$14</f>
        <v>0</v>
      </c>
      <c r="T15" s="552">
        <f t="shared" ref="T15:T23" si="5">Q15</f>
        <v>0</v>
      </c>
      <c r="U15" s="553">
        <f>T15/'État des Résultats'!T$14</f>
        <v>0</v>
      </c>
      <c r="W15" s="552">
        <f t="shared" ref="W15:W23" si="6">T15</f>
        <v>0</v>
      </c>
      <c r="X15" s="553">
        <f>W15/'État des Résultats'!W$14</f>
        <v>0</v>
      </c>
      <c r="Z15" s="552">
        <f t="shared" ref="Z15:Z23" si="7">W15</f>
        <v>0</v>
      </c>
      <c r="AA15" s="553">
        <f>Z15/'État des Résultats'!Z$14</f>
        <v>0</v>
      </c>
      <c r="AC15" s="552">
        <f t="shared" ref="AC15:AC23" si="8">Z15</f>
        <v>0</v>
      </c>
      <c r="AD15" s="553">
        <f>AC15/'État des Résultats'!AC$14</f>
        <v>0</v>
      </c>
      <c r="AF15" s="552">
        <f t="shared" ref="AF15:AF23" si="9">AC15</f>
        <v>0</v>
      </c>
      <c r="AG15" s="553">
        <f>AF15/'État des Résultats'!AF$14</f>
        <v>0</v>
      </c>
      <c r="AI15" s="552">
        <f t="shared" ref="AI15:AI23" si="10">AF15</f>
        <v>0</v>
      </c>
      <c r="AJ15" s="553">
        <f>AI15/'État des Résultats'!AI$14</f>
        <v>0</v>
      </c>
      <c r="AL15" s="552">
        <f t="shared" ref="AL15:AL23" si="11">AI15</f>
        <v>0</v>
      </c>
      <c r="AM15" s="553">
        <f>AL15/'État des Résultats'!AL$14</f>
        <v>0</v>
      </c>
      <c r="AO15" s="552">
        <f t="shared" ref="AO15:AO23" si="12">AL15</f>
        <v>0</v>
      </c>
      <c r="AP15" s="553">
        <f>AO15/'État des Résultats'!AO$14</f>
        <v>0</v>
      </c>
      <c r="AQ15"/>
      <c r="AR15" s="1086">
        <f t="shared" si="0"/>
        <v>0</v>
      </c>
      <c r="AS15" s="1087">
        <f>AR15/'État des Résultats'!AR$14</f>
        <v>0</v>
      </c>
    </row>
    <row r="16" spans="2:58" x14ac:dyDescent="0.15">
      <c r="B16" s="551">
        <v>7320</v>
      </c>
      <c r="C16" s="414" t="s">
        <v>208</v>
      </c>
      <c r="E16" s="552">
        <v>0</v>
      </c>
      <c r="F16" s="553">
        <f>E16/'État des Résultats'!E$14</f>
        <v>0</v>
      </c>
      <c r="H16" s="552">
        <f t="shared" si="1"/>
        <v>0</v>
      </c>
      <c r="I16" s="553">
        <f>H16/'État des Résultats'!H$14</f>
        <v>0</v>
      </c>
      <c r="K16" s="552">
        <f t="shared" si="2"/>
        <v>0</v>
      </c>
      <c r="L16" s="553">
        <f>K16/'État des Résultats'!K$14</f>
        <v>0</v>
      </c>
      <c r="N16" s="552">
        <f t="shared" si="3"/>
        <v>0</v>
      </c>
      <c r="O16" s="553">
        <f>N16/'État des Résultats'!N$14</f>
        <v>0</v>
      </c>
      <c r="Q16" s="552">
        <f t="shared" si="4"/>
        <v>0</v>
      </c>
      <c r="R16" s="553">
        <f>Q16/'État des Résultats'!Q$14</f>
        <v>0</v>
      </c>
      <c r="T16" s="552">
        <f t="shared" si="5"/>
        <v>0</v>
      </c>
      <c r="U16" s="553">
        <f>T16/'État des Résultats'!T$14</f>
        <v>0</v>
      </c>
      <c r="W16" s="552">
        <f t="shared" si="6"/>
        <v>0</v>
      </c>
      <c r="X16" s="553">
        <f>W16/'État des Résultats'!W$14</f>
        <v>0</v>
      </c>
      <c r="Z16" s="552">
        <f t="shared" si="7"/>
        <v>0</v>
      </c>
      <c r="AA16" s="553">
        <f>Z16/'État des Résultats'!Z$14</f>
        <v>0</v>
      </c>
      <c r="AC16" s="552">
        <f t="shared" si="8"/>
        <v>0</v>
      </c>
      <c r="AD16" s="553">
        <f>AC16/'État des Résultats'!AC$14</f>
        <v>0</v>
      </c>
      <c r="AF16" s="552">
        <f t="shared" si="9"/>
        <v>0</v>
      </c>
      <c r="AG16" s="553">
        <f>AF16/'État des Résultats'!AF$14</f>
        <v>0</v>
      </c>
      <c r="AI16" s="552">
        <f t="shared" si="10"/>
        <v>0</v>
      </c>
      <c r="AJ16" s="553">
        <f>AI16/'État des Résultats'!AI$14</f>
        <v>0</v>
      </c>
      <c r="AL16" s="552">
        <f t="shared" si="11"/>
        <v>0</v>
      </c>
      <c r="AM16" s="553">
        <f>AL16/'État des Résultats'!AL$14</f>
        <v>0</v>
      </c>
      <c r="AO16" s="552">
        <f t="shared" si="12"/>
        <v>0</v>
      </c>
      <c r="AP16" s="553">
        <f>AO16/'État des Résultats'!AO$14</f>
        <v>0</v>
      </c>
      <c r="AQ16"/>
      <c r="AR16" s="1086">
        <f t="shared" si="0"/>
        <v>0</v>
      </c>
      <c r="AS16" s="1087">
        <f>AR16/'État des Résultats'!AR$14</f>
        <v>0</v>
      </c>
    </row>
    <row r="17" spans="2:49" x14ac:dyDescent="0.15">
      <c r="B17" s="551">
        <v>7325</v>
      </c>
      <c r="C17" s="414" t="s">
        <v>209</v>
      </c>
      <c r="E17" s="552">
        <v>0</v>
      </c>
      <c r="F17" s="553">
        <f>E17/'État des Résultats'!E$14</f>
        <v>0</v>
      </c>
      <c r="H17" s="552">
        <f t="shared" si="1"/>
        <v>0</v>
      </c>
      <c r="I17" s="553">
        <f>H17/'État des Résultats'!H$14</f>
        <v>0</v>
      </c>
      <c r="K17" s="552">
        <f t="shared" si="2"/>
        <v>0</v>
      </c>
      <c r="L17" s="553">
        <f>K17/'État des Résultats'!K$14</f>
        <v>0</v>
      </c>
      <c r="N17" s="552">
        <f t="shared" si="3"/>
        <v>0</v>
      </c>
      <c r="O17" s="553">
        <f>N17/'État des Résultats'!N$14</f>
        <v>0</v>
      </c>
      <c r="Q17" s="552">
        <f t="shared" si="4"/>
        <v>0</v>
      </c>
      <c r="R17" s="553">
        <f>Q17/'État des Résultats'!Q$14</f>
        <v>0</v>
      </c>
      <c r="T17" s="552">
        <f t="shared" si="5"/>
        <v>0</v>
      </c>
      <c r="U17" s="553">
        <f>T17/'État des Résultats'!T$14</f>
        <v>0</v>
      </c>
      <c r="W17" s="552">
        <f t="shared" si="6"/>
        <v>0</v>
      </c>
      <c r="X17" s="553">
        <f>W17/'État des Résultats'!W$14</f>
        <v>0</v>
      </c>
      <c r="Z17" s="552">
        <f t="shared" si="7"/>
        <v>0</v>
      </c>
      <c r="AA17" s="553">
        <f>Z17/'État des Résultats'!Z$14</f>
        <v>0</v>
      </c>
      <c r="AC17" s="552">
        <f t="shared" si="8"/>
        <v>0</v>
      </c>
      <c r="AD17" s="553">
        <f>AC17/'État des Résultats'!AC$14</f>
        <v>0</v>
      </c>
      <c r="AF17" s="552">
        <f t="shared" si="9"/>
        <v>0</v>
      </c>
      <c r="AG17" s="553">
        <f>AF17/'État des Résultats'!AF$14</f>
        <v>0</v>
      </c>
      <c r="AI17" s="552">
        <f t="shared" si="10"/>
        <v>0</v>
      </c>
      <c r="AJ17" s="553">
        <f>AI17/'État des Résultats'!AI$14</f>
        <v>0</v>
      </c>
      <c r="AL17" s="552">
        <f t="shared" si="11"/>
        <v>0</v>
      </c>
      <c r="AM17" s="553">
        <f>AL17/'État des Résultats'!AL$14</f>
        <v>0</v>
      </c>
      <c r="AO17" s="552">
        <f t="shared" si="12"/>
        <v>0</v>
      </c>
      <c r="AP17" s="553">
        <f>AO17/'État des Résultats'!AO$14</f>
        <v>0</v>
      </c>
      <c r="AQ17"/>
      <c r="AR17" s="1086">
        <f t="shared" si="0"/>
        <v>0</v>
      </c>
      <c r="AS17" s="1087">
        <f>AR17/'État des Résultats'!AR$14</f>
        <v>0</v>
      </c>
    </row>
    <row r="18" spans="2:49" x14ac:dyDescent="0.15">
      <c r="B18" s="551">
        <v>7330</v>
      </c>
      <c r="C18" s="414" t="s">
        <v>210</v>
      </c>
      <c r="E18" s="552">
        <v>0</v>
      </c>
      <c r="F18" s="553">
        <f>E18/'État des Résultats'!E$14</f>
        <v>0</v>
      </c>
      <c r="H18" s="552">
        <f t="shared" si="1"/>
        <v>0</v>
      </c>
      <c r="I18" s="553">
        <f>H18/'État des Résultats'!H$14</f>
        <v>0</v>
      </c>
      <c r="K18" s="552">
        <f t="shared" si="2"/>
        <v>0</v>
      </c>
      <c r="L18" s="553">
        <f>K18/'État des Résultats'!K$14</f>
        <v>0</v>
      </c>
      <c r="N18" s="552">
        <f t="shared" si="3"/>
        <v>0</v>
      </c>
      <c r="O18" s="553">
        <f>N18/'État des Résultats'!N$14</f>
        <v>0</v>
      </c>
      <c r="Q18" s="552">
        <f t="shared" si="4"/>
        <v>0</v>
      </c>
      <c r="R18" s="553">
        <f>Q18/'État des Résultats'!Q$14</f>
        <v>0</v>
      </c>
      <c r="T18" s="552">
        <f t="shared" si="5"/>
        <v>0</v>
      </c>
      <c r="U18" s="553">
        <f>T18/'État des Résultats'!T$14</f>
        <v>0</v>
      </c>
      <c r="W18" s="552">
        <f t="shared" si="6"/>
        <v>0</v>
      </c>
      <c r="X18" s="553">
        <f>W18/'État des Résultats'!W$14</f>
        <v>0</v>
      </c>
      <c r="Z18" s="552">
        <f t="shared" si="7"/>
        <v>0</v>
      </c>
      <c r="AA18" s="553">
        <f>Z18/'État des Résultats'!Z$14</f>
        <v>0</v>
      </c>
      <c r="AC18" s="552">
        <f t="shared" si="8"/>
        <v>0</v>
      </c>
      <c r="AD18" s="553">
        <f>AC18/'État des Résultats'!AC$14</f>
        <v>0</v>
      </c>
      <c r="AF18" s="552">
        <f t="shared" si="9"/>
        <v>0</v>
      </c>
      <c r="AG18" s="553">
        <f>AF18/'État des Résultats'!AF$14</f>
        <v>0</v>
      </c>
      <c r="AI18" s="552">
        <f t="shared" si="10"/>
        <v>0</v>
      </c>
      <c r="AJ18" s="553">
        <f>AI18/'État des Résultats'!AI$14</f>
        <v>0</v>
      </c>
      <c r="AL18" s="552">
        <f t="shared" si="11"/>
        <v>0</v>
      </c>
      <c r="AM18" s="553">
        <f>AL18/'État des Résultats'!AL$14</f>
        <v>0</v>
      </c>
      <c r="AO18" s="552">
        <f t="shared" si="12"/>
        <v>0</v>
      </c>
      <c r="AP18" s="553">
        <f>AO18/'État des Résultats'!AO$14</f>
        <v>0</v>
      </c>
      <c r="AQ18"/>
      <c r="AR18" s="1086">
        <f t="shared" si="0"/>
        <v>0</v>
      </c>
      <c r="AS18" s="1087">
        <f>AR18/'État des Résultats'!AR$14</f>
        <v>0</v>
      </c>
      <c r="AU18" s="139"/>
    </row>
    <row r="19" spans="2:49" x14ac:dyDescent="0.15">
      <c r="B19" s="551">
        <v>7335</v>
      </c>
      <c r="C19" s="414" t="s">
        <v>211</v>
      </c>
      <c r="E19" s="552">
        <v>0</v>
      </c>
      <c r="F19" s="553">
        <f>E19/'État des Résultats'!E$14</f>
        <v>0</v>
      </c>
      <c r="H19" s="552">
        <f t="shared" si="1"/>
        <v>0</v>
      </c>
      <c r="I19" s="553">
        <f>H19/'État des Résultats'!H$14</f>
        <v>0</v>
      </c>
      <c r="K19" s="552">
        <f t="shared" si="2"/>
        <v>0</v>
      </c>
      <c r="L19" s="553">
        <f>K19/'État des Résultats'!K$14</f>
        <v>0</v>
      </c>
      <c r="N19" s="552">
        <f t="shared" si="3"/>
        <v>0</v>
      </c>
      <c r="O19" s="553">
        <f>N19/'État des Résultats'!N$14</f>
        <v>0</v>
      </c>
      <c r="Q19" s="552">
        <f t="shared" si="4"/>
        <v>0</v>
      </c>
      <c r="R19" s="553">
        <f>Q19/'État des Résultats'!Q$14</f>
        <v>0</v>
      </c>
      <c r="T19" s="552">
        <f t="shared" si="5"/>
        <v>0</v>
      </c>
      <c r="U19" s="553">
        <f>T19/'État des Résultats'!T$14</f>
        <v>0</v>
      </c>
      <c r="W19" s="552">
        <f t="shared" si="6"/>
        <v>0</v>
      </c>
      <c r="X19" s="553">
        <f>W19/'État des Résultats'!W$14</f>
        <v>0</v>
      </c>
      <c r="Z19" s="552">
        <f t="shared" si="7"/>
        <v>0</v>
      </c>
      <c r="AA19" s="553">
        <f>Z19/'État des Résultats'!Z$14</f>
        <v>0</v>
      </c>
      <c r="AC19" s="552">
        <f t="shared" si="8"/>
        <v>0</v>
      </c>
      <c r="AD19" s="553">
        <f>AC19/'État des Résultats'!AC$14</f>
        <v>0</v>
      </c>
      <c r="AF19" s="552">
        <f t="shared" si="9"/>
        <v>0</v>
      </c>
      <c r="AG19" s="553">
        <f>AF19/'État des Résultats'!AF$14</f>
        <v>0</v>
      </c>
      <c r="AI19" s="552">
        <f t="shared" si="10"/>
        <v>0</v>
      </c>
      <c r="AJ19" s="553">
        <f>AI19/'État des Résultats'!AI$14</f>
        <v>0</v>
      </c>
      <c r="AL19" s="552">
        <f t="shared" si="11"/>
        <v>0</v>
      </c>
      <c r="AM19" s="553">
        <f>AL19/'État des Résultats'!AL$14</f>
        <v>0</v>
      </c>
      <c r="AO19" s="552">
        <f t="shared" si="12"/>
        <v>0</v>
      </c>
      <c r="AP19" s="553">
        <f>AO19/'État des Résultats'!AO$14</f>
        <v>0</v>
      </c>
      <c r="AQ19"/>
      <c r="AR19" s="1086">
        <f t="shared" si="0"/>
        <v>0</v>
      </c>
      <c r="AS19" s="1087">
        <f>AR19/'État des Résultats'!AR$14</f>
        <v>0</v>
      </c>
    </row>
    <row r="20" spans="2:49" x14ac:dyDescent="0.15">
      <c r="B20" s="551">
        <v>7340</v>
      </c>
      <c r="C20" s="414" t="s">
        <v>212</v>
      </c>
      <c r="E20" s="552">
        <v>0</v>
      </c>
      <c r="F20" s="553">
        <f>E20/'État des Résultats'!E$14</f>
        <v>0</v>
      </c>
      <c r="H20" s="552">
        <f t="shared" si="1"/>
        <v>0</v>
      </c>
      <c r="I20" s="553">
        <f>H20/'État des Résultats'!H$14</f>
        <v>0</v>
      </c>
      <c r="K20" s="552">
        <f t="shared" si="2"/>
        <v>0</v>
      </c>
      <c r="L20" s="553">
        <f>K20/'État des Résultats'!K$14</f>
        <v>0</v>
      </c>
      <c r="N20" s="552">
        <f t="shared" si="3"/>
        <v>0</v>
      </c>
      <c r="O20" s="553">
        <f>N20/'État des Résultats'!N$14</f>
        <v>0</v>
      </c>
      <c r="Q20" s="552">
        <f t="shared" si="4"/>
        <v>0</v>
      </c>
      <c r="R20" s="553">
        <f>Q20/'État des Résultats'!Q$14</f>
        <v>0</v>
      </c>
      <c r="T20" s="552">
        <f t="shared" si="5"/>
        <v>0</v>
      </c>
      <c r="U20" s="553">
        <f>T20/'État des Résultats'!T$14</f>
        <v>0</v>
      </c>
      <c r="W20" s="552">
        <f t="shared" si="6"/>
        <v>0</v>
      </c>
      <c r="X20" s="553">
        <f>W20/'État des Résultats'!W$14</f>
        <v>0</v>
      </c>
      <c r="Z20" s="552">
        <f t="shared" si="7"/>
        <v>0</v>
      </c>
      <c r="AA20" s="553">
        <f>Z20/'État des Résultats'!Z$14</f>
        <v>0</v>
      </c>
      <c r="AC20" s="552">
        <f t="shared" si="8"/>
        <v>0</v>
      </c>
      <c r="AD20" s="553">
        <f>AC20/'État des Résultats'!AC$14</f>
        <v>0</v>
      </c>
      <c r="AF20" s="552">
        <f t="shared" si="9"/>
        <v>0</v>
      </c>
      <c r="AG20" s="553">
        <f>AF20/'État des Résultats'!AF$14</f>
        <v>0</v>
      </c>
      <c r="AI20" s="552">
        <f t="shared" si="10"/>
        <v>0</v>
      </c>
      <c r="AJ20" s="553">
        <f>AI20/'État des Résultats'!AI$14</f>
        <v>0</v>
      </c>
      <c r="AL20" s="552">
        <f t="shared" si="11"/>
        <v>0</v>
      </c>
      <c r="AM20" s="553">
        <f>AL20/'État des Résultats'!AL$14</f>
        <v>0</v>
      </c>
      <c r="AO20" s="552">
        <f t="shared" si="12"/>
        <v>0</v>
      </c>
      <c r="AP20" s="553">
        <f>AO20/'État des Résultats'!AO$14</f>
        <v>0</v>
      </c>
      <c r="AQ20"/>
      <c r="AR20" s="1086">
        <f t="shared" si="0"/>
        <v>0</v>
      </c>
      <c r="AS20" s="1087">
        <f>AR20/'État des Résultats'!AR$14</f>
        <v>0</v>
      </c>
    </row>
    <row r="21" spans="2:49" x14ac:dyDescent="0.15">
      <c r="B21" s="551">
        <v>7345</v>
      </c>
      <c r="C21" s="414" t="s">
        <v>213</v>
      </c>
      <c r="E21" s="552">
        <v>0</v>
      </c>
      <c r="F21" s="553">
        <f>E21/'État des Résultats'!E$14</f>
        <v>0</v>
      </c>
      <c r="H21" s="552">
        <f t="shared" si="1"/>
        <v>0</v>
      </c>
      <c r="I21" s="553">
        <f>H21/'État des Résultats'!H$14</f>
        <v>0</v>
      </c>
      <c r="K21" s="552">
        <f t="shared" si="2"/>
        <v>0</v>
      </c>
      <c r="L21" s="553">
        <f>K21/'État des Résultats'!K$14</f>
        <v>0</v>
      </c>
      <c r="N21" s="552">
        <f t="shared" si="3"/>
        <v>0</v>
      </c>
      <c r="O21" s="553">
        <f>N21/'État des Résultats'!N$14</f>
        <v>0</v>
      </c>
      <c r="Q21" s="552">
        <f t="shared" si="4"/>
        <v>0</v>
      </c>
      <c r="R21" s="553">
        <f>Q21/'État des Résultats'!Q$14</f>
        <v>0</v>
      </c>
      <c r="T21" s="552">
        <f t="shared" si="5"/>
        <v>0</v>
      </c>
      <c r="U21" s="553">
        <f>T21/'État des Résultats'!T$14</f>
        <v>0</v>
      </c>
      <c r="W21" s="552">
        <f t="shared" si="6"/>
        <v>0</v>
      </c>
      <c r="X21" s="553">
        <f>W21/'État des Résultats'!W$14</f>
        <v>0</v>
      </c>
      <c r="Z21" s="552">
        <f t="shared" si="7"/>
        <v>0</v>
      </c>
      <c r="AA21" s="553">
        <f>Z21/'État des Résultats'!Z$14</f>
        <v>0</v>
      </c>
      <c r="AC21" s="552">
        <f t="shared" si="8"/>
        <v>0</v>
      </c>
      <c r="AD21" s="553">
        <f>AC21/'État des Résultats'!AC$14</f>
        <v>0</v>
      </c>
      <c r="AF21" s="552">
        <f t="shared" si="9"/>
        <v>0</v>
      </c>
      <c r="AG21" s="553">
        <f>AF21/'État des Résultats'!AF$14</f>
        <v>0</v>
      </c>
      <c r="AI21" s="552">
        <f t="shared" si="10"/>
        <v>0</v>
      </c>
      <c r="AJ21" s="553">
        <f>AI21/'État des Résultats'!AI$14</f>
        <v>0</v>
      </c>
      <c r="AL21" s="552">
        <f t="shared" si="11"/>
        <v>0</v>
      </c>
      <c r="AM21" s="553">
        <f>AL21/'État des Résultats'!AL$14</f>
        <v>0</v>
      </c>
      <c r="AO21" s="552">
        <f t="shared" si="12"/>
        <v>0</v>
      </c>
      <c r="AP21" s="553">
        <f>AO21/'État des Résultats'!AO$14</f>
        <v>0</v>
      </c>
      <c r="AQ21"/>
      <c r="AR21" s="1086">
        <f t="shared" si="0"/>
        <v>0</v>
      </c>
      <c r="AS21" s="1087">
        <f>AR21/'État des Résultats'!AR$14</f>
        <v>0</v>
      </c>
    </row>
    <row r="22" spans="2:49" x14ac:dyDescent="0.15">
      <c r="B22" s="551">
        <v>7350</v>
      </c>
      <c r="C22" s="414" t="s">
        <v>214</v>
      </c>
      <c r="E22" s="552">
        <v>0</v>
      </c>
      <c r="F22" s="553">
        <f>E22/'État des Résultats'!E$14</f>
        <v>0</v>
      </c>
      <c r="H22" s="552">
        <f t="shared" si="1"/>
        <v>0</v>
      </c>
      <c r="I22" s="553">
        <f>H22/'État des Résultats'!H$14</f>
        <v>0</v>
      </c>
      <c r="K22" s="552">
        <f t="shared" si="2"/>
        <v>0</v>
      </c>
      <c r="L22" s="553">
        <f>K22/'État des Résultats'!K$14</f>
        <v>0</v>
      </c>
      <c r="N22" s="552">
        <f t="shared" si="3"/>
        <v>0</v>
      </c>
      <c r="O22" s="553">
        <f>N22/'État des Résultats'!N$14</f>
        <v>0</v>
      </c>
      <c r="Q22" s="552">
        <f t="shared" si="4"/>
        <v>0</v>
      </c>
      <c r="R22" s="553">
        <f>Q22/'État des Résultats'!Q$14</f>
        <v>0</v>
      </c>
      <c r="T22" s="552">
        <f t="shared" si="5"/>
        <v>0</v>
      </c>
      <c r="U22" s="553">
        <f>T22/'État des Résultats'!T$14</f>
        <v>0</v>
      </c>
      <c r="W22" s="552">
        <f t="shared" si="6"/>
        <v>0</v>
      </c>
      <c r="X22" s="553">
        <f>W22/'État des Résultats'!W$14</f>
        <v>0</v>
      </c>
      <c r="Z22" s="552">
        <f t="shared" si="7"/>
        <v>0</v>
      </c>
      <c r="AA22" s="553">
        <f>Z22/'État des Résultats'!Z$14</f>
        <v>0</v>
      </c>
      <c r="AC22" s="552">
        <f t="shared" si="8"/>
        <v>0</v>
      </c>
      <c r="AD22" s="553">
        <f>AC22/'État des Résultats'!AC$14</f>
        <v>0</v>
      </c>
      <c r="AF22" s="552">
        <f t="shared" si="9"/>
        <v>0</v>
      </c>
      <c r="AG22" s="553">
        <f>AF22/'État des Résultats'!AF$14</f>
        <v>0</v>
      </c>
      <c r="AI22" s="552">
        <f t="shared" si="10"/>
        <v>0</v>
      </c>
      <c r="AJ22" s="553">
        <f>AI22/'État des Résultats'!AI$14</f>
        <v>0</v>
      </c>
      <c r="AL22" s="552">
        <f t="shared" si="11"/>
        <v>0</v>
      </c>
      <c r="AM22" s="553">
        <f>AL22/'État des Résultats'!AL$14</f>
        <v>0</v>
      </c>
      <c r="AO22" s="552">
        <f t="shared" si="12"/>
        <v>0</v>
      </c>
      <c r="AP22" s="553">
        <f>AO22/'État des Résultats'!AO$14</f>
        <v>0</v>
      </c>
      <c r="AQ22"/>
      <c r="AR22" s="1086">
        <f t="shared" si="0"/>
        <v>0</v>
      </c>
      <c r="AS22" s="1087">
        <f>AR22/'État des Résultats'!AR$14</f>
        <v>0</v>
      </c>
    </row>
    <row r="23" spans="2:49" x14ac:dyDescent="0.15">
      <c r="B23" s="551">
        <v>7360</v>
      </c>
      <c r="C23" s="414" t="s">
        <v>215</v>
      </c>
      <c r="E23" s="552">
        <v>0</v>
      </c>
      <c r="F23" s="553">
        <f>E23/'État des Résultats'!E$14</f>
        <v>0</v>
      </c>
      <c r="H23" s="552">
        <f t="shared" si="1"/>
        <v>0</v>
      </c>
      <c r="I23" s="553">
        <f>H23/'État des Résultats'!H$14</f>
        <v>0</v>
      </c>
      <c r="K23" s="552">
        <f t="shared" si="2"/>
        <v>0</v>
      </c>
      <c r="L23" s="553">
        <f>K23/'État des Résultats'!K$14</f>
        <v>0</v>
      </c>
      <c r="N23" s="552">
        <f t="shared" si="3"/>
        <v>0</v>
      </c>
      <c r="O23" s="553">
        <f>N23/'État des Résultats'!N$14</f>
        <v>0</v>
      </c>
      <c r="Q23" s="552">
        <f t="shared" si="4"/>
        <v>0</v>
      </c>
      <c r="R23" s="553">
        <f>Q23/'État des Résultats'!Q$14</f>
        <v>0</v>
      </c>
      <c r="T23" s="552">
        <f t="shared" si="5"/>
        <v>0</v>
      </c>
      <c r="U23" s="553">
        <f>T23/'État des Résultats'!T$14</f>
        <v>0</v>
      </c>
      <c r="W23" s="552">
        <f t="shared" si="6"/>
        <v>0</v>
      </c>
      <c r="X23" s="553">
        <f>W23/'État des Résultats'!W$14</f>
        <v>0</v>
      </c>
      <c r="Z23" s="552">
        <f t="shared" si="7"/>
        <v>0</v>
      </c>
      <c r="AA23" s="553">
        <f>Z23/'État des Résultats'!Z$14</f>
        <v>0</v>
      </c>
      <c r="AC23" s="552">
        <f t="shared" si="8"/>
        <v>0</v>
      </c>
      <c r="AD23" s="553">
        <f>AC23/'État des Résultats'!AC$14</f>
        <v>0</v>
      </c>
      <c r="AF23" s="552">
        <f t="shared" si="9"/>
        <v>0</v>
      </c>
      <c r="AG23" s="553">
        <f>AF23/'État des Résultats'!AF$14</f>
        <v>0</v>
      </c>
      <c r="AI23" s="552">
        <f t="shared" si="10"/>
        <v>0</v>
      </c>
      <c r="AJ23" s="553">
        <f>AI23/'État des Résultats'!AI$14</f>
        <v>0</v>
      </c>
      <c r="AL23" s="552">
        <f t="shared" si="11"/>
        <v>0</v>
      </c>
      <c r="AM23" s="553">
        <f>AL23/'État des Résultats'!AL$14</f>
        <v>0</v>
      </c>
      <c r="AO23" s="552">
        <f t="shared" si="12"/>
        <v>0</v>
      </c>
      <c r="AP23" s="553">
        <f>AO23/'État des Résultats'!AO$14</f>
        <v>0</v>
      </c>
      <c r="AQ23"/>
      <c r="AR23" s="1086">
        <f t="shared" si="0"/>
        <v>0</v>
      </c>
      <c r="AS23" s="1087">
        <f>AR23/'État des Résultats'!AR$14</f>
        <v>0</v>
      </c>
    </row>
    <row r="24" spans="2:49" x14ac:dyDescent="0.15">
      <c r="B24" s="551">
        <v>7399</v>
      </c>
      <c r="C24" s="414" t="s">
        <v>216</v>
      </c>
      <c r="E24" s="552">
        <f>0.01*'État des Résultats'!E14</f>
        <v>274.52199999999999</v>
      </c>
      <c r="F24" s="553">
        <f>E24/'État des Résultats'!E$14</f>
        <v>0.01</v>
      </c>
      <c r="H24" s="552">
        <f>0.01*'État des Résultats'!H14</f>
        <v>274.52199999999999</v>
      </c>
      <c r="I24" s="553">
        <f>H24/'État des Résultats'!H$14</f>
        <v>0.01</v>
      </c>
      <c r="K24" s="552">
        <f>0.01*'État des Résultats'!K14</f>
        <v>394.89600000000002</v>
      </c>
      <c r="L24" s="553">
        <f>K24/'État des Résultats'!K$14</f>
        <v>0.01</v>
      </c>
      <c r="N24" s="552">
        <f>0.01*'État des Résultats'!N14</f>
        <v>536.61562500000002</v>
      </c>
      <c r="O24" s="553">
        <f>N24/'État des Résultats'!N$14</f>
        <v>0.01</v>
      </c>
      <c r="Q24" s="552">
        <f>0.01*'État des Résultats'!Q14</f>
        <v>661.97625000000005</v>
      </c>
      <c r="R24" s="553">
        <f>Q24/'État des Résultats'!Q$14</f>
        <v>0.01</v>
      </c>
      <c r="T24" s="552">
        <f>0.01*'État des Résultats'!T14</f>
        <v>787.33687500000019</v>
      </c>
      <c r="U24" s="553">
        <f>T24/'État des Résultats'!T$14</f>
        <v>0.01</v>
      </c>
      <c r="W24" s="552">
        <f>0.01*'État des Résultats'!W14</f>
        <v>947.31505000000016</v>
      </c>
      <c r="X24" s="553">
        <f>W24/'État des Résultats'!W$14</f>
        <v>0.01</v>
      </c>
      <c r="Z24" s="552">
        <f>0.01*'État des Résultats'!Z14</f>
        <v>1079.3502500000002</v>
      </c>
      <c r="AA24" s="553">
        <f>Z24/'État des Résultats'!Z$14</f>
        <v>0.01</v>
      </c>
      <c r="AC24" s="552">
        <f>0.01*'État des Résultats'!AC14</f>
        <v>1079.3502500000002</v>
      </c>
      <c r="AD24" s="553">
        <f>AC24/'État des Résultats'!AC$14</f>
        <v>0.01</v>
      </c>
      <c r="AF24" s="552">
        <f>0.01*'État des Résultats'!AF14</f>
        <v>1120.6423750000001</v>
      </c>
      <c r="AG24" s="553">
        <f>AF24/'État des Résultats'!AF$14</f>
        <v>0.01</v>
      </c>
      <c r="AI24" s="552">
        <f>0.01*'État des Résultats'!AI14</f>
        <v>1120.6423750000001</v>
      </c>
      <c r="AJ24" s="553">
        <f>AI24/'État des Résultats'!AI$14</f>
        <v>0.01</v>
      </c>
      <c r="AL24" s="552">
        <f>0.01*'État des Résultats'!AL14</f>
        <v>985.30849999999998</v>
      </c>
      <c r="AM24" s="553">
        <f>AL24/'État des Résultats'!AL$14</f>
        <v>0.01</v>
      </c>
      <c r="AO24" s="552">
        <f>0.01*'État des Résultats'!AO14</f>
        <v>1021.6139999999999</v>
      </c>
      <c r="AP24" s="553">
        <f>AO24/'État des Résultats'!AO$14</f>
        <v>0.01</v>
      </c>
      <c r="AQ24"/>
      <c r="AR24" s="1086">
        <f t="shared" si="0"/>
        <v>10284.091550000005</v>
      </c>
      <c r="AS24" s="1087">
        <f>AR24/'État des Résultats'!AR$14</f>
        <v>1.0000000000000005E-2</v>
      </c>
    </row>
    <row r="25" spans="2:49" ht="14" thickBot="1" x14ac:dyDescent="0.2">
      <c r="B25" s="555" t="s">
        <v>1</v>
      </c>
      <c r="C25" s="556"/>
      <c r="E25" s="557" t="s">
        <v>1</v>
      </c>
      <c r="F25" s="558" t="s">
        <v>1</v>
      </c>
      <c r="H25" s="557" t="s">
        <v>1</v>
      </c>
      <c r="I25" s="558" t="s">
        <v>1</v>
      </c>
      <c r="K25" s="557" t="s">
        <v>1</v>
      </c>
      <c r="L25" s="558" t="s">
        <v>1</v>
      </c>
      <c r="N25" s="557"/>
      <c r="O25" s="558" t="s">
        <v>1</v>
      </c>
      <c r="Q25" s="557" t="s">
        <v>1</v>
      </c>
      <c r="R25" s="558" t="s">
        <v>1</v>
      </c>
      <c r="S25" s="559"/>
      <c r="T25" s="557" t="s">
        <v>1</v>
      </c>
      <c r="U25" s="558" t="s">
        <v>1</v>
      </c>
      <c r="W25" s="557" t="s">
        <v>1</v>
      </c>
      <c r="X25" s="558" t="s">
        <v>1</v>
      </c>
      <c r="Z25" s="557" t="s">
        <v>1</v>
      </c>
      <c r="AA25" s="558" t="s">
        <v>1</v>
      </c>
      <c r="AC25" s="557" t="s">
        <v>1</v>
      </c>
      <c r="AD25" s="558" t="s">
        <v>1</v>
      </c>
      <c r="AF25" s="557" t="s">
        <v>1</v>
      </c>
      <c r="AG25" s="558" t="str">
        <f>+AD25</f>
        <v xml:space="preserve"> </v>
      </c>
      <c r="AI25" s="557" t="s">
        <v>1</v>
      </c>
      <c r="AJ25" s="558" t="str">
        <f>+AG25</f>
        <v xml:space="preserve"> </v>
      </c>
      <c r="AL25" s="557" t="s">
        <v>1</v>
      </c>
      <c r="AM25" s="558" t="str">
        <f>+AJ25</f>
        <v xml:space="preserve"> </v>
      </c>
      <c r="AO25" s="571" t="s">
        <v>1</v>
      </c>
      <c r="AP25" s="572" t="s">
        <v>1</v>
      </c>
      <c r="AQ25"/>
      <c r="AR25" s="1086" t="s">
        <v>1</v>
      </c>
      <c r="AS25" s="1088" t="s">
        <v>1</v>
      </c>
    </row>
    <row r="26" spans="2:49" ht="15" thickTop="1" thickBot="1" x14ac:dyDescent="0.2">
      <c r="B26" s="560">
        <v>7300</v>
      </c>
      <c r="C26" s="561" t="s">
        <v>217</v>
      </c>
      <c r="D26" s="381"/>
      <c r="E26" s="562">
        <f>SUM(E13:E25)</f>
        <v>4702.8901538461541</v>
      </c>
      <c r="F26" s="563">
        <f>SUM(F13:F24)</f>
        <v>0.17131195874451427</v>
      </c>
      <c r="G26" s="381"/>
      <c r="H26" s="564">
        <f>SUM(H13:H25)</f>
        <v>4702.8901538461541</v>
      </c>
      <c r="I26" s="563">
        <f>SUM(I13:I24)</f>
        <v>0.17131195874451427</v>
      </c>
      <c r="J26" s="381"/>
      <c r="K26" s="562">
        <f>SUM(K13:K25)</f>
        <v>4943.6381538461537</v>
      </c>
      <c r="L26" s="563">
        <f>SUM(L13:L24)</f>
        <v>0.12518835728511188</v>
      </c>
      <c r="M26" s="381"/>
      <c r="N26" s="562">
        <f>SUM(N13:N25)</f>
        <v>5227.077403846155</v>
      </c>
      <c r="O26" s="563">
        <f>SUM(O13:O24)</f>
        <v>9.7408222204602296E-2</v>
      </c>
      <c r="P26" s="381"/>
      <c r="Q26" s="562">
        <f>SUM(Q13:Q25)</f>
        <v>5477.7986538461537</v>
      </c>
      <c r="R26" s="563">
        <f>SUM(R13:R24)</f>
        <v>8.2749171950597222E-2</v>
      </c>
      <c r="S26" s="381"/>
      <c r="T26" s="562">
        <f>SUM(T13:T25)</f>
        <v>5728.5199038461542</v>
      </c>
      <c r="U26" s="563">
        <f>SUM(U13:U24)</f>
        <v>7.275818122764989E-2</v>
      </c>
      <c r="V26" s="381"/>
      <c r="W26" s="562">
        <f>SUM(W13:W25)</f>
        <v>6048.4762538461546</v>
      </c>
      <c r="X26" s="563">
        <f>SUM(X13:X24)</f>
        <v>6.3848624107113616E-2</v>
      </c>
      <c r="Y26" s="381"/>
      <c r="Z26" s="562">
        <f>SUM(Z13:Z25)</f>
        <v>6312.5466538461551</v>
      </c>
      <c r="AA26" s="563">
        <f>SUM(AA13:AA24)</f>
        <v>5.8484691635974084E-2</v>
      </c>
      <c r="AB26" s="381"/>
      <c r="AC26" s="562">
        <f>SUM(AC13:AC25)</f>
        <v>6312.5466538461551</v>
      </c>
      <c r="AD26" s="563">
        <f>SUM(AD13:AD24)</f>
        <v>5.8484691635974084E-2</v>
      </c>
      <c r="AE26" s="381"/>
      <c r="AF26" s="562">
        <f>SUM(AF13:AF25)</f>
        <v>6395.130903846155</v>
      </c>
      <c r="AG26" s="563">
        <f>SUM(AG13:AG24)</f>
        <v>5.7066652542441601E-2</v>
      </c>
      <c r="AH26" s="381"/>
      <c r="AI26" s="562">
        <f>SUM(AI13:AI25)</f>
        <v>6395.130903846155</v>
      </c>
      <c r="AJ26" s="563">
        <f>SUM(AJ13:AJ24)</f>
        <v>5.7066652542441601E-2</v>
      </c>
      <c r="AK26" s="381"/>
      <c r="AL26" s="562">
        <f>SUM(AL13:AL25)</f>
        <v>6124.4631538461545</v>
      </c>
      <c r="AM26" s="563">
        <f>SUM(AM13:AM24)</f>
        <v>6.2157823197974596E-2</v>
      </c>
      <c r="AN26" s="381"/>
      <c r="AO26" s="562">
        <f>SUM(AO13:AO25)</f>
        <v>6197.0741538461534</v>
      </c>
      <c r="AP26" s="563">
        <f>SUM(AP13:AP24)</f>
        <v>6.065964399319268E-2</v>
      </c>
      <c r="AQ26"/>
      <c r="AR26" s="562">
        <f>SUM(AR13:AR25)</f>
        <v>74568.183100000024</v>
      </c>
      <c r="AS26" s="563">
        <f>SUM(AS13:AS24)</f>
        <v>7.250828402047825E-2</v>
      </c>
      <c r="AT26" s="381"/>
      <c r="AU26" s="381"/>
      <c r="AV26" s="381"/>
      <c r="AW26" s="545"/>
    </row>
    <row r="27" spans="2:49" ht="14" thickTop="1" x14ac:dyDescent="0.15">
      <c r="L27" s="279"/>
      <c r="O27" s="279"/>
      <c r="R27" s="279"/>
      <c r="U27" s="279"/>
      <c r="X27" s="279"/>
      <c r="AA27" s="279"/>
      <c r="AD27" s="279"/>
      <c r="AG27" s="279"/>
      <c r="AJ27" s="279"/>
      <c r="AM27" s="279"/>
      <c r="AQ27" s="279"/>
      <c r="AR27" s="279"/>
      <c r="AS27" s="279"/>
    </row>
    <row r="28" spans="2:49" x14ac:dyDescent="0.15">
      <c r="R28" s="279"/>
      <c r="U28" s="279"/>
      <c r="X28" s="279"/>
      <c r="AD28" s="279"/>
      <c r="AG28" s="279"/>
      <c r="AJ28" s="279"/>
      <c r="AM28" s="279"/>
    </row>
    <row r="29" spans="2:49" x14ac:dyDescent="0.15">
      <c r="U29" s="279"/>
      <c r="AG29" s="279"/>
      <c r="AJ29" s="279"/>
      <c r="AM29" s="279"/>
    </row>
    <row r="30" spans="2:49" x14ac:dyDescent="0.15">
      <c r="C30" s="138" t="s">
        <v>1</v>
      </c>
      <c r="E30" s="138" t="s">
        <v>1</v>
      </c>
      <c r="G30" s="138" t="s">
        <v>1</v>
      </c>
      <c r="H30" s="138" t="s">
        <v>1</v>
      </c>
      <c r="U30" s="279"/>
      <c r="AG30" s="279"/>
      <c r="AJ30" s="279"/>
      <c r="AM30" s="279"/>
    </row>
    <row r="31" spans="2:49" x14ac:dyDescent="0.15">
      <c r="H31" s="138" t="s">
        <v>1</v>
      </c>
      <c r="AG31" s="279"/>
      <c r="AJ31" s="279"/>
      <c r="AM31" s="279"/>
    </row>
    <row r="32" spans="2:49" x14ac:dyDescent="0.15">
      <c r="H32" s="138" t="s">
        <v>1</v>
      </c>
      <c r="AM32" s="279"/>
    </row>
    <row r="33" spans="8:71" x14ac:dyDescent="0.15">
      <c r="H33" s="138" t="s">
        <v>1</v>
      </c>
      <c r="BD33" s="336"/>
      <c r="BE33" s="336"/>
      <c r="BF33" s="336"/>
      <c r="BG33" s="336"/>
      <c r="BH33" s="336"/>
      <c r="BI33" s="336"/>
      <c r="BJ33" s="336"/>
      <c r="BK33" s="336"/>
      <c r="BL33" s="336"/>
      <c r="BM33" s="336"/>
      <c r="BN33" s="336"/>
      <c r="BO33" s="336"/>
      <c r="BP33" s="336"/>
      <c r="BQ33" s="336"/>
      <c r="BR33" s="336"/>
      <c r="BS33" s="336"/>
    </row>
    <row r="34" spans="8:71" x14ac:dyDescent="0.15">
      <c r="H34" s="138" t="s">
        <v>1</v>
      </c>
    </row>
    <row r="35" spans="8:71" x14ac:dyDescent="0.15">
      <c r="H35" s="138" t="s">
        <v>1</v>
      </c>
    </row>
    <row r="45" spans="8:71" x14ac:dyDescent="0.15">
      <c r="H45" s="565"/>
    </row>
  </sheetData>
  <sheetProtection algorithmName="SHA-512" hashValue="+x2+ZjHhabDK9dU8Bx0dNclofbyusM99m3r+oMd3RWkGCvzWnXfjGiBymr4jLwwEZJmqbb1KIAWWCcEhmZ5+Wg==" saltValue="lx6uAV0mou/a95DZ7BjQ9g==" spinCount="100000" sheet="1" objects="1" scenarios="1"/>
  <mergeCells count="9">
    <mergeCell ref="B9:C9"/>
    <mergeCell ref="B2:C2"/>
    <mergeCell ref="AU2:AU8"/>
    <mergeCell ref="BE2:BE8"/>
    <mergeCell ref="B3:C3"/>
    <mergeCell ref="B4:C4"/>
    <mergeCell ref="B6:C6"/>
    <mergeCell ref="B7:C7"/>
    <mergeCell ref="B8:C8"/>
  </mergeCells>
  <hyperlinks>
    <hyperlink ref="C11" r:id="rId1" display="Coût d’occupation" xr:uid="{21F87337-C399-9A4D-B901-61C54F4F1314}"/>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69C03-788E-9D45-AC7F-7D99B544BDDD}">
  <sheetPr codeName="Feuil9">
    <tabColor theme="1"/>
    <pageSetUpPr fitToPage="1"/>
  </sheetPr>
  <dimension ref="B1:BT53"/>
  <sheetViews>
    <sheetView zoomScale="118" zoomScaleNormal="125" zoomScalePageLayoutView="125" workbookViewId="0">
      <selection activeCell="K13" sqref="K13"/>
    </sheetView>
  </sheetViews>
  <sheetFormatPr baseColWidth="10" defaultRowHeight="13" x14ac:dyDescent="0.15"/>
  <cols>
    <col min="1" max="1" width="2.1640625" style="138" customWidth="1"/>
    <col min="2" max="2" width="5.1640625" style="138" customWidth="1"/>
    <col min="3" max="3" width="48.33203125" style="138" customWidth="1"/>
    <col min="4" max="4" width="0.83203125" style="138" customWidth="1"/>
    <col min="5" max="5" width="14.33203125" style="138" customWidth="1"/>
    <col min="6" max="6" width="7.83203125" style="138" customWidth="1"/>
    <col min="7" max="7" width="0.83203125" style="138" customWidth="1"/>
    <col min="8" max="8" width="14.33203125" style="138" customWidth="1"/>
    <col min="9" max="9" width="7.83203125" style="138" customWidth="1"/>
    <col min="10" max="10" width="0.83203125" style="138" customWidth="1"/>
    <col min="11" max="11" width="14.33203125" style="138" customWidth="1"/>
    <col min="12" max="12" width="7.83203125" style="138" customWidth="1"/>
    <col min="13" max="13" width="0.83203125" style="138" customWidth="1"/>
    <col min="14" max="14" width="14.33203125" style="138" customWidth="1"/>
    <col min="15" max="15" width="7.83203125" style="138" customWidth="1"/>
    <col min="16" max="16" width="0.83203125" style="138" customWidth="1"/>
    <col min="17" max="17" width="14.33203125" style="138" customWidth="1"/>
    <col min="18" max="18" width="7.83203125" style="138" customWidth="1"/>
    <col min="19" max="19" width="0.83203125" style="138" customWidth="1"/>
    <col min="20" max="20" width="14.33203125" style="138" customWidth="1"/>
    <col min="21" max="21" width="7.83203125" style="138" customWidth="1"/>
    <col min="22" max="22" width="0.83203125" style="138" customWidth="1"/>
    <col min="23" max="23" width="14.33203125" style="138" customWidth="1"/>
    <col min="24" max="24" width="7.83203125" style="138" customWidth="1"/>
    <col min="25" max="25" width="0.83203125" style="138" customWidth="1"/>
    <col min="26" max="26" width="14.33203125" style="138" customWidth="1"/>
    <col min="27" max="27" width="7.83203125" style="138" customWidth="1"/>
    <col min="28" max="28" width="0.83203125" style="138" customWidth="1"/>
    <col min="29" max="29" width="14.33203125" style="138" customWidth="1"/>
    <col min="30" max="30" width="7.83203125" style="138" customWidth="1"/>
    <col min="31" max="31" width="0.83203125" style="138" customWidth="1"/>
    <col min="32" max="32" width="14.33203125" style="138" customWidth="1"/>
    <col min="33" max="33" width="9.5" style="138" bestFit="1" customWidth="1"/>
    <col min="34" max="34" width="0.83203125" style="138" customWidth="1"/>
    <col min="35" max="35" width="14.33203125" style="138" customWidth="1"/>
    <col min="36" max="36" width="9.5" style="138" bestFit="1" customWidth="1"/>
    <col min="37" max="37" width="0.83203125" style="138" customWidth="1"/>
    <col min="38" max="38" width="14.33203125" style="138" customWidth="1"/>
    <col min="39" max="39" width="7.83203125" style="138" customWidth="1"/>
    <col min="40" max="40" width="0.83203125" style="138" customWidth="1"/>
    <col min="41" max="41" width="14.33203125" style="138" customWidth="1"/>
    <col min="42" max="42" width="8.1640625" style="138" customWidth="1"/>
    <col min="43" max="43" width="1.83203125" style="138" customWidth="1"/>
    <col min="44" max="44" width="14.5" style="138" bestFit="1" customWidth="1"/>
    <col min="45" max="45" width="11.1640625" style="138" customWidth="1"/>
    <col min="46" max="46" width="2.1640625" style="138" customWidth="1"/>
    <col min="47" max="47" width="2" style="138" customWidth="1"/>
    <col min="48" max="48" width="10.83203125" style="138"/>
    <col min="49" max="49" width="14.6640625" style="138" bestFit="1" customWidth="1"/>
    <col min="50" max="50" width="2.5" style="138" bestFit="1" customWidth="1"/>
    <col min="51" max="51" width="26.83203125" style="138" bestFit="1" customWidth="1"/>
    <col min="52" max="52" width="2.5" style="138" bestFit="1" customWidth="1"/>
    <col min="53" max="53" width="2" style="138" bestFit="1" customWidth="1"/>
    <col min="54" max="54" width="10.83203125" style="138"/>
    <col min="55" max="55" width="2.5" style="138" bestFit="1" customWidth="1"/>
    <col min="56" max="56" width="10.83203125" style="138"/>
    <col min="57" max="57" width="2" style="138" bestFit="1" customWidth="1"/>
    <col min="58" max="16384" width="10.83203125" style="138"/>
  </cols>
  <sheetData>
    <row r="1" spans="2:59" ht="14" thickBot="1" x14ac:dyDescent="0.2"/>
    <row r="2" spans="2:59" ht="20" customHeight="1" thickTop="1" x14ac:dyDescent="0.2">
      <c r="B2" s="1525" t="str">
        <f>'État des Résultats'!C2</f>
        <v>Votre entreprise inc.</v>
      </c>
      <c r="C2" s="1526"/>
      <c r="AV2" s="1540" t="s">
        <v>45</v>
      </c>
      <c r="AW2" s="602"/>
      <c r="AX2" s="602"/>
      <c r="AY2" s="602"/>
      <c r="AZ2" s="602"/>
      <c r="BA2" s="602"/>
      <c r="BB2" s="602"/>
      <c r="BC2" s="602"/>
      <c r="BD2" s="602"/>
      <c r="BE2" s="602"/>
      <c r="BF2" s="1543" t="s">
        <v>46</v>
      </c>
    </row>
    <row r="3" spans="2:59" ht="20" customHeight="1" x14ac:dyDescent="0.2">
      <c r="B3" s="1533" t="str">
        <f>'État des Résultats'!C3</f>
        <v xml:space="preserve">États des résultats </v>
      </c>
      <c r="C3" s="1534"/>
      <c r="AV3" s="1541"/>
      <c r="AW3" s="603"/>
      <c r="AX3" s="603"/>
      <c r="AY3" s="603"/>
      <c r="AZ3" s="603"/>
      <c r="BA3" s="603"/>
      <c r="BB3" s="603"/>
      <c r="BC3" s="603"/>
      <c r="BD3" s="603"/>
      <c r="BE3" s="603"/>
      <c r="BF3" s="1544"/>
    </row>
    <row r="4" spans="2:59" ht="22" thickBot="1" x14ac:dyDescent="0.3">
      <c r="B4" s="1535" t="str">
        <f>'État des Résultats'!C4</f>
        <v>Pour la période du 2 janvier 2023 au 31 décembre 2023</v>
      </c>
      <c r="C4" s="1536"/>
      <c r="AV4" s="1541"/>
      <c r="AW4" s="604" t="str">
        <f>'[1]Formule pour le calcul D'!BA103</f>
        <v>Coût annuel</v>
      </c>
      <c r="AX4" s="604" t="s">
        <v>48</v>
      </c>
      <c r="AY4" s="604" t="str">
        <f>'[1]Formule pour le calcul D'!BC103</f>
        <v>Achalandage annuelle</v>
      </c>
      <c r="AZ4" s="604" t="s">
        <v>50</v>
      </c>
      <c r="BA4" s="604" t="s">
        <v>51</v>
      </c>
      <c r="BB4" s="604" t="str">
        <f>'[1]Formule pour le calcul D'!BF103</f>
        <v>Um/A</v>
      </c>
      <c r="BC4" s="604" t="s">
        <v>50</v>
      </c>
      <c r="BD4" s="604" t="str">
        <f>'[1]Formule pour le calcul D'!BH103</f>
        <v>CmO</v>
      </c>
      <c r="BE4" s="604" t="s">
        <v>54</v>
      </c>
      <c r="BF4" s="1544"/>
    </row>
    <row r="5" spans="2:59" ht="21" thickTop="1" thickBot="1" x14ac:dyDescent="0.3">
      <c r="AV5" s="1541"/>
      <c r="AW5" s="605" t="s">
        <v>1</v>
      </c>
      <c r="AX5" s="184"/>
      <c r="AY5" s="605"/>
      <c r="AZ5" s="184"/>
      <c r="BA5" s="184"/>
      <c r="BB5" s="184"/>
      <c r="BC5" s="184"/>
      <c r="BD5" s="184"/>
      <c r="BE5" s="184"/>
      <c r="BF5" s="1544"/>
    </row>
    <row r="6" spans="2:59" ht="27" thickTop="1" x14ac:dyDescent="0.3">
      <c r="B6" s="1489" t="str">
        <f>'État des Résultats'!C6</f>
        <v>Nb de places</v>
      </c>
      <c r="C6" s="1537"/>
      <c r="E6" s="530" t="str">
        <f>'Coût d''occupation '!E6</f>
        <v>Coût / place / jour</v>
      </c>
      <c r="F6" s="531">
        <f>E34/B7/'Calendrier 2023'!D7</f>
        <v>0.40150119047619043</v>
      </c>
      <c r="G6" s="336"/>
      <c r="H6" s="530" t="str">
        <f>+E6</f>
        <v>Coût / place / jour</v>
      </c>
      <c r="I6" s="531">
        <f>H34/B7/'Calendrier 2023'!E7</f>
        <v>0.40150119047619043</v>
      </c>
      <c r="J6" s="336"/>
      <c r="K6" s="530" t="str">
        <f>+H6</f>
        <v>Coût / place / jour</v>
      </c>
      <c r="L6" s="531">
        <f>K34/B7/'Calendrier 2023'!F7</f>
        <v>0.47315238095238094</v>
      </c>
      <c r="M6" s="336"/>
      <c r="N6" s="530" t="str">
        <f>+K6</f>
        <v>Coût / place / jour</v>
      </c>
      <c r="O6" s="531">
        <f>N34/B7/'Calendrier 2023'!G7</f>
        <v>0.55750930059523818</v>
      </c>
      <c r="P6" s="532"/>
      <c r="Q6" s="530" t="str">
        <f>+N6</f>
        <v>Coût / place / jour</v>
      </c>
      <c r="R6" s="531">
        <f>Q34/B7/'Calendrier 2023'!H7</f>
        <v>0.63212872023809541</v>
      </c>
      <c r="S6" s="532"/>
      <c r="T6" s="530" t="str">
        <f>+Q6</f>
        <v>Coût / place / jour</v>
      </c>
      <c r="U6" s="531">
        <f>T34/B7/'Calendrier 2023'!I7</f>
        <v>0.70674813988095242</v>
      </c>
      <c r="V6" s="336"/>
      <c r="W6" s="530" t="str">
        <f>+T6</f>
        <v>Coût / place / jour</v>
      </c>
      <c r="X6" s="531">
        <f>W34/B7/'Calendrier 2023'!J7</f>
        <v>0.80197324404761905</v>
      </c>
      <c r="Y6" s="336"/>
      <c r="Z6" s="530" t="str">
        <f>+W6</f>
        <v>Coût / place / jour</v>
      </c>
      <c r="AA6" s="531">
        <f>Z34/B7/'Calendrier 2023'!K7</f>
        <v>0.88056562500000013</v>
      </c>
      <c r="AB6" s="336"/>
      <c r="AC6" s="530" t="str">
        <f>+Z6</f>
        <v>Coût / place / jour</v>
      </c>
      <c r="AD6" s="531">
        <f>AC34/B7/'Calendrier 2023'!L7</f>
        <v>0.88056562500000013</v>
      </c>
      <c r="AE6" s="336"/>
      <c r="AF6" s="530" t="str">
        <f>+AC6</f>
        <v>Coût / place / jour</v>
      </c>
      <c r="AG6" s="531">
        <f>AF34/B7/'Calendrier 2023'!M7</f>
        <v>0.90514427083333338</v>
      </c>
      <c r="AH6" s="336"/>
      <c r="AI6" s="530" t="str">
        <f>+AF6</f>
        <v>Coût / place / jour</v>
      </c>
      <c r="AJ6" s="531">
        <f>AI34/B7/'Calendrier 2023'!N7</f>
        <v>0.90514427083333338</v>
      </c>
      <c r="AK6" s="336"/>
      <c r="AL6" s="530" t="str">
        <f>+AI6</f>
        <v>Coût / place / jour</v>
      </c>
      <c r="AM6" s="531">
        <f>AL34/B7/'Calendrier 2023'!O7</f>
        <v>0.82458839285714292</v>
      </c>
      <c r="AN6" s="336"/>
      <c r="AO6" s="606" t="str">
        <f>+AL6</f>
        <v>Coût / place / jour</v>
      </c>
      <c r="AP6" s="607">
        <f>AO34/B7/'Calendrier 2023'!P7</f>
        <v>0.84619880952380944</v>
      </c>
      <c r="AQ6"/>
      <c r="AR6" s="1078" t="str">
        <f>AO6</f>
        <v>Coût / place / jour</v>
      </c>
      <c r="AS6" s="1056">
        <f>AR34/B7/'Calendrier 2023'!R7</f>
        <v>0.70897855082417605</v>
      </c>
      <c r="AT6"/>
      <c r="AU6"/>
      <c r="AV6" s="1541"/>
      <c r="AW6" s="608" t="str">
        <f>'[1]Formule pour le calcul D'!BA105</f>
        <v xml:space="preserve">C </v>
      </c>
      <c r="AX6" s="609"/>
      <c r="AY6" s="608" t="str">
        <f>'[1]Formule pour le calcul D'!BC105</f>
        <v>A</v>
      </c>
      <c r="AZ6" s="609"/>
      <c r="BA6" s="609"/>
      <c r="BB6" s="608" t="str">
        <f>BB4</f>
        <v>Um/A</v>
      </c>
      <c r="BC6" s="609"/>
      <c r="BD6" s="608" t="str">
        <f>BD4</f>
        <v>CmO</v>
      </c>
      <c r="BE6" s="609"/>
      <c r="BF6" s="1544"/>
    </row>
    <row r="7" spans="2:59" ht="21" x14ac:dyDescent="0.25">
      <c r="B7" s="1538">
        <f>'État des Résultats'!C7</f>
        <v>30</v>
      </c>
      <c r="C7" s="1539"/>
      <c r="E7" s="535">
        <f>+E34/$AR34</f>
        <v>4.3562258581453538E-2</v>
      </c>
      <c r="F7" s="536"/>
      <c r="H7" s="535">
        <f>+H34/$AR34</f>
        <v>4.3562258581453538E-2</v>
      </c>
      <c r="I7" s="536"/>
      <c r="K7" s="535">
        <f>+K34/$AR34</f>
        <v>5.1336301999583549E-2</v>
      </c>
      <c r="L7" s="537"/>
      <c r="N7" s="535">
        <f>+N34/$AR34</f>
        <v>6.0488897393531603E-2</v>
      </c>
      <c r="O7" s="537"/>
      <c r="P7" s="538"/>
      <c r="Q7" s="535">
        <f>+Q34/$AR34</f>
        <v>6.8584989088365328E-2</v>
      </c>
      <c r="R7" s="537"/>
      <c r="S7" s="538"/>
      <c r="T7" s="535">
        <f>+T34/$AR34</f>
        <v>7.6681080783199046E-2</v>
      </c>
      <c r="U7" s="537"/>
      <c r="W7" s="535">
        <f>+W34/$AR34</f>
        <v>8.701285739943844E-2</v>
      </c>
      <c r="X7" s="537"/>
      <c r="Z7" s="535">
        <f>+Z34/$AR34</f>
        <v>9.5540009255499381E-2</v>
      </c>
      <c r="AA7" s="537"/>
      <c r="AC7" s="535">
        <f>+AC34/$AR34</f>
        <v>9.5540009255499381E-2</v>
      </c>
      <c r="AD7" s="537"/>
      <c r="AF7" s="535">
        <f>+AF34/$AR34</f>
        <v>9.8206754338132266E-2</v>
      </c>
      <c r="AG7" s="537"/>
      <c r="AI7" s="535">
        <f>+AI34/$AR34</f>
        <v>9.8206754338132266E-2</v>
      </c>
      <c r="AJ7" s="537"/>
      <c r="AL7" s="535">
        <f>+AL34/$AR34</f>
        <v>8.946656608989112E-2</v>
      </c>
      <c r="AM7" s="537"/>
      <c r="AO7" s="535">
        <f>+AO34/$AR34</f>
        <v>9.1811262895820298E-2</v>
      </c>
      <c r="AP7" s="611" t="s">
        <v>151</v>
      </c>
      <c r="AQ7"/>
      <c r="AR7" s="1079">
        <f>+AR34/$AR34</f>
        <v>1</v>
      </c>
      <c r="AS7" s="1080" t="str">
        <f>AP7</f>
        <v>364 jours</v>
      </c>
      <c r="AT7"/>
      <c r="AU7"/>
      <c r="AV7" s="1541"/>
      <c r="AW7" s="612">
        <f>AR34</f>
        <v>7742.0457750000023</v>
      </c>
      <c r="AX7" s="604" t="s">
        <v>48</v>
      </c>
      <c r="AY7" s="613">
        <f>'Formule pour le calcul D'!G114</f>
        <v>54651</v>
      </c>
      <c r="AZ7" s="604" t="s">
        <v>50</v>
      </c>
      <c r="BA7" s="604" t="s">
        <v>51</v>
      </c>
      <c r="BB7" s="614">
        <f>'Formule pour le calcul D'!J114</f>
        <v>2.2692307692307692</v>
      </c>
      <c r="BC7" s="604" t="s">
        <v>50</v>
      </c>
      <c r="BD7" s="612">
        <f>AW7/AY7/BB7</f>
        <v>6.2427933351507231E-2</v>
      </c>
      <c r="BE7" s="604" t="s">
        <v>54</v>
      </c>
      <c r="BF7" s="1544"/>
    </row>
    <row r="8" spans="2:59" ht="17" thickBot="1" x14ac:dyDescent="0.25">
      <c r="B8" s="1493" t="s">
        <v>219</v>
      </c>
      <c r="C8" s="1539"/>
      <c r="E8" s="539" t="str">
        <f>'Calendrier 2023'!D5</f>
        <v>Pér.01</v>
      </c>
      <c r="F8" s="540" t="str">
        <f>'État des Résultats'!F8</f>
        <v>(%)</v>
      </c>
      <c r="G8" s="541"/>
      <c r="H8" s="539" t="str">
        <f>'Calendrier 2023'!E5</f>
        <v>Pér.02</v>
      </c>
      <c r="I8" s="540" t="str">
        <f>F8</f>
        <v>(%)</v>
      </c>
      <c r="J8" s="541"/>
      <c r="K8" s="539" t="str">
        <f>'Calendrier 2023'!F5</f>
        <v>Pér.03</v>
      </c>
      <c r="L8" s="540" t="str">
        <f>I8</f>
        <v>(%)</v>
      </c>
      <c r="M8" s="541"/>
      <c r="N8" s="539" t="str">
        <f>'Calendrier 2023'!G5</f>
        <v>Pér.04</v>
      </c>
      <c r="O8" s="540" t="str">
        <f>L8</f>
        <v>(%)</v>
      </c>
      <c r="P8" s="542"/>
      <c r="Q8" s="539" t="str">
        <f>'Calendrier 2023'!H5</f>
        <v>Pér.05</v>
      </c>
      <c r="R8" s="540" t="str">
        <f>O8</f>
        <v>(%)</v>
      </c>
      <c r="S8" s="542"/>
      <c r="T8" s="539" t="str">
        <f>'Calendrier 2023'!I5</f>
        <v>Pér.06</v>
      </c>
      <c r="U8" s="540" t="str">
        <f>R8</f>
        <v>(%)</v>
      </c>
      <c r="V8" s="541"/>
      <c r="W8" s="539" t="str">
        <f>'Calendrier 2023'!J5</f>
        <v>Pér.07</v>
      </c>
      <c r="X8" s="540" t="str">
        <f>U8</f>
        <v>(%)</v>
      </c>
      <c r="Y8" s="541"/>
      <c r="Z8" s="539" t="str">
        <f>'Calendrier 2023'!K5</f>
        <v>Pér.08</v>
      </c>
      <c r="AA8" s="540" t="str">
        <f>X8</f>
        <v>(%)</v>
      </c>
      <c r="AB8" s="541"/>
      <c r="AC8" s="539" t="str">
        <f>'Calendrier 2023'!L5</f>
        <v>Pér.09</v>
      </c>
      <c r="AD8" s="540" t="str">
        <f>AA8</f>
        <v>(%)</v>
      </c>
      <c r="AE8" s="541"/>
      <c r="AF8" s="539" t="str">
        <f>'Calendrier 2023'!M5</f>
        <v>Pér.10</v>
      </c>
      <c r="AG8" s="540" t="str">
        <f>AD8</f>
        <v>(%)</v>
      </c>
      <c r="AH8" s="541"/>
      <c r="AI8" s="539" t="str">
        <f>'Calendrier 2023'!N5</f>
        <v>Pér.11</v>
      </c>
      <c r="AJ8" s="540" t="str">
        <f>AG8</f>
        <v>(%)</v>
      </c>
      <c r="AK8" s="541"/>
      <c r="AL8" s="539" t="str">
        <f>'Calendrier 2023'!O5</f>
        <v>Pér.12</v>
      </c>
      <c r="AM8" s="540" t="str">
        <f>AJ8</f>
        <v>(%)</v>
      </c>
      <c r="AN8" s="543" t="s">
        <v>1</v>
      </c>
      <c r="AO8" s="615" t="str">
        <f>'Calendrier 2023'!P5</f>
        <v>Pér.13</v>
      </c>
      <c r="AP8" s="540" t="str">
        <f>AM8</f>
        <v>(%)</v>
      </c>
      <c r="AQ8"/>
      <c r="AR8" s="1058" t="str">
        <f>'Achalandage journalier'!Q5</f>
        <v>Année</v>
      </c>
      <c r="AS8" s="1059" t="str">
        <f>AP8</f>
        <v>(%)</v>
      </c>
      <c r="AT8"/>
      <c r="AU8"/>
      <c r="AV8" s="1542"/>
      <c r="AW8" s="616"/>
      <c r="AX8" s="616"/>
      <c r="AY8" s="616"/>
      <c r="AZ8" s="616"/>
      <c r="BA8" s="616"/>
      <c r="BB8" s="616"/>
      <c r="BC8" s="616"/>
      <c r="BD8" s="616"/>
      <c r="BE8" s="616"/>
      <c r="BF8" s="1545"/>
    </row>
    <row r="9" spans="2:59" ht="15" thickTop="1" thickBot="1" x14ac:dyDescent="0.2">
      <c r="B9" s="1495">
        <f>AO34/$B$7</f>
        <v>23.693566666666666</v>
      </c>
      <c r="C9" s="1524"/>
      <c r="E9" s="574">
        <f>'Achalandage journalier'!D6</f>
        <v>44928</v>
      </c>
      <c r="F9" s="575"/>
      <c r="G9" s="576"/>
      <c r="H9" s="577">
        <f>'Achalandage journalier'!E6</f>
        <v>44956</v>
      </c>
      <c r="I9" s="578"/>
      <c r="J9" s="576"/>
      <c r="K9" s="577">
        <f>'Achalandage journalier'!F6</f>
        <v>44984</v>
      </c>
      <c r="L9" s="578"/>
      <c r="M9" s="576"/>
      <c r="N9" s="574">
        <f>'Achalandage journalier'!G6</f>
        <v>45012</v>
      </c>
      <c r="O9" s="575"/>
      <c r="P9" s="579"/>
      <c r="Q9" s="574">
        <f>'Achalandage journalier'!H6</f>
        <v>45040</v>
      </c>
      <c r="R9" s="575"/>
      <c r="S9" s="579"/>
      <c r="T9" s="577">
        <f>'Achalandage journalier'!I6</f>
        <v>45068</v>
      </c>
      <c r="U9" s="578"/>
      <c r="V9" s="576"/>
      <c r="W9" s="577">
        <f>'Achalandage journalier'!J6</f>
        <v>45096</v>
      </c>
      <c r="X9" s="578"/>
      <c r="Y9" s="576"/>
      <c r="Z9" s="577">
        <f>'Achalandage journalier'!K6</f>
        <v>45124</v>
      </c>
      <c r="AA9" s="578"/>
      <c r="AB9" s="576"/>
      <c r="AC9" s="577">
        <f>'Achalandage journalier'!L6</f>
        <v>45152</v>
      </c>
      <c r="AD9" s="578"/>
      <c r="AE9" s="576"/>
      <c r="AF9" s="577">
        <f>'Achalandage journalier'!M6</f>
        <v>45180</v>
      </c>
      <c r="AG9" s="578"/>
      <c r="AH9" s="576"/>
      <c r="AI9" s="577">
        <f>'Achalandage journalier'!N6</f>
        <v>45208</v>
      </c>
      <c r="AJ9" s="578"/>
      <c r="AK9" s="576"/>
      <c r="AL9" s="577">
        <f>'Achalandage journalier'!O6</f>
        <v>45236</v>
      </c>
      <c r="AM9" s="578"/>
      <c r="AN9" s="576"/>
      <c r="AO9" s="638">
        <f>'Achalandage journalier'!P6</f>
        <v>45264</v>
      </c>
      <c r="AP9" s="639"/>
      <c r="AQ9"/>
      <c r="AR9" s="1089" t="str">
        <f>'Achalandage journalier'!Q6</f>
        <v>Total</v>
      </c>
      <c r="AS9" s="1090"/>
      <c r="AT9"/>
      <c r="AU9"/>
      <c r="AV9" s="545"/>
      <c r="BC9" s="398"/>
    </row>
    <row r="10" spans="2:59" ht="15" thickTop="1" thickBot="1" x14ac:dyDescent="0.2">
      <c r="D10" s="545"/>
      <c r="G10" s="546"/>
      <c r="J10" s="546"/>
      <c r="M10" s="546"/>
      <c r="P10" s="547"/>
      <c r="S10" s="547"/>
      <c r="V10" s="546"/>
      <c r="Y10" s="366"/>
      <c r="AB10" s="546"/>
      <c r="AE10" s="546"/>
      <c r="AH10" s="546"/>
      <c r="AK10" s="546"/>
      <c r="AN10" s="546"/>
      <c r="AQ10"/>
      <c r="AT10"/>
      <c r="AU10"/>
      <c r="AV10" s="336"/>
      <c r="AW10" s="336"/>
    </row>
    <row r="11" spans="2:59" ht="20" customHeight="1" thickTop="1" x14ac:dyDescent="0.2">
      <c r="B11" s="404"/>
      <c r="C11" s="548" t="str">
        <f>'État des Résultats'!C28</f>
        <v> Coût direct d’exploitation </v>
      </c>
      <c r="E11" s="404"/>
      <c r="F11" s="549"/>
      <c r="H11" s="404"/>
      <c r="I11" s="549"/>
      <c r="K11" s="404"/>
      <c r="L11" s="549"/>
      <c r="N11" s="404"/>
      <c r="O11" s="549"/>
      <c r="Q11" s="404"/>
      <c r="R11" s="549"/>
      <c r="T11" s="404"/>
      <c r="U11" s="549"/>
      <c r="W11" s="404"/>
      <c r="X11" s="549"/>
      <c r="Z11" s="404"/>
      <c r="AA11" s="549"/>
      <c r="AC11" s="404"/>
      <c r="AD11" s="549"/>
      <c r="AF11" s="404"/>
      <c r="AG11" s="549"/>
      <c r="AI11" s="404"/>
      <c r="AJ11" s="549"/>
      <c r="AL11" s="404"/>
      <c r="AM11" s="549"/>
      <c r="AO11" s="631"/>
      <c r="AP11" s="632"/>
      <c r="AQ11"/>
      <c r="AR11" s="1083"/>
      <c r="AS11" s="1084"/>
      <c r="AT11"/>
      <c r="AU11"/>
      <c r="AV11" s="366"/>
      <c r="AW11" s="366"/>
      <c r="AX11" s="366"/>
      <c r="AY11" s="366"/>
      <c r="AZ11" s="366"/>
      <c r="BA11" s="366"/>
      <c r="BB11" s="366"/>
      <c r="BC11" s="366"/>
      <c r="BD11" s="366"/>
      <c r="BE11" s="366"/>
      <c r="BF11" s="366"/>
      <c r="BG11" s="366"/>
    </row>
    <row r="12" spans="2:59" x14ac:dyDescent="0.15">
      <c r="B12" s="370"/>
      <c r="C12" s="550"/>
      <c r="E12" s="370"/>
      <c r="F12" s="414"/>
      <c r="H12" s="370"/>
      <c r="I12" s="414"/>
      <c r="K12" s="370"/>
      <c r="L12" s="414"/>
      <c r="N12" s="370"/>
      <c r="O12" s="414"/>
      <c r="Q12" s="370"/>
      <c r="R12" s="414"/>
      <c r="T12" s="370"/>
      <c r="U12" s="414"/>
      <c r="W12" s="370"/>
      <c r="X12" s="414"/>
      <c r="Z12" s="370"/>
      <c r="AA12" s="414"/>
      <c r="AC12" s="370"/>
      <c r="AD12" s="414"/>
      <c r="AF12" s="370"/>
      <c r="AG12" s="414"/>
      <c r="AI12" s="370"/>
      <c r="AJ12" s="414"/>
      <c r="AL12" s="370"/>
      <c r="AM12" s="371"/>
      <c r="AO12" s="633"/>
      <c r="AP12" s="634"/>
      <c r="AQ12"/>
      <c r="AR12" s="1028"/>
      <c r="AS12" s="1085"/>
      <c r="AT12"/>
      <c r="AU12"/>
      <c r="AV12" s="366"/>
      <c r="AW12" s="366"/>
      <c r="AX12" s="366"/>
      <c r="AY12" s="366"/>
      <c r="AZ12" s="366"/>
      <c r="BA12" s="366"/>
      <c r="BB12" s="366"/>
      <c r="BC12" s="366"/>
      <c r="BD12" s="366"/>
      <c r="BE12" s="366"/>
      <c r="BF12" s="366"/>
      <c r="BG12" s="366"/>
    </row>
    <row r="13" spans="2:59" x14ac:dyDescent="0.15">
      <c r="B13" s="619">
        <v>7402</v>
      </c>
      <c r="C13" s="620" t="s">
        <v>220</v>
      </c>
      <c r="E13" s="621">
        <f>0.01/2*'État des Résultats'!E14</f>
        <v>137.261</v>
      </c>
      <c r="F13" s="553">
        <f>E13/'État des Résultats'!E$14</f>
        <v>5.0000000000000001E-3</v>
      </c>
      <c r="H13" s="621">
        <f>0.01/2*'État des Résultats'!H14</f>
        <v>137.261</v>
      </c>
      <c r="I13" s="553">
        <f>H13/'État des Résultats'!H$14</f>
        <v>5.0000000000000001E-3</v>
      </c>
      <c r="K13" s="621">
        <f>0.01/2*'État des Résultats'!K14</f>
        <v>197.44800000000001</v>
      </c>
      <c r="L13" s="553">
        <f>K13/'État des Résultats'!K$14</f>
        <v>5.0000000000000001E-3</v>
      </c>
      <c r="N13" s="621">
        <f>0.01/2*'État des Résultats'!N14</f>
        <v>268.30781250000001</v>
      </c>
      <c r="O13" s="553">
        <f>N13/'État des Résultats'!N$14</f>
        <v>5.0000000000000001E-3</v>
      </c>
      <c r="Q13" s="621">
        <f>0.01/2*'État des Résultats'!Q14</f>
        <v>330.98812500000003</v>
      </c>
      <c r="R13" s="553">
        <f>Q13/'État des Résultats'!Q$14</f>
        <v>5.0000000000000001E-3</v>
      </c>
      <c r="T13" s="621">
        <f>0.01/2*'État des Résultats'!T14</f>
        <v>393.6684375000001</v>
      </c>
      <c r="U13" s="553">
        <f>T13/'État des Résultats'!T$14</f>
        <v>5.0000000000000001E-3</v>
      </c>
      <c r="W13" s="621">
        <f>0.01/2*'État des Résultats'!W14</f>
        <v>473.65752500000008</v>
      </c>
      <c r="X13" s="553">
        <f>W13/'État des Résultats'!W$14</f>
        <v>5.0000000000000001E-3</v>
      </c>
      <c r="Z13" s="621">
        <f>0.01/2*'État des Résultats'!Z14</f>
        <v>539.67512500000009</v>
      </c>
      <c r="AA13" s="553">
        <f>Z13/'État des Résultats'!Z$14</f>
        <v>5.0000000000000001E-3</v>
      </c>
      <c r="AC13" s="621">
        <f>0.01/2*'État des Résultats'!AC14</f>
        <v>539.67512500000009</v>
      </c>
      <c r="AD13" s="553">
        <f>AC13/'État des Résultats'!AC$14</f>
        <v>5.0000000000000001E-3</v>
      </c>
      <c r="AF13" s="621">
        <f>0.01/2*'État des Résultats'!AF14</f>
        <v>560.32118750000006</v>
      </c>
      <c r="AG13" s="553">
        <f>AF13/'État des Résultats'!AF$14</f>
        <v>5.0000000000000001E-3</v>
      </c>
      <c r="AI13" s="621">
        <f>0.01/2*'État des Résultats'!AI14</f>
        <v>560.32118750000006</v>
      </c>
      <c r="AJ13" s="553">
        <f>AI13/'État des Résultats'!AI$14</f>
        <v>5.0000000000000001E-3</v>
      </c>
      <c r="AL13" s="621">
        <f>0.01/2*'État des Résultats'!AL14</f>
        <v>492.65424999999999</v>
      </c>
      <c r="AM13" s="553">
        <f>AL13/'État des Résultats'!AL$14</f>
        <v>5.0000000000000001E-3</v>
      </c>
      <c r="AO13" s="621">
        <f>0.01/2*'État des Résultats'!AO14</f>
        <v>510.80699999999996</v>
      </c>
      <c r="AP13" s="635">
        <f>AO13/'État des Résultats'!AO$14</f>
        <v>5.0000000000000001E-3</v>
      </c>
      <c r="AQ13"/>
      <c r="AR13" s="1091">
        <f>SUM(+$AO13+$AL13+$AI13+$AF13+$AC13+$Z13+$W13+$T13+$Q13+$N13+$K13+$H13+$E13)</f>
        <v>5142.0457750000023</v>
      </c>
      <c r="AS13" s="1087">
        <f>AR13/'État des Résultats'!AR$14</f>
        <v>5.0000000000000027E-3</v>
      </c>
      <c r="AT13"/>
      <c r="AU13"/>
    </row>
    <row r="14" spans="2:59" x14ac:dyDescent="0.15">
      <c r="B14" s="619">
        <v>7404</v>
      </c>
      <c r="C14" s="620" t="s">
        <v>221</v>
      </c>
      <c r="E14" s="621">
        <v>0</v>
      </c>
      <c r="F14" s="553">
        <f>E14/'État des Résultats'!E$14</f>
        <v>0</v>
      </c>
      <c r="H14" s="621">
        <f t="shared" ref="H14:H32" si="0">+E14</f>
        <v>0</v>
      </c>
      <c r="I14" s="553">
        <f>H14/'État des Résultats'!H$14</f>
        <v>0</v>
      </c>
      <c r="K14" s="621">
        <f t="shared" ref="K14:K32" si="1">+H14</f>
        <v>0</v>
      </c>
      <c r="L14" s="553">
        <f>K14/'État des Résultats'!K$14</f>
        <v>0</v>
      </c>
      <c r="N14" s="621">
        <f t="shared" ref="N14:N32" si="2">+K14</f>
        <v>0</v>
      </c>
      <c r="O14" s="553">
        <f>N14/'État des Résultats'!N$14</f>
        <v>0</v>
      </c>
      <c r="Q14" s="621">
        <f t="shared" ref="Q14:Q32" si="3">+N14</f>
        <v>0</v>
      </c>
      <c r="R14" s="553">
        <f>Q14/'État des Résultats'!Q$14</f>
        <v>0</v>
      </c>
      <c r="T14" s="621">
        <f t="shared" ref="T14:T32" si="4">+Q14</f>
        <v>0</v>
      </c>
      <c r="U14" s="553">
        <f>T14/'État des Résultats'!T$14</f>
        <v>0</v>
      </c>
      <c r="W14" s="621">
        <f t="shared" ref="W14:W32" si="5">+T14</f>
        <v>0</v>
      </c>
      <c r="X14" s="553">
        <f>W14/'État des Résultats'!W$14</f>
        <v>0</v>
      </c>
      <c r="Z14" s="621">
        <f t="shared" ref="Z14:Z32" si="6">+W14</f>
        <v>0</v>
      </c>
      <c r="AA14" s="553">
        <f>Z14/'État des Résultats'!Z$14</f>
        <v>0</v>
      </c>
      <c r="AC14" s="621">
        <f t="shared" ref="AC14:AC32" si="7">+Z14</f>
        <v>0</v>
      </c>
      <c r="AD14" s="553">
        <f>AC14/'État des Résultats'!AC$14</f>
        <v>0</v>
      </c>
      <c r="AF14" s="621">
        <f t="shared" ref="AF14:AF32" si="8">+AC14</f>
        <v>0</v>
      </c>
      <c r="AG14" s="553">
        <f>AF14/'État des Résultats'!AF$14</f>
        <v>0</v>
      </c>
      <c r="AI14" s="621">
        <f t="shared" ref="AI14:AI32" si="9">+AF14</f>
        <v>0</v>
      </c>
      <c r="AJ14" s="553">
        <f>AI14/'État des Résultats'!AI$14</f>
        <v>0</v>
      </c>
      <c r="AL14" s="621">
        <f t="shared" ref="AL14:AL32" si="10">+AI14</f>
        <v>0</v>
      </c>
      <c r="AM14" s="553">
        <f>AL14/'État des Résultats'!AL$14</f>
        <v>0</v>
      </c>
      <c r="AO14" s="621">
        <f t="shared" ref="AO14:AO32" si="11">+AL14</f>
        <v>0</v>
      </c>
      <c r="AP14" s="635">
        <f>AO14/'État des Résultats'!AO$14</f>
        <v>0</v>
      </c>
      <c r="AQ14"/>
      <c r="AR14" s="1091">
        <f t="shared" ref="AR14:AR32" si="12">SUM(+$AO14+$AL14+$AI14+$AF14+$AC14+$Z14+$W14+$T14+$Q14+$N14+$K14+$H14+$E14)</f>
        <v>0</v>
      </c>
      <c r="AS14" s="1087">
        <f>AR14/'État des Résultats'!AR$14</f>
        <v>0</v>
      </c>
      <c r="AT14"/>
      <c r="AU14"/>
    </row>
    <row r="15" spans="2:59" x14ac:dyDescent="0.15">
      <c r="B15" s="551">
        <v>7406</v>
      </c>
      <c r="C15" s="414" t="s">
        <v>222</v>
      </c>
      <c r="E15" s="621">
        <v>0</v>
      </c>
      <c r="F15" s="553">
        <f>E15/'État des Résultats'!E$14</f>
        <v>0</v>
      </c>
      <c r="G15" s="554" t="s">
        <v>1</v>
      </c>
      <c r="H15" s="621">
        <f t="shared" si="0"/>
        <v>0</v>
      </c>
      <c r="I15" s="553">
        <f>H15/'État des Résultats'!H$14</f>
        <v>0</v>
      </c>
      <c r="K15" s="621">
        <f t="shared" si="1"/>
        <v>0</v>
      </c>
      <c r="L15" s="553">
        <f>K15/'État des Résultats'!K$14</f>
        <v>0</v>
      </c>
      <c r="N15" s="621">
        <f t="shared" si="2"/>
        <v>0</v>
      </c>
      <c r="O15" s="553">
        <f>N15/'État des Résultats'!N$14</f>
        <v>0</v>
      </c>
      <c r="Q15" s="621">
        <f t="shared" si="3"/>
        <v>0</v>
      </c>
      <c r="R15" s="553">
        <f>Q15/'État des Résultats'!Q$14</f>
        <v>0</v>
      </c>
      <c r="T15" s="621">
        <f t="shared" si="4"/>
        <v>0</v>
      </c>
      <c r="U15" s="553">
        <f>T15/'État des Résultats'!T$14</f>
        <v>0</v>
      </c>
      <c r="W15" s="621">
        <f t="shared" si="5"/>
        <v>0</v>
      </c>
      <c r="X15" s="553">
        <f>W15/'État des Résultats'!W$14</f>
        <v>0</v>
      </c>
      <c r="Z15" s="621">
        <f t="shared" si="6"/>
        <v>0</v>
      </c>
      <c r="AA15" s="553">
        <f>Z15/'État des Résultats'!Z$14</f>
        <v>0</v>
      </c>
      <c r="AC15" s="621">
        <f t="shared" si="7"/>
        <v>0</v>
      </c>
      <c r="AD15" s="553">
        <f>AC15/'État des Résultats'!AC$14</f>
        <v>0</v>
      </c>
      <c r="AF15" s="621">
        <f t="shared" si="8"/>
        <v>0</v>
      </c>
      <c r="AG15" s="553">
        <f>AF15/'État des Résultats'!AF$14</f>
        <v>0</v>
      </c>
      <c r="AI15" s="621">
        <f t="shared" si="9"/>
        <v>0</v>
      </c>
      <c r="AJ15" s="553">
        <f>AI15/'État des Résultats'!AI$14</f>
        <v>0</v>
      </c>
      <c r="AL15" s="621">
        <f t="shared" si="10"/>
        <v>0</v>
      </c>
      <c r="AM15" s="553">
        <f>AL15/'État des Résultats'!AL$14</f>
        <v>0</v>
      </c>
      <c r="AO15" s="621">
        <f t="shared" si="11"/>
        <v>0</v>
      </c>
      <c r="AP15" s="635">
        <f>AO15/'État des Résultats'!AO$14</f>
        <v>0</v>
      </c>
      <c r="AQ15"/>
      <c r="AR15" s="1091">
        <f t="shared" si="12"/>
        <v>0</v>
      </c>
      <c r="AS15" s="1087">
        <f>AR15/'État des Résultats'!AR$14</f>
        <v>0</v>
      </c>
      <c r="AT15"/>
      <c r="AU15"/>
    </row>
    <row r="16" spans="2:59" x14ac:dyDescent="0.15">
      <c r="B16" s="551">
        <v>7408</v>
      </c>
      <c r="C16" s="414" t="s">
        <v>223</v>
      </c>
      <c r="E16" s="621">
        <v>0</v>
      </c>
      <c r="F16" s="553">
        <f>E16/'État des Résultats'!E$14</f>
        <v>0</v>
      </c>
      <c r="H16" s="621">
        <f t="shared" si="0"/>
        <v>0</v>
      </c>
      <c r="I16" s="553">
        <f>H16/'État des Résultats'!H$14</f>
        <v>0</v>
      </c>
      <c r="K16" s="621">
        <f t="shared" si="1"/>
        <v>0</v>
      </c>
      <c r="L16" s="553">
        <f>K16/'État des Résultats'!K$14</f>
        <v>0</v>
      </c>
      <c r="N16" s="621">
        <f t="shared" si="2"/>
        <v>0</v>
      </c>
      <c r="O16" s="553">
        <f>N16/'État des Résultats'!N$14</f>
        <v>0</v>
      </c>
      <c r="Q16" s="621">
        <f t="shared" si="3"/>
        <v>0</v>
      </c>
      <c r="R16" s="553">
        <f>Q16/'État des Résultats'!Q$14</f>
        <v>0</v>
      </c>
      <c r="T16" s="621">
        <f t="shared" si="4"/>
        <v>0</v>
      </c>
      <c r="U16" s="553">
        <f>T16/'État des Résultats'!T$14</f>
        <v>0</v>
      </c>
      <c r="W16" s="621">
        <f t="shared" si="5"/>
        <v>0</v>
      </c>
      <c r="X16" s="553">
        <f>W16/'État des Résultats'!W$14</f>
        <v>0</v>
      </c>
      <c r="Z16" s="621">
        <f t="shared" si="6"/>
        <v>0</v>
      </c>
      <c r="AA16" s="553">
        <f>Z16/'État des Résultats'!Z$14</f>
        <v>0</v>
      </c>
      <c r="AC16" s="621">
        <f t="shared" si="7"/>
        <v>0</v>
      </c>
      <c r="AD16" s="553">
        <f>AC16/'État des Résultats'!AC$14</f>
        <v>0</v>
      </c>
      <c r="AF16" s="621">
        <f t="shared" si="8"/>
        <v>0</v>
      </c>
      <c r="AG16" s="553">
        <f>AF16/'État des Résultats'!AF$14</f>
        <v>0</v>
      </c>
      <c r="AI16" s="621">
        <f t="shared" si="9"/>
        <v>0</v>
      </c>
      <c r="AJ16" s="553">
        <f>AI16/'État des Résultats'!AI$14</f>
        <v>0</v>
      </c>
      <c r="AL16" s="621">
        <f t="shared" si="10"/>
        <v>0</v>
      </c>
      <c r="AM16" s="553">
        <f>AL16/'État des Résultats'!AL$14</f>
        <v>0</v>
      </c>
      <c r="AO16" s="621">
        <f t="shared" si="11"/>
        <v>0</v>
      </c>
      <c r="AP16" s="635">
        <f>AO16/'État des Résultats'!AO$14</f>
        <v>0</v>
      </c>
      <c r="AQ16"/>
      <c r="AR16" s="1091">
        <f t="shared" si="12"/>
        <v>0</v>
      </c>
      <c r="AS16" s="1087">
        <f>AR16/'État des Résultats'!AR$14</f>
        <v>0</v>
      </c>
      <c r="AT16"/>
      <c r="AU16"/>
    </row>
    <row r="17" spans="2:48" x14ac:dyDescent="0.15">
      <c r="B17" s="551">
        <v>7410</v>
      </c>
      <c r="C17" s="414" t="s">
        <v>224</v>
      </c>
      <c r="E17" s="621">
        <v>0</v>
      </c>
      <c r="F17" s="553">
        <f>E17/'État des Résultats'!E$14</f>
        <v>0</v>
      </c>
      <c r="H17" s="621">
        <f t="shared" si="0"/>
        <v>0</v>
      </c>
      <c r="I17" s="553">
        <f>H17/'État des Résultats'!H$14</f>
        <v>0</v>
      </c>
      <c r="K17" s="621">
        <f t="shared" si="1"/>
        <v>0</v>
      </c>
      <c r="L17" s="553">
        <f>K17/'État des Résultats'!K$14</f>
        <v>0</v>
      </c>
      <c r="N17" s="621">
        <f t="shared" si="2"/>
        <v>0</v>
      </c>
      <c r="O17" s="553">
        <f>N17/'État des Résultats'!N$14</f>
        <v>0</v>
      </c>
      <c r="Q17" s="621">
        <f t="shared" si="3"/>
        <v>0</v>
      </c>
      <c r="R17" s="553">
        <f>Q17/'État des Résultats'!Q$14</f>
        <v>0</v>
      </c>
      <c r="T17" s="621">
        <f t="shared" si="4"/>
        <v>0</v>
      </c>
      <c r="U17" s="553">
        <f>T17/'État des Résultats'!T$14</f>
        <v>0</v>
      </c>
      <c r="W17" s="621">
        <f t="shared" si="5"/>
        <v>0</v>
      </c>
      <c r="X17" s="553">
        <f>W17/'État des Résultats'!W$14</f>
        <v>0</v>
      </c>
      <c r="Z17" s="621">
        <f t="shared" si="6"/>
        <v>0</v>
      </c>
      <c r="AA17" s="553">
        <f>Z17/'État des Résultats'!Z$14</f>
        <v>0</v>
      </c>
      <c r="AC17" s="621">
        <f t="shared" si="7"/>
        <v>0</v>
      </c>
      <c r="AD17" s="553">
        <f>AC17/'État des Résultats'!AC$14</f>
        <v>0</v>
      </c>
      <c r="AF17" s="621">
        <f t="shared" si="8"/>
        <v>0</v>
      </c>
      <c r="AG17" s="553">
        <f>AF17/'État des Résultats'!AF$14</f>
        <v>0</v>
      </c>
      <c r="AI17" s="621">
        <f t="shared" si="9"/>
        <v>0</v>
      </c>
      <c r="AJ17" s="553">
        <f>AI17/'État des Résultats'!AI$14</f>
        <v>0</v>
      </c>
      <c r="AL17" s="621">
        <f t="shared" si="10"/>
        <v>0</v>
      </c>
      <c r="AM17" s="553">
        <f>AL17/'État des Résultats'!AL$14</f>
        <v>0</v>
      </c>
      <c r="AO17" s="621">
        <f t="shared" si="11"/>
        <v>0</v>
      </c>
      <c r="AP17" s="635">
        <f>AO17/'État des Résultats'!AO$14</f>
        <v>0</v>
      </c>
      <c r="AQ17"/>
      <c r="AR17" s="1091">
        <f t="shared" si="12"/>
        <v>0</v>
      </c>
      <c r="AS17" s="1087">
        <f>AR17/'État des Résultats'!AR$14</f>
        <v>0</v>
      </c>
      <c r="AT17"/>
      <c r="AU17"/>
    </row>
    <row r="18" spans="2:48" x14ac:dyDescent="0.15">
      <c r="B18" s="551">
        <v>7412</v>
      </c>
      <c r="C18" s="414" t="s">
        <v>225</v>
      </c>
      <c r="E18" s="621">
        <v>0</v>
      </c>
      <c r="F18" s="553">
        <f>E18/'État des Résultats'!E$14</f>
        <v>0</v>
      </c>
      <c r="H18" s="621">
        <f t="shared" si="0"/>
        <v>0</v>
      </c>
      <c r="I18" s="553">
        <f>H18/'État des Résultats'!H$14</f>
        <v>0</v>
      </c>
      <c r="K18" s="621">
        <f t="shared" si="1"/>
        <v>0</v>
      </c>
      <c r="L18" s="553">
        <f>K18/'État des Résultats'!K$14</f>
        <v>0</v>
      </c>
      <c r="N18" s="621">
        <f t="shared" si="2"/>
        <v>0</v>
      </c>
      <c r="O18" s="553">
        <f>N18/'État des Résultats'!N$14</f>
        <v>0</v>
      </c>
      <c r="Q18" s="621">
        <f t="shared" si="3"/>
        <v>0</v>
      </c>
      <c r="R18" s="553">
        <f>Q18/'État des Résultats'!Q$14</f>
        <v>0</v>
      </c>
      <c r="T18" s="621">
        <f t="shared" si="4"/>
        <v>0</v>
      </c>
      <c r="U18" s="553">
        <f>T18/'État des Résultats'!T$14</f>
        <v>0</v>
      </c>
      <c r="W18" s="621">
        <f t="shared" si="5"/>
        <v>0</v>
      </c>
      <c r="X18" s="553">
        <f>W18/'État des Résultats'!W$14</f>
        <v>0</v>
      </c>
      <c r="Z18" s="621">
        <f t="shared" si="6"/>
        <v>0</v>
      </c>
      <c r="AA18" s="553">
        <f>Z18/'État des Résultats'!Z$14</f>
        <v>0</v>
      </c>
      <c r="AC18" s="621">
        <f t="shared" si="7"/>
        <v>0</v>
      </c>
      <c r="AD18" s="553">
        <f>AC18/'État des Résultats'!AC$14</f>
        <v>0</v>
      </c>
      <c r="AF18" s="621">
        <f t="shared" si="8"/>
        <v>0</v>
      </c>
      <c r="AG18" s="553">
        <f>AF18/'État des Résultats'!AF$14</f>
        <v>0</v>
      </c>
      <c r="AI18" s="621">
        <f t="shared" si="9"/>
        <v>0</v>
      </c>
      <c r="AJ18" s="553">
        <f>AI18/'État des Résultats'!AI$14</f>
        <v>0</v>
      </c>
      <c r="AL18" s="621">
        <f t="shared" si="10"/>
        <v>0</v>
      </c>
      <c r="AM18" s="553">
        <f>AL18/'État des Résultats'!AL$14</f>
        <v>0</v>
      </c>
      <c r="AO18" s="621">
        <f t="shared" si="11"/>
        <v>0</v>
      </c>
      <c r="AP18" s="635">
        <f>AO18/'État des Résultats'!AO$14</f>
        <v>0</v>
      </c>
      <c r="AQ18"/>
      <c r="AR18" s="1091">
        <f t="shared" si="12"/>
        <v>0</v>
      </c>
      <c r="AS18" s="1087">
        <f>AR18/'État des Résultats'!AR$14</f>
        <v>0</v>
      </c>
      <c r="AT18"/>
      <c r="AU18"/>
      <c r="AV18" s="139"/>
    </row>
    <row r="19" spans="2:48" x14ac:dyDescent="0.15">
      <c r="B19" s="551">
        <v>7414</v>
      </c>
      <c r="C19" s="414" t="s">
        <v>226</v>
      </c>
      <c r="E19" s="621">
        <v>0</v>
      </c>
      <c r="F19" s="553">
        <f>E19/'État des Résultats'!E$14</f>
        <v>0</v>
      </c>
      <c r="H19" s="621">
        <f t="shared" si="0"/>
        <v>0</v>
      </c>
      <c r="I19" s="553">
        <f>H19/'État des Résultats'!H$14</f>
        <v>0</v>
      </c>
      <c r="K19" s="621">
        <f t="shared" si="1"/>
        <v>0</v>
      </c>
      <c r="L19" s="553">
        <f>K19/'État des Résultats'!K$14</f>
        <v>0</v>
      </c>
      <c r="N19" s="621">
        <f t="shared" si="2"/>
        <v>0</v>
      </c>
      <c r="O19" s="553">
        <f>N19/'État des Résultats'!N$14</f>
        <v>0</v>
      </c>
      <c r="Q19" s="621">
        <f t="shared" si="3"/>
        <v>0</v>
      </c>
      <c r="R19" s="553">
        <f>Q19/'État des Résultats'!Q$14</f>
        <v>0</v>
      </c>
      <c r="T19" s="621">
        <f t="shared" si="4"/>
        <v>0</v>
      </c>
      <c r="U19" s="553">
        <f>T19/'État des Résultats'!T$14</f>
        <v>0</v>
      </c>
      <c r="W19" s="621">
        <f t="shared" si="5"/>
        <v>0</v>
      </c>
      <c r="X19" s="553">
        <f>W19/'État des Résultats'!W$14</f>
        <v>0</v>
      </c>
      <c r="Z19" s="621">
        <f t="shared" si="6"/>
        <v>0</v>
      </c>
      <c r="AA19" s="553">
        <f>Z19/'État des Résultats'!Z$14</f>
        <v>0</v>
      </c>
      <c r="AC19" s="621">
        <f t="shared" si="7"/>
        <v>0</v>
      </c>
      <c r="AD19" s="553">
        <f>AC19/'État des Résultats'!AC$14</f>
        <v>0</v>
      </c>
      <c r="AF19" s="621">
        <f t="shared" si="8"/>
        <v>0</v>
      </c>
      <c r="AG19" s="553">
        <f>AF19/'État des Résultats'!AF$14</f>
        <v>0</v>
      </c>
      <c r="AI19" s="621">
        <f t="shared" si="9"/>
        <v>0</v>
      </c>
      <c r="AJ19" s="553">
        <f>AI19/'État des Résultats'!AI$14</f>
        <v>0</v>
      </c>
      <c r="AL19" s="621">
        <f t="shared" si="10"/>
        <v>0</v>
      </c>
      <c r="AM19" s="553">
        <f>AL19/'État des Résultats'!AL$14</f>
        <v>0</v>
      </c>
      <c r="AO19" s="621">
        <f t="shared" si="11"/>
        <v>0</v>
      </c>
      <c r="AP19" s="635">
        <f>AO19/'État des Résultats'!AO$14</f>
        <v>0</v>
      </c>
      <c r="AQ19"/>
      <c r="AR19" s="1091">
        <f t="shared" si="12"/>
        <v>0</v>
      </c>
      <c r="AS19" s="1087">
        <f>AR19/'État des Résultats'!AR$14</f>
        <v>0</v>
      </c>
      <c r="AT19"/>
      <c r="AU19"/>
    </row>
    <row r="20" spans="2:48" x14ac:dyDescent="0.15">
      <c r="B20" s="551">
        <v>7416</v>
      </c>
      <c r="C20" s="414" t="s">
        <v>227</v>
      </c>
      <c r="E20" s="621">
        <v>0</v>
      </c>
      <c r="F20" s="553">
        <f>E20/'État des Résultats'!E$14</f>
        <v>0</v>
      </c>
      <c r="H20" s="621">
        <f t="shared" si="0"/>
        <v>0</v>
      </c>
      <c r="I20" s="553">
        <f>H20/'État des Résultats'!H$14</f>
        <v>0</v>
      </c>
      <c r="K20" s="621">
        <f t="shared" si="1"/>
        <v>0</v>
      </c>
      <c r="L20" s="553">
        <f>K20/'État des Résultats'!K$14</f>
        <v>0</v>
      </c>
      <c r="N20" s="621">
        <f t="shared" si="2"/>
        <v>0</v>
      </c>
      <c r="O20" s="553">
        <f>N20/'État des Résultats'!N$14</f>
        <v>0</v>
      </c>
      <c r="Q20" s="621">
        <f t="shared" si="3"/>
        <v>0</v>
      </c>
      <c r="R20" s="553">
        <f>Q20/'État des Résultats'!Q$14</f>
        <v>0</v>
      </c>
      <c r="T20" s="621">
        <f t="shared" si="4"/>
        <v>0</v>
      </c>
      <c r="U20" s="553">
        <f>T20/'État des Résultats'!T$14</f>
        <v>0</v>
      </c>
      <c r="W20" s="621">
        <f t="shared" si="5"/>
        <v>0</v>
      </c>
      <c r="X20" s="553">
        <f>W20/'État des Résultats'!W$14</f>
        <v>0</v>
      </c>
      <c r="Z20" s="621">
        <f t="shared" si="6"/>
        <v>0</v>
      </c>
      <c r="AA20" s="553">
        <f>Z20/'État des Résultats'!Z$14</f>
        <v>0</v>
      </c>
      <c r="AC20" s="621">
        <f t="shared" si="7"/>
        <v>0</v>
      </c>
      <c r="AD20" s="553">
        <f>AC20/'État des Résultats'!AC$14</f>
        <v>0</v>
      </c>
      <c r="AF20" s="621">
        <f t="shared" si="8"/>
        <v>0</v>
      </c>
      <c r="AG20" s="553">
        <f>AF20/'État des Résultats'!AF$14</f>
        <v>0</v>
      </c>
      <c r="AI20" s="621">
        <f t="shared" si="9"/>
        <v>0</v>
      </c>
      <c r="AJ20" s="553">
        <f>AI20/'État des Résultats'!AI$14</f>
        <v>0</v>
      </c>
      <c r="AL20" s="621">
        <f t="shared" si="10"/>
        <v>0</v>
      </c>
      <c r="AM20" s="553">
        <f>AL20/'État des Résultats'!AL$14</f>
        <v>0</v>
      </c>
      <c r="AO20" s="621">
        <f t="shared" si="11"/>
        <v>0</v>
      </c>
      <c r="AP20" s="635">
        <f>AO20/'État des Résultats'!AO$14</f>
        <v>0</v>
      </c>
      <c r="AQ20"/>
      <c r="AR20" s="1091">
        <f t="shared" si="12"/>
        <v>0</v>
      </c>
      <c r="AS20" s="1087">
        <f>AR20/'État des Résultats'!AR$14</f>
        <v>0</v>
      </c>
      <c r="AT20"/>
      <c r="AU20"/>
    </row>
    <row r="21" spans="2:48" x14ac:dyDescent="0.15">
      <c r="B21" s="619">
        <v>7418</v>
      </c>
      <c r="C21" s="620" t="s">
        <v>228</v>
      </c>
      <c r="E21" s="621">
        <v>50</v>
      </c>
      <c r="F21" s="553">
        <f>E21/'État des Résultats'!E$14</f>
        <v>1.8213476515543381E-3</v>
      </c>
      <c r="H21" s="621">
        <f t="shared" si="0"/>
        <v>50</v>
      </c>
      <c r="I21" s="553">
        <f>H21/'État des Résultats'!H$14</f>
        <v>1.8213476515543381E-3</v>
      </c>
      <c r="K21" s="621">
        <f t="shared" si="1"/>
        <v>50</v>
      </c>
      <c r="L21" s="553">
        <f>K21/'État des Résultats'!K$14</f>
        <v>1.2661561525059762E-3</v>
      </c>
      <c r="N21" s="621">
        <f t="shared" si="2"/>
        <v>50</v>
      </c>
      <c r="O21" s="553">
        <f>N21/'État des Résultats'!N$14</f>
        <v>9.317656376479906E-4</v>
      </c>
      <c r="Q21" s="621">
        <f t="shared" si="3"/>
        <v>50</v>
      </c>
      <c r="R21" s="553">
        <f>Q21/'État des Résultats'!Q$14</f>
        <v>7.553141068127444E-4</v>
      </c>
      <c r="T21" s="621">
        <f t="shared" si="4"/>
        <v>50</v>
      </c>
      <c r="U21" s="553">
        <f>T21/'État des Résultats'!T$14</f>
        <v>6.3505218144393387E-4</v>
      </c>
      <c r="W21" s="621">
        <f t="shared" si="5"/>
        <v>50</v>
      </c>
      <c r="X21" s="553">
        <f>W21/'État des Résultats'!W$14</f>
        <v>5.2780751240044156E-4</v>
      </c>
      <c r="Z21" s="621">
        <f t="shared" si="6"/>
        <v>50</v>
      </c>
      <c r="AA21" s="553">
        <f>Z21/'État des Résultats'!Z$14</f>
        <v>4.6324165858116945E-4</v>
      </c>
      <c r="AC21" s="621">
        <f t="shared" si="7"/>
        <v>50</v>
      </c>
      <c r="AD21" s="553">
        <f>AC21/'État des Résultats'!AC$14</f>
        <v>4.6324165858116945E-4</v>
      </c>
      <c r="AF21" s="621">
        <f t="shared" si="8"/>
        <v>50</v>
      </c>
      <c r="AG21" s="553">
        <f>AF21/'État des Résultats'!AF$14</f>
        <v>4.4617266949235256E-4</v>
      </c>
      <c r="AI21" s="621">
        <f t="shared" si="9"/>
        <v>50</v>
      </c>
      <c r="AJ21" s="553">
        <f>AI21/'État des Résultats'!AI$14</f>
        <v>4.4617266949235256E-4</v>
      </c>
      <c r="AL21" s="621">
        <f t="shared" si="10"/>
        <v>50</v>
      </c>
      <c r="AM21" s="553">
        <f>AL21/'État des Résultats'!AL$14</f>
        <v>5.0745527923487922E-4</v>
      </c>
      <c r="AO21" s="621">
        <f t="shared" si="11"/>
        <v>50</v>
      </c>
      <c r="AP21" s="635">
        <f>AO21/'État des Résultats'!AO$14</f>
        <v>4.8942164065880072E-4</v>
      </c>
      <c r="AQ21"/>
      <c r="AR21" s="1091">
        <f t="shared" si="12"/>
        <v>650</v>
      </c>
      <c r="AS21" s="1087">
        <f>AR21/'État des Résultats'!AR$14</f>
        <v>6.3204415950575627E-4</v>
      </c>
      <c r="AT21"/>
      <c r="AU21"/>
    </row>
    <row r="22" spans="2:48" x14ac:dyDescent="0.15">
      <c r="B22" s="551">
        <v>7420</v>
      </c>
      <c r="C22" s="414" t="s">
        <v>229</v>
      </c>
      <c r="E22" s="621">
        <v>50</v>
      </c>
      <c r="F22" s="553">
        <f>E22/'État des Résultats'!E$14</f>
        <v>1.8213476515543381E-3</v>
      </c>
      <c r="H22" s="621">
        <f t="shared" si="0"/>
        <v>50</v>
      </c>
      <c r="I22" s="553">
        <f>H22/'État des Résultats'!H$14</f>
        <v>1.8213476515543381E-3</v>
      </c>
      <c r="K22" s="621">
        <f t="shared" si="1"/>
        <v>50</v>
      </c>
      <c r="L22" s="553">
        <f>K22/'État des Résultats'!K$14</f>
        <v>1.2661561525059762E-3</v>
      </c>
      <c r="N22" s="621">
        <f t="shared" si="2"/>
        <v>50</v>
      </c>
      <c r="O22" s="553">
        <f>N22/'État des Résultats'!N$14</f>
        <v>9.317656376479906E-4</v>
      </c>
      <c r="Q22" s="621">
        <f t="shared" si="3"/>
        <v>50</v>
      </c>
      <c r="R22" s="553">
        <f>Q22/'État des Résultats'!Q$14</f>
        <v>7.553141068127444E-4</v>
      </c>
      <c r="T22" s="621">
        <f t="shared" si="4"/>
        <v>50</v>
      </c>
      <c r="U22" s="553">
        <f>T22/'État des Résultats'!T$14</f>
        <v>6.3505218144393387E-4</v>
      </c>
      <c r="W22" s="621">
        <f t="shared" si="5"/>
        <v>50</v>
      </c>
      <c r="X22" s="553">
        <f>W22/'État des Résultats'!W$14</f>
        <v>5.2780751240044156E-4</v>
      </c>
      <c r="Z22" s="621">
        <f t="shared" si="6"/>
        <v>50</v>
      </c>
      <c r="AA22" s="553">
        <f>Z22/'État des Résultats'!Z$14</f>
        <v>4.6324165858116945E-4</v>
      </c>
      <c r="AC22" s="621">
        <f t="shared" si="7"/>
        <v>50</v>
      </c>
      <c r="AD22" s="553">
        <f>AC22/'État des Résultats'!AC$14</f>
        <v>4.6324165858116945E-4</v>
      </c>
      <c r="AF22" s="621">
        <f t="shared" si="8"/>
        <v>50</v>
      </c>
      <c r="AG22" s="553">
        <f>AF22/'État des Résultats'!AF$14</f>
        <v>4.4617266949235256E-4</v>
      </c>
      <c r="AI22" s="621">
        <f t="shared" si="9"/>
        <v>50</v>
      </c>
      <c r="AJ22" s="553">
        <f>AI22/'État des Résultats'!AI$14</f>
        <v>4.4617266949235256E-4</v>
      </c>
      <c r="AL22" s="621">
        <f t="shared" si="10"/>
        <v>50</v>
      </c>
      <c r="AM22" s="553">
        <f>AL22/'État des Résultats'!AL$14</f>
        <v>5.0745527923487922E-4</v>
      </c>
      <c r="AO22" s="621">
        <f t="shared" si="11"/>
        <v>50</v>
      </c>
      <c r="AP22" s="635">
        <f>AO22/'État des Résultats'!AO$14</f>
        <v>4.8942164065880072E-4</v>
      </c>
      <c r="AQ22"/>
      <c r="AR22" s="1091">
        <f t="shared" si="12"/>
        <v>650</v>
      </c>
      <c r="AS22" s="1087">
        <f>AR22/'État des Résultats'!AR$14</f>
        <v>6.3204415950575627E-4</v>
      </c>
      <c r="AT22"/>
      <c r="AU22"/>
    </row>
    <row r="23" spans="2:48" x14ac:dyDescent="0.15">
      <c r="B23" s="619">
        <v>7422</v>
      </c>
      <c r="C23" s="620" t="s">
        <v>230</v>
      </c>
      <c r="E23" s="621">
        <v>50</v>
      </c>
      <c r="F23" s="553">
        <f>E23/'État des Résultats'!E$14</f>
        <v>1.8213476515543381E-3</v>
      </c>
      <c r="H23" s="621">
        <f t="shared" si="0"/>
        <v>50</v>
      </c>
      <c r="I23" s="553">
        <f>H23/'État des Résultats'!H$14</f>
        <v>1.8213476515543381E-3</v>
      </c>
      <c r="K23" s="621">
        <f t="shared" si="1"/>
        <v>50</v>
      </c>
      <c r="L23" s="553">
        <f>K23/'État des Résultats'!K$14</f>
        <v>1.2661561525059762E-3</v>
      </c>
      <c r="N23" s="621">
        <f t="shared" si="2"/>
        <v>50</v>
      </c>
      <c r="O23" s="553">
        <f>N23/'État des Résultats'!N$14</f>
        <v>9.317656376479906E-4</v>
      </c>
      <c r="Q23" s="621">
        <f t="shared" si="3"/>
        <v>50</v>
      </c>
      <c r="R23" s="553">
        <f>Q23/'État des Résultats'!Q$14</f>
        <v>7.553141068127444E-4</v>
      </c>
      <c r="T23" s="621">
        <f t="shared" si="4"/>
        <v>50</v>
      </c>
      <c r="U23" s="553">
        <f>T23/'État des Résultats'!T$14</f>
        <v>6.3505218144393387E-4</v>
      </c>
      <c r="W23" s="621">
        <f t="shared" si="5"/>
        <v>50</v>
      </c>
      <c r="X23" s="553">
        <f>W23/'État des Résultats'!W$14</f>
        <v>5.2780751240044156E-4</v>
      </c>
      <c r="Z23" s="621">
        <f t="shared" si="6"/>
        <v>50</v>
      </c>
      <c r="AA23" s="553">
        <f>Z23/'État des Résultats'!Z$14</f>
        <v>4.6324165858116945E-4</v>
      </c>
      <c r="AC23" s="621">
        <f t="shared" si="7"/>
        <v>50</v>
      </c>
      <c r="AD23" s="553">
        <f>AC23/'État des Résultats'!AC$14</f>
        <v>4.6324165858116945E-4</v>
      </c>
      <c r="AF23" s="621">
        <f t="shared" si="8"/>
        <v>50</v>
      </c>
      <c r="AG23" s="553">
        <f>AF23/'État des Résultats'!AF$14</f>
        <v>4.4617266949235256E-4</v>
      </c>
      <c r="AI23" s="621">
        <f t="shared" si="9"/>
        <v>50</v>
      </c>
      <c r="AJ23" s="553">
        <f>AI23/'État des Résultats'!AI$14</f>
        <v>4.4617266949235256E-4</v>
      </c>
      <c r="AL23" s="621">
        <f t="shared" si="10"/>
        <v>50</v>
      </c>
      <c r="AM23" s="553">
        <f>AL23/'État des Résultats'!AL$14</f>
        <v>5.0745527923487922E-4</v>
      </c>
      <c r="AO23" s="621">
        <f t="shared" si="11"/>
        <v>50</v>
      </c>
      <c r="AP23" s="635">
        <f>AO23/'État des Résultats'!AO$14</f>
        <v>4.8942164065880072E-4</v>
      </c>
      <c r="AQ23"/>
      <c r="AR23" s="1091">
        <f t="shared" si="12"/>
        <v>650</v>
      </c>
      <c r="AS23" s="1087">
        <f>AR23/'État des Résultats'!AR$14</f>
        <v>6.3204415950575627E-4</v>
      </c>
      <c r="AT23"/>
      <c r="AU23"/>
    </row>
    <row r="24" spans="2:48" x14ac:dyDescent="0.15">
      <c r="B24" s="551">
        <v>7424</v>
      </c>
      <c r="C24" s="414" t="s">
        <v>231</v>
      </c>
      <c r="E24" s="621">
        <v>50</v>
      </c>
      <c r="F24" s="553">
        <f>E24/'État des Résultats'!E$14</f>
        <v>1.8213476515543381E-3</v>
      </c>
      <c r="H24" s="621">
        <f t="shared" si="0"/>
        <v>50</v>
      </c>
      <c r="I24" s="553">
        <f>H24/'État des Résultats'!H$14</f>
        <v>1.8213476515543381E-3</v>
      </c>
      <c r="K24" s="621">
        <f t="shared" si="1"/>
        <v>50</v>
      </c>
      <c r="L24" s="553">
        <f>K24/'État des Résultats'!K$14</f>
        <v>1.2661561525059762E-3</v>
      </c>
      <c r="N24" s="621">
        <f t="shared" si="2"/>
        <v>50</v>
      </c>
      <c r="O24" s="553">
        <f>N24/'État des Résultats'!N$14</f>
        <v>9.317656376479906E-4</v>
      </c>
      <c r="Q24" s="621">
        <f t="shared" si="3"/>
        <v>50</v>
      </c>
      <c r="R24" s="553">
        <f>Q24/'État des Résultats'!Q$14</f>
        <v>7.553141068127444E-4</v>
      </c>
      <c r="T24" s="621">
        <f t="shared" si="4"/>
        <v>50</v>
      </c>
      <c r="U24" s="553">
        <f>T24/'État des Résultats'!T$14</f>
        <v>6.3505218144393387E-4</v>
      </c>
      <c r="W24" s="621">
        <f t="shared" si="5"/>
        <v>50</v>
      </c>
      <c r="X24" s="553">
        <f>W24/'État des Résultats'!W$14</f>
        <v>5.2780751240044156E-4</v>
      </c>
      <c r="Z24" s="621">
        <f t="shared" si="6"/>
        <v>50</v>
      </c>
      <c r="AA24" s="553">
        <f>Z24/'État des Résultats'!Z$14</f>
        <v>4.6324165858116945E-4</v>
      </c>
      <c r="AC24" s="621">
        <f t="shared" si="7"/>
        <v>50</v>
      </c>
      <c r="AD24" s="553">
        <f>AC24/'État des Résultats'!AC$14</f>
        <v>4.6324165858116945E-4</v>
      </c>
      <c r="AF24" s="621">
        <f t="shared" si="8"/>
        <v>50</v>
      </c>
      <c r="AG24" s="553">
        <f>AF24/'État des Résultats'!AF$14</f>
        <v>4.4617266949235256E-4</v>
      </c>
      <c r="AI24" s="621">
        <f t="shared" si="9"/>
        <v>50</v>
      </c>
      <c r="AJ24" s="553">
        <f>AI24/'État des Résultats'!AI$14</f>
        <v>4.4617266949235256E-4</v>
      </c>
      <c r="AL24" s="621">
        <f t="shared" si="10"/>
        <v>50</v>
      </c>
      <c r="AM24" s="553">
        <f>AL24/'État des Résultats'!AL$14</f>
        <v>5.0745527923487922E-4</v>
      </c>
      <c r="AO24" s="621">
        <f t="shared" si="11"/>
        <v>50</v>
      </c>
      <c r="AP24" s="635">
        <f>AO24/'État des Résultats'!AO$14</f>
        <v>4.8942164065880072E-4</v>
      </c>
      <c r="AQ24"/>
      <c r="AR24" s="1091">
        <f t="shared" si="12"/>
        <v>650</v>
      </c>
      <c r="AS24" s="1087">
        <f>AR24/'État des Résultats'!AR$14</f>
        <v>6.3204415950575627E-4</v>
      </c>
      <c r="AT24"/>
      <c r="AU24"/>
    </row>
    <row r="25" spans="2:48" x14ac:dyDescent="0.15">
      <c r="B25" s="551">
        <v>7426</v>
      </c>
      <c r="C25" s="414" t="s">
        <v>232</v>
      </c>
      <c r="E25" s="621">
        <v>0</v>
      </c>
      <c r="F25" s="553">
        <f>E25/'État des Résultats'!E$14</f>
        <v>0</v>
      </c>
      <c r="H25" s="621">
        <f t="shared" si="0"/>
        <v>0</v>
      </c>
      <c r="I25" s="553">
        <f>H25/'État des Résultats'!H$14</f>
        <v>0</v>
      </c>
      <c r="K25" s="621">
        <f t="shared" si="1"/>
        <v>0</v>
      </c>
      <c r="L25" s="553">
        <f>K25/'État des Résultats'!K$14</f>
        <v>0</v>
      </c>
      <c r="N25" s="621">
        <f t="shared" si="2"/>
        <v>0</v>
      </c>
      <c r="O25" s="553">
        <f>N25/'État des Résultats'!N$14</f>
        <v>0</v>
      </c>
      <c r="Q25" s="621">
        <f t="shared" si="3"/>
        <v>0</v>
      </c>
      <c r="R25" s="553">
        <f>Q25/'État des Résultats'!Q$14</f>
        <v>0</v>
      </c>
      <c r="T25" s="621">
        <f t="shared" si="4"/>
        <v>0</v>
      </c>
      <c r="U25" s="553">
        <f>T25/'État des Résultats'!T$14</f>
        <v>0</v>
      </c>
      <c r="W25" s="621">
        <f t="shared" si="5"/>
        <v>0</v>
      </c>
      <c r="X25" s="553">
        <f>W25/'État des Résultats'!W$14</f>
        <v>0</v>
      </c>
      <c r="Z25" s="621">
        <f t="shared" si="6"/>
        <v>0</v>
      </c>
      <c r="AA25" s="553">
        <f>Z25/'État des Résultats'!Z$14</f>
        <v>0</v>
      </c>
      <c r="AC25" s="621">
        <f t="shared" si="7"/>
        <v>0</v>
      </c>
      <c r="AD25" s="553">
        <f>AC25/'État des Résultats'!AC$14</f>
        <v>0</v>
      </c>
      <c r="AF25" s="621">
        <f t="shared" si="8"/>
        <v>0</v>
      </c>
      <c r="AG25" s="553">
        <f>AF25/'État des Résultats'!AF$14</f>
        <v>0</v>
      </c>
      <c r="AI25" s="621">
        <f t="shared" si="9"/>
        <v>0</v>
      </c>
      <c r="AJ25" s="553">
        <f>AI25/'État des Résultats'!AI$14</f>
        <v>0</v>
      </c>
      <c r="AL25" s="621">
        <f t="shared" si="10"/>
        <v>0</v>
      </c>
      <c r="AM25" s="553">
        <f>AL25/'État des Résultats'!AL$14</f>
        <v>0</v>
      </c>
      <c r="AO25" s="621">
        <f t="shared" si="11"/>
        <v>0</v>
      </c>
      <c r="AP25" s="635">
        <f>AO25/'État des Résultats'!AO$14</f>
        <v>0</v>
      </c>
      <c r="AQ25"/>
      <c r="AR25" s="1091">
        <f t="shared" si="12"/>
        <v>0</v>
      </c>
      <c r="AS25" s="1087">
        <f>AR25/'État des Résultats'!AR$14</f>
        <v>0</v>
      </c>
      <c r="AT25"/>
      <c r="AU25"/>
    </row>
    <row r="26" spans="2:48" x14ac:dyDescent="0.15">
      <c r="B26" s="619">
        <v>7428</v>
      </c>
      <c r="C26" s="620" t="s">
        <v>233</v>
      </c>
      <c r="E26" s="621">
        <v>0</v>
      </c>
      <c r="F26" s="553">
        <f>E26/'État des Résultats'!E$14</f>
        <v>0</v>
      </c>
      <c r="H26" s="621">
        <f t="shared" si="0"/>
        <v>0</v>
      </c>
      <c r="I26" s="553">
        <f>H26/'État des Résultats'!H$14</f>
        <v>0</v>
      </c>
      <c r="K26" s="621">
        <f t="shared" si="1"/>
        <v>0</v>
      </c>
      <c r="L26" s="553">
        <f>K26/'État des Résultats'!K$14</f>
        <v>0</v>
      </c>
      <c r="N26" s="621">
        <f t="shared" si="2"/>
        <v>0</v>
      </c>
      <c r="O26" s="553">
        <f>N26/'État des Résultats'!N$14</f>
        <v>0</v>
      </c>
      <c r="Q26" s="621">
        <f t="shared" si="3"/>
        <v>0</v>
      </c>
      <c r="R26" s="553">
        <f>Q26/'État des Résultats'!Q$14</f>
        <v>0</v>
      </c>
      <c r="T26" s="621">
        <f t="shared" si="4"/>
        <v>0</v>
      </c>
      <c r="U26" s="553">
        <f>T26/'État des Résultats'!T$14</f>
        <v>0</v>
      </c>
      <c r="W26" s="621">
        <f t="shared" si="5"/>
        <v>0</v>
      </c>
      <c r="X26" s="553">
        <f>W26/'État des Résultats'!W$14</f>
        <v>0</v>
      </c>
      <c r="Z26" s="621">
        <f t="shared" si="6"/>
        <v>0</v>
      </c>
      <c r="AA26" s="553">
        <f>Z26/'État des Résultats'!Z$14</f>
        <v>0</v>
      </c>
      <c r="AC26" s="621">
        <f t="shared" si="7"/>
        <v>0</v>
      </c>
      <c r="AD26" s="553">
        <f>AC26/'État des Résultats'!AC$14</f>
        <v>0</v>
      </c>
      <c r="AF26" s="621">
        <f t="shared" si="8"/>
        <v>0</v>
      </c>
      <c r="AG26" s="553">
        <f>AF26/'État des Résultats'!AF$14</f>
        <v>0</v>
      </c>
      <c r="AI26" s="621">
        <f t="shared" si="9"/>
        <v>0</v>
      </c>
      <c r="AJ26" s="553">
        <f>AI26/'État des Résultats'!AI$14</f>
        <v>0</v>
      </c>
      <c r="AL26" s="621">
        <f t="shared" si="10"/>
        <v>0</v>
      </c>
      <c r="AM26" s="553">
        <f>AL26/'État des Résultats'!AL$14</f>
        <v>0</v>
      </c>
      <c r="AO26" s="621">
        <f t="shared" si="11"/>
        <v>0</v>
      </c>
      <c r="AP26" s="635">
        <f>AO26/'État des Résultats'!AO$14</f>
        <v>0</v>
      </c>
      <c r="AQ26"/>
      <c r="AR26" s="1091">
        <f t="shared" si="12"/>
        <v>0</v>
      </c>
      <c r="AS26" s="1087">
        <f>AR26/'État des Résultats'!AR$14</f>
        <v>0</v>
      </c>
      <c r="AT26"/>
      <c r="AU26"/>
    </row>
    <row r="27" spans="2:48" x14ac:dyDescent="0.15">
      <c r="B27" s="551">
        <v>7430</v>
      </c>
      <c r="C27" s="414" t="s">
        <v>234</v>
      </c>
      <c r="E27" s="621">
        <v>0</v>
      </c>
      <c r="F27" s="553">
        <f>E27/'État des Résultats'!E$14</f>
        <v>0</v>
      </c>
      <c r="H27" s="621">
        <f t="shared" si="0"/>
        <v>0</v>
      </c>
      <c r="I27" s="553">
        <f>H27/'État des Résultats'!H$14</f>
        <v>0</v>
      </c>
      <c r="K27" s="621">
        <f t="shared" si="1"/>
        <v>0</v>
      </c>
      <c r="L27" s="553">
        <f>K27/'État des Résultats'!K$14</f>
        <v>0</v>
      </c>
      <c r="N27" s="621">
        <f t="shared" si="2"/>
        <v>0</v>
      </c>
      <c r="O27" s="553">
        <f>N27/'État des Résultats'!N$14</f>
        <v>0</v>
      </c>
      <c r="Q27" s="621">
        <f t="shared" si="3"/>
        <v>0</v>
      </c>
      <c r="R27" s="553">
        <f>Q27/'État des Résultats'!Q$14</f>
        <v>0</v>
      </c>
      <c r="T27" s="621">
        <f t="shared" si="4"/>
        <v>0</v>
      </c>
      <c r="U27" s="553">
        <f>T27/'État des Résultats'!T$14</f>
        <v>0</v>
      </c>
      <c r="W27" s="621">
        <f t="shared" si="5"/>
        <v>0</v>
      </c>
      <c r="X27" s="553">
        <f>W27/'État des Résultats'!W$14</f>
        <v>0</v>
      </c>
      <c r="Z27" s="621">
        <f t="shared" si="6"/>
        <v>0</v>
      </c>
      <c r="AA27" s="553">
        <f>Z27/'État des Résultats'!Z$14</f>
        <v>0</v>
      </c>
      <c r="AC27" s="621">
        <f t="shared" si="7"/>
        <v>0</v>
      </c>
      <c r="AD27" s="553">
        <f>AC27/'État des Résultats'!AC$14</f>
        <v>0</v>
      </c>
      <c r="AF27" s="621">
        <f t="shared" si="8"/>
        <v>0</v>
      </c>
      <c r="AG27" s="553">
        <f>AF27/'État des Résultats'!AF$14</f>
        <v>0</v>
      </c>
      <c r="AI27" s="621">
        <f t="shared" si="9"/>
        <v>0</v>
      </c>
      <c r="AJ27" s="553">
        <f>AI27/'État des Résultats'!AI$14</f>
        <v>0</v>
      </c>
      <c r="AL27" s="621">
        <f t="shared" si="10"/>
        <v>0</v>
      </c>
      <c r="AM27" s="553">
        <f>AL27/'État des Résultats'!AL$14</f>
        <v>0</v>
      </c>
      <c r="AO27" s="621">
        <f t="shared" si="11"/>
        <v>0</v>
      </c>
      <c r="AP27" s="635">
        <f>AO27/'État des Résultats'!AO$14</f>
        <v>0</v>
      </c>
      <c r="AQ27"/>
      <c r="AR27" s="1091">
        <f t="shared" si="12"/>
        <v>0</v>
      </c>
      <c r="AS27" s="1087">
        <f>AR27/'État des Résultats'!AR$14</f>
        <v>0</v>
      </c>
      <c r="AT27"/>
      <c r="AU27"/>
    </row>
    <row r="28" spans="2:48" x14ac:dyDescent="0.15">
      <c r="B28" s="551">
        <v>7432</v>
      </c>
      <c r="C28" s="414" t="s">
        <v>235</v>
      </c>
      <c r="E28" s="621">
        <v>0</v>
      </c>
      <c r="F28" s="553">
        <f>E28/'État des Résultats'!E$14</f>
        <v>0</v>
      </c>
      <c r="H28" s="621">
        <f t="shared" si="0"/>
        <v>0</v>
      </c>
      <c r="I28" s="553">
        <f>H28/'État des Résultats'!H$14</f>
        <v>0</v>
      </c>
      <c r="K28" s="621">
        <f t="shared" si="1"/>
        <v>0</v>
      </c>
      <c r="L28" s="553">
        <f>K28/'État des Résultats'!K$14</f>
        <v>0</v>
      </c>
      <c r="N28" s="621">
        <f t="shared" si="2"/>
        <v>0</v>
      </c>
      <c r="O28" s="553">
        <f>N28/'État des Résultats'!N$14</f>
        <v>0</v>
      </c>
      <c r="Q28" s="621">
        <f t="shared" si="3"/>
        <v>0</v>
      </c>
      <c r="R28" s="553">
        <f>Q28/'État des Résultats'!Q$14</f>
        <v>0</v>
      </c>
      <c r="T28" s="621">
        <f t="shared" si="4"/>
        <v>0</v>
      </c>
      <c r="U28" s="553">
        <f>T28/'État des Résultats'!T$14</f>
        <v>0</v>
      </c>
      <c r="W28" s="621">
        <f t="shared" si="5"/>
        <v>0</v>
      </c>
      <c r="X28" s="553">
        <f>W28/'État des Résultats'!W$14</f>
        <v>0</v>
      </c>
      <c r="Z28" s="621">
        <f t="shared" si="6"/>
        <v>0</v>
      </c>
      <c r="AA28" s="553">
        <f>Z28/'État des Résultats'!Z$14</f>
        <v>0</v>
      </c>
      <c r="AC28" s="621">
        <f t="shared" si="7"/>
        <v>0</v>
      </c>
      <c r="AD28" s="553">
        <f>AC28/'État des Résultats'!AC$14</f>
        <v>0</v>
      </c>
      <c r="AF28" s="621">
        <f t="shared" si="8"/>
        <v>0</v>
      </c>
      <c r="AG28" s="553">
        <f>AF28/'État des Résultats'!AF$14</f>
        <v>0</v>
      </c>
      <c r="AI28" s="621">
        <f t="shared" si="9"/>
        <v>0</v>
      </c>
      <c r="AJ28" s="553">
        <f>AI28/'État des Résultats'!AI$14</f>
        <v>0</v>
      </c>
      <c r="AL28" s="621">
        <f t="shared" si="10"/>
        <v>0</v>
      </c>
      <c r="AM28" s="553">
        <f>AL28/'État des Résultats'!AL$14</f>
        <v>0</v>
      </c>
      <c r="AO28" s="621">
        <f t="shared" si="11"/>
        <v>0</v>
      </c>
      <c r="AP28" s="635">
        <f>AO28/'État des Résultats'!AO$14</f>
        <v>0</v>
      </c>
      <c r="AQ28"/>
      <c r="AR28" s="1091">
        <f t="shared" si="12"/>
        <v>0</v>
      </c>
      <c r="AS28" s="1087">
        <f>AR28/'État des Résultats'!AR$14</f>
        <v>0</v>
      </c>
      <c r="AT28"/>
      <c r="AU28"/>
    </row>
    <row r="29" spans="2:48" x14ac:dyDescent="0.15">
      <c r="B29" s="551">
        <v>7436</v>
      </c>
      <c r="C29" s="414" t="s">
        <v>236</v>
      </c>
      <c r="E29" s="621">
        <v>0</v>
      </c>
      <c r="F29" s="553">
        <f>E29/'État des Résultats'!E$14</f>
        <v>0</v>
      </c>
      <c r="H29" s="621">
        <f t="shared" si="0"/>
        <v>0</v>
      </c>
      <c r="I29" s="553">
        <f>H29/'État des Résultats'!H$14</f>
        <v>0</v>
      </c>
      <c r="K29" s="621">
        <f t="shared" si="1"/>
        <v>0</v>
      </c>
      <c r="L29" s="553">
        <f>K29/'État des Résultats'!K$14</f>
        <v>0</v>
      </c>
      <c r="N29" s="621">
        <f t="shared" si="2"/>
        <v>0</v>
      </c>
      <c r="O29" s="553">
        <f>N29/'État des Résultats'!N$14</f>
        <v>0</v>
      </c>
      <c r="Q29" s="621">
        <f t="shared" si="3"/>
        <v>0</v>
      </c>
      <c r="R29" s="553">
        <f>Q29/'État des Résultats'!Q$14</f>
        <v>0</v>
      </c>
      <c r="T29" s="621">
        <f t="shared" si="4"/>
        <v>0</v>
      </c>
      <c r="U29" s="553">
        <f>T29/'État des Résultats'!T$14</f>
        <v>0</v>
      </c>
      <c r="W29" s="621">
        <f t="shared" si="5"/>
        <v>0</v>
      </c>
      <c r="X29" s="553">
        <f>W29/'État des Résultats'!W$14</f>
        <v>0</v>
      </c>
      <c r="Z29" s="621">
        <f t="shared" si="6"/>
        <v>0</v>
      </c>
      <c r="AA29" s="553">
        <f>Z29/'État des Résultats'!Z$14</f>
        <v>0</v>
      </c>
      <c r="AC29" s="621">
        <f t="shared" si="7"/>
        <v>0</v>
      </c>
      <c r="AD29" s="553">
        <f>AC29/'État des Résultats'!AC$14</f>
        <v>0</v>
      </c>
      <c r="AF29" s="621">
        <f t="shared" si="8"/>
        <v>0</v>
      </c>
      <c r="AG29" s="553">
        <f>AF29/'État des Résultats'!AF$14</f>
        <v>0</v>
      </c>
      <c r="AI29" s="621">
        <f t="shared" si="9"/>
        <v>0</v>
      </c>
      <c r="AJ29" s="553">
        <f>AI29/'État des Résultats'!AI$14</f>
        <v>0</v>
      </c>
      <c r="AL29" s="621">
        <f t="shared" si="10"/>
        <v>0</v>
      </c>
      <c r="AM29" s="553">
        <f>AL29/'État des Résultats'!AL$14</f>
        <v>0</v>
      </c>
      <c r="AO29" s="621">
        <f t="shared" si="11"/>
        <v>0</v>
      </c>
      <c r="AP29" s="635">
        <f>AO29/'État des Résultats'!AO$14</f>
        <v>0</v>
      </c>
      <c r="AQ29"/>
      <c r="AR29" s="1091">
        <f t="shared" si="12"/>
        <v>0</v>
      </c>
      <c r="AS29" s="1087">
        <f>AR29/'État des Résultats'!AR$14</f>
        <v>0</v>
      </c>
      <c r="AT29"/>
      <c r="AU29"/>
    </row>
    <row r="30" spans="2:48" x14ac:dyDescent="0.15">
      <c r="B30" s="619">
        <v>7438</v>
      </c>
      <c r="C30" s="620" t="s">
        <v>237</v>
      </c>
      <c r="E30" s="621">
        <v>0</v>
      </c>
      <c r="F30" s="553">
        <f>E30/'État des Résultats'!E$14</f>
        <v>0</v>
      </c>
      <c r="H30" s="621">
        <f t="shared" si="0"/>
        <v>0</v>
      </c>
      <c r="I30" s="553">
        <f>H30/'État des Résultats'!H$14</f>
        <v>0</v>
      </c>
      <c r="K30" s="621">
        <f t="shared" si="1"/>
        <v>0</v>
      </c>
      <c r="L30" s="553">
        <f>K30/'État des Résultats'!K$14</f>
        <v>0</v>
      </c>
      <c r="N30" s="621">
        <f t="shared" si="2"/>
        <v>0</v>
      </c>
      <c r="O30" s="553">
        <f>N30/'État des Résultats'!N$14</f>
        <v>0</v>
      </c>
      <c r="Q30" s="621">
        <f t="shared" si="3"/>
        <v>0</v>
      </c>
      <c r="R30" s="553">
        <f>Q30/'État des Résultats'!Q$14</f>
        <v>0</v>
      </c>
      <c r="T30" s="621">
        <f t="shared" si="4"/>
        <v>0</v>
      </c>
      <c r="U30" s="553">
        <f>T30/'État des Résultats'!T$14</f>
        <v>0</v>
      </c>
      <c r="W30" s="621">
        <f t="shared" si="5"/>
        <v>0</v>
      </c>
      <c r="X30" s="553">
        <f>W30/'État des Résultats'!W$14</f>
        <v>0</v>
      </c>
      <c r="Z30" s="621">
        <f t="shared" si="6"/>
        <v>0</v>
      </c>
      <c r="AA30" s="553">
        <f>Z30/'État des Résultats'!Z$14</f>
        <v>0</v>
      </c>
      <c r="AC30" s="621">
        <f t="shared" si="7"/>
        <v>0</v>
      </c>
      <c r="AD30" s="553">
        <f>AC30/'État des Résultats'!AC$14</f>
        <v>0</v>
      </c>
      <c r="AF30" s="621">
        <f t="shared" si="8"/>
        <v>0</v>
      </c>
      <c r="AG30" s="553">
        <f>AF30/'État des Résultats'!AF$14</f>
        <v>0</v>
      </c>
      <c r="AI30" s="621">
        <f t="shared" si="9"/>
        <v>0</v>
      </c>
      <c r="AJ30" s="553">
        <f>AI30/'État des Résultats'!AI$14</f>
        <v>0</v>
      </c>
      <c r="AL30" s="621">
        <f t="shared" si="10"/>
        <v>0</v>
      </c>
      <c r="AM30" s="553">
        <f>AL30/'État des Résultats'!AL$14</f>
        <v>0</v>
      </c>
      <c r="AO30" s="621">
        <f t="shared" si="11"/>
        <v>0</v>
      </c>
      <c r="AP30" s="635">
        <f>AO30/'État des Résultats'!AO$14</f>
        <v>0</v>
      </c>
      <c r="AQ30"/>
      <c r="AR30" s="1091">
        <f t="shared" si="12"/>
        <v>0</v>
      </c>
      <c r="AS30" s="1087">
        <f>AR30/'État des Résultats'!AR$14</f>
        <v>0</v>
      </c>
      <c r="AT30"/>
      <c r="AU30"/>
    </row>
    <row r="31" spans="2:48" x14ac:dyDescent="0.15">
      <c r="B31" s="551">
        <v>7440</v>
      </c>
      <c r="C31" s="414" t="s">
        <v>238</v>
      </c>
      <c r="E31" s="621">
        <v>0</v>
      </c>
      <c r="F31" s="553">
        <f>E31/'État des Résultats'!E$14</f>
        <v>0</v>
      </c>
      <c r="H31" s="621">
        <f t="shared" si="0"/>
        <v>0</v>
      </c>
      <c r="I31" s="553">
        <f>H31/'État des Résultats'!H$14</f>
        <v>0</v>
      </c>
      <c r="K31" s="621">
        <f t="shared" si="1"/>
        <v>0</v>
      </c>
      <c r="L31" s="553">
        <f>K31/'État des Résultats'!K$14</f>
        <v>0</v>
      </c>
      <c r="N31" s="621">
        <f t="shared" si="2"/>
        <v>0</v>
      </c>
      <c r="O31" s="553">
        <f>N31/'État des Résultats'!N$14</f>
        <v>0</v>
      </c>
      <c r="Q31" s="621">
        <f t="shared" si="3"/>
        <v>0</v>
      </c>
      <c r="R31" s="553">
        <f>Q31/'État des Résultats'!Q$14</f>
        <v>0</v>
      </c>
      <c r="T31" s="621">
        <f t="shared" si="4"/>
        <v>0</v>
      </c>
      <c r="U31" s="553">
        <f>T31/'État des Résultats'!T$14</f>
        <v>0</v>
      </c>
      <c r="W31" s="621">
        <f t="shared" si="5"/>
        <v>0</v>
      </c>
      <c r="X31" s="553">
        <f>W31/'État des Résultats'!W$14</f>
        <v>0</v>
      </c>
      <c r="Z31" s="621">
        <f t="shared" si="6"/>
        <v>0</v>
      </c>
      <c r="AA31" s="553">
        <f>Z31/'État des Résultats'!Z$14</f>
        <v>0</v>
      </c>
      <c r="AC31" s="621">
        <f t="shared" si="7"/>
        <v>0</v>
      </c>
      <c r="AD31" s="553">
        <f>AC31/'État des Résultats'!AC$14</f>
        <v>0</v>
      </c>
      <c r="AF31" s="621">
        <f t="shared" si="8"/>
        <v>0</v>
      </c>
      <c r="AG31" s="553">
        <f>AF31/'État des Résultats'!AF$14</f>
        <v>0</v>
      </c>
      <c r="AI31" s="621">
        <f t="shared" si="9"/>
        <v>0</v>
      </c>
      <c r="AJ31" s="553">
        <f>AI31/'État des Résultats'!AI$14</f>
        <v>0</v>
      </c>
      <c r="AL31" s="621">
        <f t="shared" si="10"/>
        <v>0</v>
      </c>
      <c r="AM31" s="553">
        <f>AL31/'État des Résultats'!AL$14</f>
        <v>0</v>
      </c>
      <c r="AO31" s="621">
        <f t="shared" si="11"/>
        <v>0</v>
      </c>
      <c r="AP31" s="635">
        <f>AO31/'État des Résultats'!AO$14</f>
        <v>0</v>
      </c>
      <c r="AQ31"/>
      <c r="AR31" s="1091">
        <f t="shared" si="12"/>
        <v>0</v>
      </c>
      <c r="AS31" s="1087">
        <f>AR31/'État des Résultats'!AR$14</f>
        <v>0</v>
      </c>
      <c r="AT31"/>
      <c r="AU31"/>
    </row>
    <row r="32" spans="2:48" x14ac:dyDescent="0.15">
      <c r="B32" s="551">
        <v>7499</v>
      </c>
      <c r="C32" s="414" t="s">
        <v>239</v>
      </c>
      <c r="E32" s="621">
        <v>0</v>
      </c>
      <c r="F32" s="553">
        <f>E32/'État des Résultats'!E$14</f>
        <v>0</v>
      </c>
      <c r="H32" s="621">
        <f t="shared" si="0"/>
        <v>0</v>
      </c>
      <c r="I32" s="553">
        <f>H32/'État des Résultats'!H$14</f>
        <v>0</v>
      </c>
      <c r="K32" s="621">
        <f t="shared" si="1"/>
        <v>0</v>
      </c>
      <c r="L32" s="553">
        <f>K32/'État des Résultats'!K$14</f>
        <v>0</v>
      </c>
      <c r="N32" s="621">
        <f t="shared" si="2"/>
        <v>0</v>
      </c>
      <c r="O32" s="553">
        <f>N32/'État des Résultats'!N$14</f>
        <v>0</v>
      </c>
      <c r="Q32" s="621">
        <f t="shared" si="3"/>
        <v>0</v>
      </c>
      <c r="R32" s="553">
        <f>Q32/'État des Résultats'!Q$14</f>
        <v>0</v>
      </c>
      <c r="T32" s="621">
        <f t="shared" si="4"/>
        <v>0</v>
      </c>
      <c r="U32" s="553">
        <f>T32/'État des Résultats'!T$14</f>
        <v>0</v>
      </c>
      <c r="W32" s="621">
        <f t="shared" si="5"/>
        <v>0</v>
      </c>
      <c r="X32" s="553">
        <f>W32/'État des Résultats'!W$14</f>
        <v>0</v>
      </c>
      <c r="Z32" s="621">
        <f t="shared" si="6"/>
        <v>0</v>
      </c>
      <c r="AA32" s="553">
        <f>Z32/'État des Résultats'!Z$14</f>
        <v>0</v>
      </c>
      <c r="AC32" s="621">
        <f t="shared" si="7"/>
        <v>0</v>
      </c>
      <c r="AD32" s="553">
        <f>AC32/'État des Résultats'!AC$14</f>
        <v>0</v>
      </c>
      <c r="AF32" s="621">
        <f t="shared" si="8"/>
        <v>0</v>
      </c>
      <c r="AG32" s="553">
        <f>AF32/'État des Résultats'!AF$14</f>
        <v>0</v>
      </c>
      <c r="AI32" s="621">
        <f t="shared" si="9"/>
        <v>0</v>
      </c>
      <c r="AJ32" s="553">
        <f>AI32/'État des Résultats'!AI$14</f>
        <v>0</v>
      </c>
      <c r="AL32" s="621">
        <f t="shared" si="10"/>
        <v>0</v>
      </c>
      <c r="AM32" s="553">
        <f>AL32/'État des Résultats'!AL$14</f>
        <v>0</v>
      </c>
      <c r="AO32" s="621">
        <f t="shared" si="11"/>
        <v>0</v>
      </c>
      <c r="AP32" s="635">
        <f>AO32/'État des Résultats'!AO$14</f>
        <v>0</v>
      </c>
      <c r="AQ32"/>
      <c r="AR32" s="1091">
        <f t="shared" si="12"/>
        <v>0</v>
      </c>
      <c r="AS32" s="1087">
        <f>AR32/'État des Résultats'!AR$14</f>
        <v>0</v>
      </c>
      <c r="AT32"/>
      <c r="AU32"/>
    </row>
    <row r="33" spans="2:72" ht="14" thickBot="1" x14ac:dyDescent="0.2">
      <c r="B33" s="551"/>
      <c r="C33" s="414"/>
      <c r="E33" s="622"/>
      <c r="F33" s="623"/>
      <c r="H33" s="622"/>
      <c r="I33" s="623"/>
      <c r="K33" s="622"/>
      <c r="L33" s="623"/>
      <c r="N33" s="622"/>
      <c r="O33" s="623"/>
      <c r="Q33" s="622"/>
      <c r="R33" s="623"/>
      <c r="T33" s="622"/>
      <c r="U33" s="623"/>
      <c r="W33" s="622"/>
      <c r="X33" s="623"/>
      <c r="Z33" s="622"/>
      <c r="AA33" s="623"/>
      <c r="AC33" s="622"/>
      <c r="AD33" s="623"/>
      <c r="AF33" s="622"/>
      <c r="AG33" s="623"/>
      <c r="AI33" s="622"/>
      <c r="AJ33" s="623"/>
      <c r="AL33" s="622"/>
      <c r="AM33" s="623"/>
      <c r="AO33" s="636"/>
      <c r="AP33" s="637"/>
      <c r="AQ33"/>
      <c r="AR33" s="1091"/>
      <c r="AS33" s="1092"/>
      <c r="AT33"/>
      <c r="AU33"/>
    </row>
    <row r="34" spans="2:72" ht="15" thickTop="1" thickBot="1" x14ac:dyDescent="0.2">
      <c r="B34" s="560">
        <v>7400</v>
      </c>
      <c r="C34" s="561" t="s">
        <v>240</v>
      </c>
      <c r="D34" s="381"/>
      <c r="E34" s="624">
        <f>SUM(E13:E32)</f>
        <v>337.26099999999997</v>
      </c>
      <c r="F34" s="563">
        <f>SUM(F13:F32)</f>
        <v>1.2285390606217351E-2</v>
      </c>
      <c r="G34" s="381"/>
      <c r="H34" s="624">
        <f>SUM(H13:H32)</f>
        <v>337.26099999999997</v>
      </c>
      <c r="I34" s="563">
        <f>SUM(I13:I32)</f>
        <v>1.2285390606217351E-2</v>
      </c>
      <c r="J34" s="381"/>
      <c r="K34" s="624">
        <f>SUM(K13:K32)</f>
        <v>397.44799999999998</v>
      </c>
      <c r="L34" s="563">
        <f>SUM(L13:L32)</f>
        <v>1.0064624610023904E-2</v>
      </c>
      <c r="M34" s="381"/>
      <c r="N34" s="624">
        <f>SUM(N13:N32)</f>
        <v>468.30781250000001</v>
      </c>
      <c r="O34" s="563">
        <f>SUM(O13:O32)</f>
        <v>8.7270625505919634E-3</v>
      </c>
      <c r="P34" s="381"/>
      <c r="Q34" s="624">
        <f>SUM(Q13:Q32)</f>
        <v>530.98812500000008</v>
      </c>
      <c r="R34" s="563">
        <f>SUM(R13:R32)</f>
        <v>8.0212564272509786E-3</v>
      </c>
      <c r="S34" s="381"/>
      <c r="T34" s="624">
        <f>SUM(T13:T32)</f>
        <v>593.6684375000001</v>
      </c>
      <c r="U34" s="563">
        <f>SUM(U13:U32)</f>
        <v>7.5402087257757369E-3</v>
      </c>
      <c r="V34" s="381"/>
      <c r="W34" s="624">
        <f>SUM(W13:W32)</f>
        <v>673.65752500000008</v>
      </c>
      <c r="X34" s="563">
        <f>SUM(X13:X32)</f>
        <v>7.1112300496017659E-3</v>
      </c>
      <c r="Y34" s="381"/>
      <c r="Z34" s="624">
        <f>SUM(Z13:Z32)</f>
        <v>739.67512500000009</v>
      </c>
      <c r="AA34" s="563">
        <f>SUM(AA13:AA32)</f>
        <v>6.8529666343246773E-3</v>
      </c>
      <c r="AB34" s="381"/>
      <c r="AC34" s="624">
        <f>SUM(AC13:AC32)</f>
        <v>739.67512500000009</v>
      </c>
      <c r="AD34" s="563">
        <f>SUM(AD13:AD32)</f>
        <v>6.8529666343246773E-3</v>
      </c>
      <c r="AE34" s="381"/>
      <c r="AF34" s="624">
        <f>SUM(AF13:AF32)</f>
        <v>760.32118750000006</v>
      </c>
      <c r="AG34" s="563">
        <f>SUM(AG13:AG32)</f>
        <v>6.7846906779694119E-3</v>
      </c>
      <c r="AH34" s="381"/>
      <c r="AI34" s="624">
        <f>SUM(AI13:AI32)</f>
        <v>760.32118750000006</v>
      </c>
      <c r="AJ34" s="563">
        <f>SUM(AJ13:AJ32)</f>
        <v>6.7846906779694119E-3</v>
      </c>
      <c r="AK34" s="381"/>
      <c r="AL34" s="624">
        <f>SUM(AL13:AL32)</f>
        <v>692.65425000000005</v>
      </c>
      <c r="AM34" s="563">
        <f>SUM(AM13:AM32)</f>
        <v>7.0298211169395183E-3</v>
      </c>
      <c r="AN34" s="381"/>
      <c r="AO34" s="624">
        <f>SUM(AO13:AO32)</f>
        <v>710.80700000000002</v>
      </c>
      <c r="AP34" s="563">
        <f>SUM(AP13:AP32)</f>
        <v>6.9576865626352026E-3</v>
      </c>
      <c r="AQ34"/>
      <c r="AR34" s="624">
        <f>SUM(AR13:AR32)</f>
        <v>7742.0457750000023</v>
      </c>
      <c r="AS34" s="563">
        <f>SUM(AS13:AS32)</f>
        <v>7.528176638023026E-3</v>
      </c>
      <c r="AT34"/>
      <c r="AU34"/>
      <c r="AV34" s="381"/>
      <c r="AW34" s="381"/>
      <c r="AX34" s="545"/>
    </row>
    <row r="35" spans="2:72" ht="14" thickTop="1" x14ac:dyDescent="0.15">
      <c r="L35" s="279"/>
      <c r="O35" s="279"/>
      <c r="R35" s="279"/>
      <c r="U35" s="279"/>
      <c r="X35" s="279"/>
      <c r="AA35" s="279"/>
      <c r="AD35" s="279"/>
      <c r="AG35" s="279"/>
      <c r="AJ35" s="279"/>
      <c r="AM35" s="279"/>
      <c r="AP35" s="279"/>
      <c r="AQ35"/>
      <c r="AR35"/>
      <c r="AS35"/>
      <c r="AT35"/>
      <c r="AU35"/>
    </row>
    <row r="36" spans="2:72" x14ac:dyDescent="0.15">
      <c r="R36" s="279"/>
      <c r="U36" s="279"/>
      <c r="X36" s="279"/>
      <c r="AD36" s="279"/>
      <c r="AG36" s="279"/>
      <c r="AJ36" s="279"/>
      <c r="AM36" s="279"/>
    </row>
    <row r="37" spans="2:72" x14ac:dyDescent="0.15">
      <c r="U37" s="279"/>
      <c r="AG37" s="279"/>
      <c r="AJ37" s="279"/>
      <c r="AM37" s="279"/>
    </row>
    <row r="38" spans="2:72" x14ac:dyDescent="0.15">
      <c r="C38" s="138" t="s">
        <v>1</v>
      </c>
      <c r="E38" s="138" t="s">
        <v>1</v>
      </c>
      <c r="G38" s="138" t="s">
        <v>1</v>
      </c>
      <c r="H38" s="138" t="s">
        <v>1</v>
      </c>
      <c r="U38" s="279"/>
      <c r="AG38" s="279"/>
      <c r="AJ38" s="279"/>
      <c r="AM38" s="279"/>
    </row>
    <row r="39" spans="2:72" x14ac:dyDescent="0.15">
      <c r="H39" s="138" t="s">
        <v>1</v>
      </c>
      <c r="AG39" s="279"/>
      <c r="AJ39" s="279"/>
      <c r="AM39" s="279"/>
    </row>
    <row r="40" spans="2:72" x14ac:dyDescent="0.15">
      <c r="H40" s="138" t="s">
        <v>1</v>
      </c>
      <c r="AM40" s="279"/>
    </row>
    <row r="41" spans="2:72" x14ac:dyDescent="0.15">
      <c r="H41" s="138" t="s">
        <v>1</v>
      </c>
      <c r="BE41" s="336"/>
      <c r="BF41" s="336"/>
      <c r="BG41" s="336"/>
      <c r="BH41" s="336"/>
      <c r="BI41" s="336"/>
      <c r="BJ41" s="336"/>
      <c r="BK41" s="336"/>
      <c r="BL41" s="336"/>
      <c r="BM41" s="336"/>
      <c r="BN41" s="336"/>
      <c r="BO41" s="336"/>
      <c r="BP41" s="336"/>
      <c r="BQ41" s="336"/>
      <c r="BR41" s="336"/>
      <c r="BS41" s="336"/>
      <c r="BT41" s="336"/>
    </row>
    <row r="42" spans="2:72" x14ac:dyDescent="0.15">
      <c r="H42" s="138" t="s">
        <v>1</v>
      </c>
    </row>
    <row r="43" spans="2:72" x14ac:dyDescent="0.15">
      <c r="H43" s="138" t="s">
        <v>1</v>
      </c>
    </row>
    <row r="53" spans="8:8" x14ac:dyDescent="0.15">
      <c r="H53" s="625"/>
    </row>
  </sheetData>
  <sheetProtection algorithmName="SHA-512" hashValue="QC+drys0rE6JbOTJZ1hnBzWfsiH2QpX5X/O2ZjUkXFj7SxWvGLSg9NOmly9n8ACQ2WLxYZ95Ysy0fkLMx6r9ew==" saltValue="ZAvAJoU7ZtnhIBRjAFuJqQ==" spinCount="100000" sheet="1" objects="1" scenarios="1"/>
  <mergeCells count="9">
    <mergeCell ref="B9:C9"/>
    <mergeCell ref="B2:C2"/>
    <mergeCell ref="AV2:AV8"/>
    <mergeCell ref="BF2:BF8"/>
    <mergeCell ref="B3:C3"/>
    <mergeCell ref="B4:C4"/>
    <mergeCell ref="B6:C6"/>
    <mergeCell ref="B7:C7"/>
    <mergeCell ref="B8:C8"/>
  </mergeCells>
  <hyperlinks>
    <hyperlink ref="C11" r:id="rId1" display="Coût direct d’exploitation" xr:uid="{4F9312D0-8B57-2A46-8EA3-F556A0DA9D68}"/>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0B4E0-5C80-3A47-8DD3-E76F6A951519}">
  <sheetPr codeName="Feuil10">
    <tabColor theme="1"/>
    <pageSetUpPr fitToPage="1"/>
  </sheetPr>
  <dimension ref="B1:BS43"/>
  <sheetViews>
    <sheetView zoomScale="125" zoomScaleNormal="125" zoomScalePageLayoutView="125" workbookViewId="0">
      <selection activeCell="AO13" sqref="AO13:AO22"/>
    </sheetView>
  </sheetViews>
  <sheetFormatPr baseColWidth="10" defaultRowHeight="13" x14ac:dyDescent="0.15"/>
  <cols>
    <col min="1" max="1" width="2.1640625" style="138" customWidth="1"/>
    <col min="2" max="2" width="5.1640625" style="138" customWidth="1"/>
    <col min="3" max="3" width="46.5" style="138" customWidth="1"/>
    <col min="4" max="4" width="0.83203125" style="138" customWidth="1"/>
    <col min="5" max="5" width="14.33203125" style="138" customWidth="1"/>
    <col min="6" max="6" width="7.83203125" style="138" customWidth="1"/>
    <col min="7" max="7" width="0.83203125" style="138" customWidth="1"/>
    <col min="8" max="8" width="14.33203125" style="138" customWidth="1"/>
    <col min="9" max="9" width="7.83203125" style="138" customWidth="1"/>
    <col min="10" max="10" width="0.83203125" style="138" customWidth="1"/>
    <col min="11" max="11" width="14.33203125" style="138" customWidth="1"/>
    <col min="12" max="12" width="7.83203125" style="138" customWidth="1"/>
    <col min="13" max="13" width="0.83203125" style="138" customWidth="1"/>
    <col min="14" max="14" width="14.33203125" style="138" customWidth="1"/>
    <col min="15" max="15" width="7.83203125" style="138" customWidth="1"/>
    <col min="16" max="16" width="0.83203125" style="138" customWidth="1"/>
    <col min="17" max="17" width="14.33203125" style="138" customWidth="1"/>
    <col min="18" max="18" width="7.83203125" style="138" customWidth="1"/>
    <col min="19" max="19" width="0.83203125" style="138" customWidth="1"/>
    <col min="20" max="20" width="14.33203125" style="138" customWidth="1"/>
    <col min="21" max="21" width="7.83203125" style="138" customWidth="1"/>
    <col min="22" max="22" width="0.83203125" style="138" customWidth="1"/>
    <col min="23" max="23" width="14.33203125" style="138" customWidth="1"/>
    <col min="24" max="24" width="7.83203125" style="138" customWidth="1"/>
    <col min="25" max="25" width="0.83203125" style="138" customWidth="1"/>
    <col min="26" max="26" width="14.33203125" style="138" customWidth="1"/>
    <col min="27" max="27" width="7.83203125" style="138" customWidth="1"/>
    <col min="28" max="28" width="0.83203125" style="138" customWidth="1"/>
    <col min="29" max="29" width="14.33203125" style="138" customWidth="1"/>
    <col min="30" max="30" width="7.83203125" style="138" customWidth="1"/>
    <col min="31" max="31" width="0.83203125" style="138" customWidth="1"/>
    <col min="32" max="32" width="14.33203125" style="138" customWidth="1"/>
    <col min="33" max="33" width="7.83203125" style="138" customWidth="1"/>
    <col min="34" max="34" width="0.83203125" style="138" customWidth="1"/>
    <col min="35" max="35" width="14.33203125" style="138" customWidth="1"/>
    <col min="36" max="36" width="7.83203125" style="138" customWidth="1"/>
    <col min="37" max="37" width="0.83203125" style="138" customWidth="1"/>
    <col min="38" max="38" width="14.33203125" style="138" customWidth="1"/>
    <col min="39" max="39" width="7.83203125" style="138" customWidth="1"/>
    <col min="40" max="40" width="0.83203125" style="138" customWidth="1"/>
    <col min="41" max="41" width="14.33203125" style="138" customWidth="1"/>
    <col min="42" max="42" width="8.1640625" style="138" customWidth="1"/>
    <col min="43" max="43" width="3" style="138" customWidth="1"/>
    <col min="44" max="44" width="14.5" style="138" bestFit="1" customWidth="1"/>
    <col min="45" max="45" width="8.1640625" style="138" customWidth="1"/>
    <col min="46" max="46" width="2.83203125" style="138" customWidth="1"/>
    <col min="47" max="47" width="10.83203125" style="138"/>
    <col min="48" max="48" width="14.6640625" style="138" bestFit="1" customWidth="1"/>
    <col min="49" max="49" width="2.5" style="138" bestFit="1" customWidth="1"/>
    <col min="50" max="50" width="26.83203125" style="138" bestFit="1" customWidth="1"/>
    <col min="51" max="51" width="2.5" style="138" bestFit="1" customWidth="1"/>
    <col min="52" max="52" width="2" style="138" bestFit="1" customWidth="1"/>
    <col min="53" max="53" width="10.83203125" style="138"/>
    <col min="54" max="54" width="2.5" style="138" bestFit="1" customWidth="1"/>
    <col min="55" max="55" width="10.83203125" style="138"/>
    <col min="56" max="56" width="2" style="138" bestFit="1" customWidth="1"/>
    <col min="57" max="16384" width="10.83203125" style="138"/>
  </cols>
  <sheetData>
    <row r="1" spans="2:58" ht="14" thickBot="1" x14ac:dyDescent="0.2"/>
    <row r="2" spans="2:58" ht="20" customHeight="1" thickTop="1" x14ac:dyDescent="0.2">
      <c r="B2" s="1546" t="str">
        <f>'État des Résultats'!C2</f>
        <v>Votre entreprise inc.</v>
      </c>
      <c r="C2" s="1547"/>
      <c r="AU2" s="1548" t="s">
        <v>45</v>
      </c>
      <c r="AV2" s="602"/>
      <c r="AW2" s="602"/>
      <c r="AX2" s="602"/>
      <c r="AY2" s="602"/>
      <c r="AZ2" s="602"/>
      <c r="BA2" s="602"/>
      <c r="BB2" s="602"/>
      <c r="BC2" s="602"/>
      <c r="BD2" s="602"/>
      <c r="BE2" s="1551" t="s">
        <v>46</v>
      </c>
    </row>
    <row r="3" spans="2:58" ht="20" customHeight="1" x14ac:dyDescent="0.2">
      <c r="B3" s="1554" t="str">
        <f>'État des Résultats'!C3</f>
        <v xml:space="preserve">États des résultats </v>
      </c>
      <c r="C3" s="1555"/>
      <c r="AU3" s="1549"/>
      <c r="AV3" s="603"/>
      <c r="AW3" s="603"/>
      <c r="AX3" s="603"/>
      <c r="AY3" s="603"/>
      <c r="AZ3" s="603"/>
      <c r="BA3" s="603"/>
      <c r="BB3" s="603"/>
      <c r="BC3" s="603"/>
      <c r="BD3" s="603"/>
      <c r="BE3" s="1552"/>
    </row>
    <row r="4" spans="2:58" ht="20" customHeight="1" thickBot="1" x14ac:dyDescent="0.3">
      <c r="B4" s="1556" t="str">
        <f>'État des Résultats'!C4</f>
        <v>Pour la période du 2 janvier 2023 au 31 décembre 2023</v>
      </c>
      <c r="C4" s="1557"/>
      <c r="AU4" s="1549"/>
      <c r="AV4" s="604" t="str">
        <f>'[1]Formule pour le calcul D'!BA103</f>
        <v>Coût annuel</v>
      </c>
      <c r="AW4" s="604" t="s">
        <v>48</v>
      </c>
      <c r="AX4" s="604" t="str">
        <f>'[1]Formule pour le calcul D'!BC103</f>
        <v>Achalandage annuelle</v>
      </c>
      <c r="AY4" s="604" t="s">
        <v>50</v>
      </c>
      <c r="AZ4" s="604" t="s">
        <v>51</v>
      </c>
      <c r="BA4" s="604" t="str">
        <f>'[1]Formule pour le calcul D'!BF103</f>
        <v>Um/A</v>
      </c>
      <c r="BB4" s="604" t="s">
        <v>50</v>
      </c>
      <c r="BC4" s="604" t="str">
        <f>'[1]Formule pour le calcul D'!BH103</f>
        <v>CmO</v>
      </c>
      <c r="BD4" s="604" t="s">
        <v>54</v>
      </c>
      <c r="BE4" s="1552"/>
    </row>
    <row r="5" spans="2:58" ht="21" thickTop="1" thickBot="1" x14ac:dyDescent="0.3">
      <c r="AU5" s="1549"/>
      <c r="AV5" s="605" t="s">
        <v>1</v>
      </c>
      <c r="AW5" s="184"/>
      <c r="AX5" s="605"/>
      <c r="AY5" s="184"/>
      <c r="AZ5" s="184"/>
      <c r="BA5" s="184"/>
      <c r="BB5" s="184"/>
      <c r="BC5" s="184"/>
      <c r="BD5" s="184"/>
      <c r="BE5" s="1552"/>
    </row>
    <row r="6" spans="2:58" ht="27" thickTop="1" x14ac:dyDescent="0.3">
      <c r="B6" s="1558" t="str">
        <f>'État des Résultats'!C6</f>
        <v>Nb de places</v>
      </c>
      <c r="C6" s="1559"/>
      <c r="E6" s="530" t="str">
        <f>'Coût direct d''exploitation '!E6</f>
        <v>Coût / place / jour</v>
      </c>
      <c r="F6" s="531">
        <f>E24/B7/'Calendrier 2023'!D7</f>
        <v>0.11904761904761905</v>
      </c>
      <c r="G6" s="336"/>
      <c r="H6" s="530" t="str">
        <f>+E6</f>
        <v>Coût / place / jour</v>
      </c>
      <c r="I6" s="531">
        <f>H24/B7/'Calendrier 2023'!E7</f>
        <v>0.11904761904761905</v>
      </c>
      <c r="J6" s="336"/>
      <c r="K6" s="530" t="str">
        <f>+H6</f>
        <v>Coût / place / jour</v>
      </c>
      <c r="L6" s="531">
        <f>K24/B7/'Calendrier 2023'!F7</f>
        <v>0.11904761904761905</v>
      </c>
      <c r="M6" s="336"/>
      <c r="N6" s="530" t="str">
        <f>+K6</f>
        <v>Coût / place / jour</v>
      </c>
      <c r="O6" s="531">
        <f>N24/B7/'Calendrier 2023'!G7</f>
        <v>0.11904761904761905</v>
      </c>
      <c r="P6" s="532"/>
      <c r="Q6" s="530" t="str">
        <f>+N6</f>
        <v>Coût / place / jour</v>
      </c>
      <c r="R6" s="531">
        <f>Q24/B7/'Calendrier 2023'!H7</f>
        <v>0.11904761904761905</v>
      </c>
      <c r="S6" s="532"/>
      <c r="T6" s="530" t="str">
        <f>+Q6</f>
        <v>Coût / place / jour</v>
      </c>
      <c r="U6" s="531">
        <f>T24/B7/'Calendrier 2023'!I7</f>
        <v>0.11904761904761905</v>
      </c>
      <c r="V6" s="336"/>
      <c r="W6" s="530" t="str">
        <f>+T6</f>
        <v>Coût / place / jour</v>
      </c>
      <c r="X6" s="531">
        <f>W24/B7/'Calendrier 2023'!J7</f>
        <v>0.11904761904761905</v>
      </c>
      <c r="Y6" s="336"/>
      <c r="Z6" s="530" t="str">
        <f>+W6</f>
        <v>Coût / place / jour</v>
      </c>
      <c r="AA6" s="531">
        <f>Z24/B7/'Calendrier 2023'!K7</f>
        <v>0.11904761904761905</v>
      </c>
      <c r="AB6" s="336"/>
      <c r="AC6" s="530" t="str">
        <f>+Z6</f>
        <v>Coût / place / jour</v>
      </c>
      <c r="AD6" s="531">
        <f>AC24/B7/'Calendrier 2023'!L7</f>
        <v>0.11904761904761905</v>
      </c>
      <c r="AE6" s="336"/>
      <c r="AF6" s="530" t="str">
        <f>+AC6</f>
        <v>Coût / place / jour</v>
      </c>
      <c r="AG6" s="531">
        <f>AF24/B7/'Calendrier 2023'!M7</f>
        <v>0.11904761904761905</v>
      </c>
      <c r="AH6" s="336"/>
      <c r="AI6" s="530" t="str">
        <f>+AF6</f>
        <v>Coût / place / jour</v>
      </c>
      <c r="AJ6" s="531">
        <f>AI24/B7/'Calendrier 2023'!N7</f>
        <v>0.11904761904761905</v>
      </c>
      <c r="AK6" s="336"/>
      <c r="AL6" s="530" t="str">
        <f>+AI6</f>
        <v>Coût / place / jour</v>
      </c>
      <c r="AM6" s="531">
        <f>AL24/B7/'Calendrier 2023'!O7</f>
        <v>0.11904761904761905</v>
      </c>
      <c r="AN6" s="336"/>
      <c r="AO6" s="606" t="str">
        <f>+AL6</f>
        <v>Coût / place / jour</v>
      </c>
      <c r="AP6" s="607">
        <f>AO24/B7/'Calendrier 2023'!P7</f>
        <v>0.11904761904761905</v>
      </c>
      <c r="AQ6"/>
      <c r="AR6" s="1078" t="str">
        <f>+AO6</f>
        <v>Coût / place / jour</v>
      </c>
      <c r="AS6" s="1056">
        <f>AR24/B7/'Calendrier 2023'!R7</f>
        <v>0.11904761904761905</v>
      </c>
      <c r="AU6" s="1549"/>
      <c r="AV6" s="608" t="str">
        <f>'[1]Formule pour le calcul D'!BA105</f>
        <v xml:space="preserve">C </v>
      </c>
      <c r="AW6" s="609"/>
      <c r="AX6" s="608" t="str">
        <f>'[1]Formule pour le calcul D'!BC105</f>
        <v>A</v>
      </c>
      <c r="AY6" s="609"/>
      <c r="AZ6" s="609"/>
      <c r="BA6" s="608" t="str">
        <f>BA4</f>
        <v>Um/A</v>
      </c>
      <c r="BB6" s="609"/>
      <c r="BC6" s="608" t="str">
        <f>BC4</f>
        <v>CmO</v>
      </c>
      <c r="BD6" s="609"/>
      <c r="BE6" s="1552"/>
    </row>
    <row r="7" spans="2:58" ht="21" x14ac:dyDescent="0.25">
      <c r="B7" s="1538">
        <f>'État des Résultats'!C7</f>
        <v>30</v>
      </c>
      <c r="C7" s="1539"/>
      <c r="E7" s="535">
        <f>+E24/$AR24</f>
        <v>7.6923076923076927E-2</v>
      </c>
      <c r="F7" s="536"/>
      <c r="H7" s="535">
        <f>+H24/$AR24</f>
        <v>7.6923076923076927E-2</v>
      </c>
      <c r="I7" s="536"/>
      <c r="K7" s="535">
        <f>+K24/$AR24</f>
        <v>7.6923076923076927E-2</v>
      </c>
      <c r="L7" s="537"/>
      <c r="N7" s="535">
        <f>+N24/$AR24</f>
        <v>7.6923076923076927E-2</v>
      </c>
      <c r="O7" s="537"/>
      <c r="P7" s="538"/>
      <c r="Q7" s="535">
        <f>+Q24/$AR24</f>
        <v>7.6923076923076927E-2</v>
      </c>
      <c r="R7" s="537"/>
      <c r="S7" s="538"/>
      <c r="T7" s="535">
        <f>+T24/$AR24</f>
        <v>7.6923076923076927E-2</v>
      </c>
      <c r="U7" s="537"/>
      <c r="W7" s="535">
        <f>+W24/$AR24</f>
        <v>7.6923076923076927E-2</v>
      </c>
      <c r="X7" s="537"/>
      <c r="Z7" s="535">
        <f>+Z24/$AR24</f>
        <v>7.6923076923076927E-2</v>
      </c>
      <c r="AA7" s="537"/>
      <c r="AC7" s="535">
        <f>+AC24/$AR24</f>
        <v>7.6923076923076927E-2</v>
      </c>
      <c r="AD7" s="537"/>
      <c r="AF7" s="535">
        <f>+AF24/$AR24</f>
        <v>7.6923076923076927E-2</v>
      </c>
      <c r="AG7" s="537"/>
      <c r="AI7" s="535">
        <f>+AI24/$AR24</f>
        <v>7.6923076923076927E-2</v>
      </c>
      <c r="AJ7" s="537"/>
      <c r="AL7" s="535">
        <f>+AL24/$AR24</f>
        <v>7.6923076923076927E-2</v>
      </c>
      <c r="AM7" s="537"/>
      <c r="AO7" s="535">
        <f>+AO24/$AR24</f>
        <v>7.6923076923076927E-2</v>
      </c>
      <c r="AP7" s="611" t="s">
        <v>151</v>
      </c>
      <c r="AQ7"/>
      <c r="AR7" s="1079">
        <f>+E7+H7+K7+N7+Q7+T7+W7+Z7+AC7+AF7+AI7+AL7+AO7</f>
        <v>0.99999999999999978</v>
      </c>
      <c r="AS7" s="1080" t="str">
        <f>AP7</f>
        <v>364 jours</v>
      </c>
      <c r="AU7" s="1549"/>
      <c r="AV7" s="642">
        <f>AR24</f>
        <v>1300</v>
      </c>
      <c r="AW7" s="604" t="s">
        <v>48</v>
      </c>
      <c r="AX7" s="643">
        <f>'Formule pour le calcul D'!G114</f>
        <v>54651</v>
      </c>
      <c r="AY7" s="604" t="s">
        <v>50</v>
      </c>
      <c r="AZ7" s="604" t="s">
        <v>51</v>
      </c>
      <c r="BA7" s="644">
        <f>'Formule pour le calcul D'!J114</f>
        <v>2.2692307692307692</v>
      </c>
      <c r="BB7" s="604" t="s">
        <v>50</v>
      </c>
      <c r="BC7" s="642">
        <f>AV7/AX7/BA7</f>
        <v>1.0482541141647974E-2</v>
      </c>
      <c r="BD7" s="604" t="s">
        <v>54</v>
      </c>
      <c r="BE7" s="1552"/>
    </row>
    <row r="8" spans="2:58" ht="17" thickBot="1" x14ac:dyDescent="0.25">
      <c r="B8" s="1560" t="s">
        <v>242</v>
      </c>
      <c r="C8" s="1561"/>
      <c r="E8" s="539" t="str">
        <f>'Achalandage journalier'!D5</f>
        <v>Pér.01</v>
      </c>
      <c r="F8" s="540" t="str">
        <f>'État des Résultats'!F8</f>
        <v>(%)</v>
      </c>
      <c r="G8" s="541"/>
      <c r="H8" s="539" t="str">
        <f>'Achalandage journalier'!E5</f>
        <v>Pér.02</v>
      </c>
      <c r="I8" s="540" t="str">
        <f>F8</f>
        <v>(%)</v>
      </c>
      <c r="J8" s="541"/>
      <c r="K8" s="539" t="str">
        <f>'Achalandage journalier'!F5</f>
        <v>Pér.03</v>
      </c>
      <c r="L8" s="540" t="str">
        <f>I8</f>
        <v>(%)</v>
      </c>
      <c r="M8" s="541"/>
      <c r="N8" s="539" t="str">
        <f>'Achalandage journalier'!G5</f>
        <v>Pér.04</v>
      </c>
      <c r="O8" s="540" t="str">
        <f>L8</f>
        <v>(%)</v>
      </c>
      <c r="P8" s="542"/>
      <c r="Q8" s="539" t="str">
        <f>'Achalandage journalier'!H5</f>
        <v>Pér.05</v>
      </c>
      <c r="R8" s="540" t="str">
        <f>O8</f>
        <v>(%)</v>
      </c>
      <c r="S8" s="542"/>
      <c r="T8" s="539" t="str">
        <f>'Achalandage journalier'!I5</f>
        <v>Pér.06</v>
      </c>
      <c r="U8" s="540" t="str">
        <f>R8</f>
        <v>(%)</v>
      </c>
      <c r="V8" s="541"/>
      <c r="W8" s="539" t="str">
        <f>'Achalandage journalier'!J5</f>
        <v>Pér.07</v>
      </c>
      <c r="X8" s="540" t="str">
        <f>U8</f>
        <v>(%)</v>
      </c>
      <c r="Y8" s="541"/>
      <c r="Z8" s="539" t="str">
        <f>'Achalandage journalier'!K5</f>
        <v>Pér.08</v>
      </c>
      <c r="AA8" s="540" t="str">
        <f>X8</f>
        <v>(%)</v>
      </c>
      <c r="AB8" s="541"/>
      <c r="AC8" s="539" t="str">
        <f>'Achalandage journalier'!L5</f>
        <v>Pér.09</v>
      </c>
      <c r="AD8" s="540" t="str">
        <f>AA8</f>
        <v>(%)</v>
      </c>
      <c r="AE8" s="541"/>
      <c r="AF8" s="539" t="str">
        <f>'Achalandage journalier'!M5</f>
        <v>Pér.10</v>
      </c>
      <c r="AG8" s="540" t="str">
        <f>AD8</f>
        <v>(%)</v>
      </c>
      <c r="AH8" s="541"/>
      <c r="AI8" s="539" t="str">
        <f>'Achalandage journalier'!N5</f>
        <v>Pér.11</v>
      </c>
      <c r="AJ8" s="540" t="str">
        <f>AG8</f>
        <v>(%)</v>
      </c>
      <c r="AK8" s="541"/>
      <c r="AL8" s="539" t="str">
        <f>'Achalandage journalier'!O5</f>
        <v>Pér.12</v>
      </c>
      <c r="AM8" s="540" t="str">
        <f>AJ8</f>
        <v>(%)</v>
      </c>
      <c r="AN8" s="541"/>
      <c r="AO8" s="615" t="str">
        <f>'Achalandage journalier'!P5</f>
        <v>Pér.13</v>
      </c>
      <c r="AP8" s="540" t="str">
        <f>AM8</f>
        <v>(%)</v>
      </c>
      <c r="AQ8"/>
      <c r="AR8" s="1058" t="str">
        <f>'Achalandage journalier'!Q5</f>
        <v>Année</v>
      </c>
      <c r="AS8" s="1059" t="str">
        <f>AP8</f>
        <v>(%)</v>
      </c>
      <c r="AU8" s="1550"/>
      <c r="AV8" s="616"/>
      <c r="AW8" s="616"/>
      <c r="AX8" s="616"/>
      <c r="AY8" s="616"/>
      <c r="AZ8" s="616"/>
      <c r="BA8" s="616"/>
      <c r="BB8" s="616"/>
      <c r="BC8" s="616"/>
      <c r="BD8" s="616"/>
      <c r="BE8" s="1553"/>
    </row>
    <row r="9" spans="2:58" ht="15" thickTop="1" thickBot="1" x14ac:dyDescent="0.2">
      <c r="B9" s="1495">
        <f>AO24/$B$7</f>
        <v>3.3333333333333335</v>
      </c>
      <c r="C9" s="1524"/>
      <c r="E9" s="574">
        <f>'Achalandage journalier'!D6</f>
        <v>44928</v>
      </c>
      <c r="F9" s="575"/>
      <c r="G9" s="576"/>
      <c r="H9" s="577">
        <f>'Achalandage journalier'!E6</f>
        <v>44956</v>
      </c>
      <c r="I9" s="578"/>
      <c r="J9" s="576"/>
      <c r="K9" s="577">
        <f>'Achalandage journalier'!F6</f>
        <v>44984</v>
      </c>
      <c r="L9" s="578"/>
      <c r="M9" s="576"/>
      <c r="N9" s="574">
        <f>'Achalandage journalier'!G6</f>
        <v>45012</v>
      </c>
      <c r="O9" s="575"/>
      <c r="P9" s="579"/>
      <c r="Q9" s="574">
        <f>'Achalandage journalier'!H6</f>
        <v>45040</v>
      </c>
      <c r="R9" s="575"/>
      <c r="S9" s="579"/>
      <c r="T9" s="577">
        <f>'Achalandage journalier'!I6</f>
        <v>45068</v>
      </c>
      <c r="U9" s="578"/>
      <c r="V9" s="576"/>
      <c r="W9" s="577">
        <f>'Achalandage journalier'!J6</f>
        <v>45096</v>
      </c>
      <c r="X9" s="578"/>
      <c r="Y9" s="576"/>
      <c r="Z9" s="577">
        <f>'Achalandage journalier'!K6</f>
        <v>45124</v>
      </c>
      <c r="AA9" s="578"/>
      <c r="AB9" s="576"/>
      <c r="AC9" s="577">
        <f>'Achalandage journalier'!L6</f>
        <v>45152</v>
      </c>
      <c r="AD9" s="578"/>
      <c r="AE9" s="576"/>
      <c r="AF9" s="577">
        <f>'Achalandage journalier'!M6</f>
        <v>45180</v>
      </c>
      <c r="AG9" s="578"/>
      <c r="AH9" s="576"/>
      <c r="AI9" s="577">
        <f>'Achalandage journalier'!N6</f>
        <v>45208</v>
      </c>
      <c r="AJ9" s="578"/>
      <c r="AK9" s="576"/>
      <c r="AL9" s="577">
        <f>'Achalandage journalier'!O6</f>
        <v>45236</v>
      </c>
      <c r="AM9" s="578"/>
      <c r="AN9" s="576"/>
      <c r="AO9" s="638">
        <f>'Achalandage journalier'!P6</f>
        <v>45264</v>
      </c>
      <c r="AP9" s="639"/>
      <c r="AQ9"/>
      <c r="AR9" s="1093" t="str">
        <f>'Achalandage journalier'!Q6</f>
        <v>Total</v>
      </c>
      <c r="AS9" s="1094"/>
      <c r="AT9" s="640"/>
      <c r="AU9" s="640"/>
      <c r="AV9" s="398"/>
      <c r="AW9" s="398"/>
      <c r="AX9" s="398"/>
      <c r="AY9" s="398"/>
      <c r="AZ9" s="398"/>
      <c r="BA9" s="398"/>
      <c r="BB9" s="398"/>
    </row>
    <row r="10" spans="2:58" ht="15" thickTop="1" thickBot="1" x14ac:dyDescent="0.2">
      <c r="D10" s="545"/>
      <c r="G10" s="546"/>
      <c r="J10" s="546"/>
      <c r="M10" s="546"/>
      <c r="P10" s="547"/>
      <c r="S10" s="547"/>
      <c r="V10" s="546"/>
      <c r="Y10" s="366"/>
      <c r="AB10" s="546"/>
      <c r="AE10" s="546"/>
      <c r="AH10" s="546"/>
      <c r="AK10" s="546"/>
      <c r="AN10" s="546"/>
      <c r="AQ10"/>
      <c r="AT10" s="336"/>
      <c r="AU10" s="336"/>
      <c r="AV10" s="336"/>
    </row>
    <row r="11" spans="2:58" ht="14" thickTop="1" x14ac:dyDescent="0.15">
      <c r="B11" s="404"/>
      <c r="C11" s="641" t="str">
        <f>'État des Résultats'!C29</f>
        <v> Musique &amp; Divertissement </v>
      </c>
      <c r="E11" s="404"/>
      <c r="F11" s="549"/>
      <c r="H11" s="404"/>
      <c r="I11" s="549"/>
      <c r="K11" s="404"/>
      <c r="L11" s="549"/>
      <c r="N11" s="404"/>
      <c r="O11" s="549"/>
      <c r="Q11" s="404"/>
      <c r="R11" s="549"/>
      <c r="T11" s="404"/>
      <c r="U11" s="549"/>
      <c r="W11" s="404"/>
      <c r="X11" s="549"/>
      <c r="Z11" s="404"/>
      <c r="AA11" s="549"/>
      <c r="AC11" s="404"/>
      <c r="AD11" s="549"/>
      <c r="AF11" s="404"/>
      <c r="AG11" s="549"/>
      <c r="AI11" s="404"/>
      <c r="AJ11" s="549"/>
      <c r="AL11" s="404"/>
      <c r="AM11" s="549"/>
      <c r="AO11" s="631"/>
      <c r="AP11" s="632"/>
      <c r="AQ11"/>
      <c r="AR11" s="1083"/>
      <c r="AS11" s="1084"/>
      <c r="AT11" s="366"/>
      <c r="AU11" s="366"/>
      <c r="AV11" s="366"/>
      <c r="AW11" s="366"/>
      <c r="AX11" s="366"/>
      <c r="AY11" s="366"/>
      <c r="AZ11" s="366"/>
      <c r="BA11" s="366"/>
      <c r="BB11" s="366"/>
      <c r="BC11" s="366"/>
      <c r="BD11" s="366"/>
      <c r="BE11" s="366"/>
      <c r="BF11" s="366"/>
    </row>
    <row r="12" spans="2:58" x14ac:dyDescent="0.15">
      <c r="B12" s="370"/>
      <c r="C12" s="550"/>
      <c r="E12" s="370"/>
      <c r="F12" s="414"/>
      <c r="H12" s="370"/>
      <c r="I12" s="414"/>
      <c r="K12" s="370"/>
      <c r="L12" s="414"/>
      <c r="N12" s="370"/>
      <c r="O12" s="414"/>
      <c r="Q12" s="370"/>
      <c r="R12" s="414"/>
      <c r="T12" s="370"/>
      <c r="U12" s="414"/>
      <c r="W12" s="370"/>
      <c r="X12" s="414"/>
      <c r="Z12" s="370"/>
      <c r="AA12" s="414"/>
      <c r="AC12" s="370"/>
      <c r="AD12" s="414"/>
      <c r="AF12" s="370"/>
      <c r="AG12" s="414"/>
      <c r="AI12" s="370"/>
      <c r="AJ12" s="414"/>
      <c r="AL12" s="370"/>
      <c r="AM12" s="371"/>
      <c r="AO12" s="633"/>
      <c r="AP12" s="634"/>
      <c r="AQ12"/>
      <c r="AR12" s="1028"/>
      <c r="AS12" s="1085"/>
      <c r="AT12" s="366"/>
      <c r="AU12" s="366"/>
      <c r="AV12" s="366"/>
      <c r="AW12" s="366"/>
      <c r="AX12" s="366"/>
      <c r="AY12" s="366"/>
      <c r="AZ12" s="366"/>
      <c r="BA12" s="366"/>
      <c r="BB12" s="366"/>
      <c r="BC12" s="366"/>
      <c r="BD12" s="366"/>
      <c r="BE12" s="366"/>
      <c r="BF12" s="366"/>
    </row>
    <row r="13" spans="2:58" x14ac:dyDescent="0.15">
      <c r="B13" s="551">
        <v>7505</v>
      </c>
      <c r="C13" s="414" t="s">
        <v>243</v>
      </c>
      <c r="E13" s="621">
        <v>0</v>
      </c>
      <c r="F13" s="553">
        <f>E13/'État des Résultats'!E$14</f>
        <v>0</v>
      </c>
      <c r="H13" s="621">
        <f t="shared" ref="H13:H22" si="0">+E13</f>
        <v>0</v>
      </c>
      <c r="I13" s="553">
        <f>H13/'État des Résultats'!H$14</f>
        <v>0</v>
      </c>
      <c r="K13" s="621">
        <f t="shared" ref="K13:K22" si="1">+H13</f>
        <v>0</v>
      </c>
      <c r="L13" s="553">
        <f>K13/'État des Résultats'!K$14</f>
        <v>0</v>
      </c>
      <c r="N13" s="621">
        <f t="shared" ref="N13:N22" si="2">+K13</f>
        <v>0</v>
      </c>
      <c r="O13" s="553">
        <f>N13/'État des Résultats'!N$14</f>
        <v>0</v>
      </c>
      <c r="Q13" s="621">
        <f t="shared" ref="Q13:Q22" si="3">+N13</f>
        <v>0</v>
      </c>
      <c r="R13" s="553">
        <f>Q13/'État des Résultats'!Q$14</f>
        <v>0</v>
      </c>
      <c r="T13" s="621">
        <f t="shared" ref="T13:T22" si="4">+Q13</f>
        <v>0</v>
      </c>
      <c r="U13" s="553">
        <f>T13/'État des Résultats'!T$14</f>
        <v>0</v>
      </c>
      <c r="W13" s="621">
        <f t="shared" ref="W13:W22" si="5">+T13</f>
        <v>0</v>
      </c>
      <c r="X13" s="553">
        <f>W13/'État des Résultats'!W$14</f>
        <v>0</v>
      </c>
      <c r="Z13" s="621">
        <f t="shared" ref="Z13:Z22" si="6">+W13</f>
        <v>0</v>
      </c>
      <c r="AA13" s="553">
        <f>Z13/'État des Résultats'!Z$14</f>
        <v>0</v>
      </c>
      <c r="AC13" s="621">
        <f t="shared" ref="AC13:AC22" si="7">+Z13</f>
        <v>0</v>
      </c>
      <c r="AD13" s="553">
        <f>AC13/'État des Résultats'!AC$14</f>
        <v>0</v>
      </c>
      <c r="AF13" s="621">
        <f t="shared" ref="AF13:AF22" si="8">+AC13</f>
        <v>0</v>
      </c>
      <c r="AG13" s="553">
        <f>AF13/'État des Résultats'!AF$14</f>
        <v>0</v>
      </c>
      <c r="AI13" s="621">
        <f t="shared" ref="AI13:AI22" si="9">+AF13</f>
        <v>0</v>
      </c>
      <c r="AJ13" s="553">
        <f>AI13/'État des Résultats'!AI$14</f>
        <v>0</v>
      </c>
      <c r="AL13" s="621">
        <f t="shared" ref="AL13:AL22" si="10">+AI13</f>
        <v>0</v>
      </c>
      <c r="AM13" s="553">
        <f>AL13/'État des Résultats'!AL$14</f>
        <v>0</v>
      </c>
      <c r="AO13" s="621">
        <f t="shared" ref="AO13:AO22" si="11">+AL13</f>
        <v>0</v>
      </c>
      <c r="AP13" s="635">
        <f>AO13/'État des Résultats'!AO$14</f>
        <v>0</v>
      </c>
      <c r="AQ13"/>
      <c r="AR13" s="1091">
        <f>SUM(+$AO13+$AL13+$AI13+$AF13+$AC13+$Z13+$W13+$T13+$Q13+$N13+$K13+$H13+$E13)</f>
        <v>0</v>
      </c>
      <c r="AS13" s="1087">
        <f>AR13/'État des Résultats'!AR$14</f>
        <v>0</v>
      </c>
    </row>
    <row r="14" spans="2:58" x14ac:dyDescent="0.15">
      <c r="B14" s="551">
        <v>7510</v>
      </c>
      <c r="C14" s="414" t="s">
        <v>244</v>
      </c>
      <c r="E14" s="621">
        <v>0</v>
      </c>
      <c r="F14" s="553">
        <f>E14/'État des Résultats'!E$14</f>
        <v>0</v>
      </c>
      <c r="H14" s="621">
        <f t="shared" si="0"/>
        <v>0</v>
      </c>
      <c r="I14" s="553">
        <f>H14/'État des Résultats'!H$14</f>
        <v>0</v>
      </c>
      <c r="K14" s="621">
        <f t="shared" si="1"/>
        <v>0</v>
      </c>
      <c r="L14" s="553">
        <f>K14/'État des Résultats'!K$14</f>
        <v>0</v>
      </c>
      <c r="N14" s="621">
        <f t="shared" si="2"/>
        <v>0</v>
      </c>
      <c r="O14" s="553">
        <f>N14/'État des Résultats'!N$14</f>
        <v>0</v>
      </c>
      <c r="Q14" s="621">
        <f t="shared" si="3"/>
        <v>0</v>
      </c>
      <c r="R14" s="553">
        <f>Q14/'État des Résultats'!Q$14</f>
        <v>0</v>
      </c>
      <c r="T14" s="621">
        <f t="shared" si="4"/>
        <v>0</v>
      </c>
      <c r="U14" s="553">
        <f>T14/'État des Résultats'!T$14</f>
        <v>0</v>
      </c>
      <c r="W14" s="621">
        <f t="shared" si="5"/>
        <v>0</v>
      </c>
      <c r="X14" s="553">
        <f>W14/'État des Résultats'!W$14</f>
        <v>0</v>
      </c>
      <c r="Z14" s="621">
        <f t="shared" si="6"/>
        <v>0</v>
      </c>
      <c r="AA14" s="553">
        <f>Z14/'État des Résultats'!Z$14</f>
        <v>0</v>
      </c>
      <c r="AC14" s="621">
        <f t="shared" si="7"/>
        <v>0</v>
      </c>
      <c r="AD14" s="553">
        <f>AC14/'État des Résultats'!AC$14</f>
        <v>0</v>
      </c>
      <c r="AF14" s="621">
        <f t="shared" si="8"/>
        <v>0</v>
      </c>
      <c r="AG14" s="553">
        <f>AF14/'État des Résultats'!AF$14</f>
        <v>0</v>
      </c>
      <c r="AI14" s="621">
        <f t="shared" si="9"/>
        <v>0</v>
      </c>
      <c r="AJ14" s="553">
        <f>AI14/'État des Résultats'!AI$14</f>
        <v>0</v>
      </c>
      <c r="AL14" s="621">
        <f t="shared" si="10"/>
        <v>0</v>
      </c>
      <c r="AM14" s="553">
        <f>AL14/'État des Résultats'!AL$14</f>
        <v>0</v>
      </c>
      <c r="AO14" s="621">
        <f t="shared" si="11"/>
        <v>0</v>
      </c>
      <c r="AP14" s="635">
        <f>AO14/'État des Résultats'!AO$14</f>
        <v>0</v>
      </c>
      <c r="AQ14"/>
      <c r="AR14" s="1091">
        <f t="shared" ref="AR14:AR22" si="12">SUM(+$AO14+$AL14+$AI14+$AF14+$AC14+$Z14+$W14+$T14+$Q14+$N14+$K14+$H14+$E14)</f>
        <v>0</v>
      </c>
      <c r="AS14" s="1087">
        <f>AR14/'État des Résultats'!AR$14</f>
        <v>0</v>
      </c>
    </row>
    <row r="15" spans="2:58" x14ac:dyDescent="0.15">
      <c r="B15" s="551">
        <v>7520</v>
      </c>
      <c r="C15" s="414" t="s">
        <v>245</v>
      </c>
      <c r="E15" s="621">
        <v>100</v>
      </c>
      <c r="F15" s="553">
        <f>E15/'État des Résultats'!E$14</f>
        <v>3.6426953031086762E-3</v>
      </c>
      <c r="G15" s="554" t="s">
        <v>1</v>
      </c>
      <c r="H15" s="621">
        <f t="shared" si="0"/>
        <v>100</v>
      </c>
      <c r="I15" s="553">
        <f>H15/'État des Résultats'!H$14</f>
        <v>3.6426953031086762E-3</v>
      </c>
      <c r="K15" s="621">
        <f t="shared" si="1"/>
        <v>100</v>
      </c>
      <c r="L15" s="553">
        <f>K15/'État des Résultats'!K$14</f>
        <v>2.5323123050119524E-3</v>
      </c>
      <c r="N15" s="621">
        <f t="shared" si="2"/>
        <v>100</v>
      </c>
      <c r="O15" s="553">
        <f>N15/'État des Résultats'!N$14</f>
        <v>1.8635312752959812E-3</v>
      </c>
      <c r="Q15" s="621">
        <f t="shared" si="3"/>
        <v>100</v>
      </c>
      <c r="R15" s="553">
        <f>Q15/'État des Résultats'!Q$14</f>
        <v>1.5106282136254888E-3</v>
      </c>
      <c r="T15" s="621">
        <f t="shared" si="4"/>
        <v>100</v>
      </c>
      <c r="U15" s="553">
        <f>T15/'État des Résultats'!T$14</f>
        <v>1.2701043628878677E-3</v>
      </c>
      <c r="W15" s="621">
        <f t="shared" si="5"/>
        <v>100</v>
      </c>
      <c r="X15" s="553">
        <f>W15/'État des Résultats'!W$14</f>
        <v>1.0556150248008831E-3</v>
      </c>
      <c r="Z15" s="621">
        <f t="shared" si="6"/>
        <v>100</v>
      </c>
      <c r="AA15" s="553">
        <f>Z15/'État des Résultats'!Z$14</f>
        <v>9.264833171623389E-4</v>
      </c>
      <c r="AC15" s="621">
        <f t="shared" si="7"/>
        <v>100</v>
      </c>
      <c r="AD15" s="553">
        <f>AC15/'État des Résultats'!AC$14</f>
        <v>9.264833171623389E-4</v>
      </c>
      <c r="AF15" s="621">
        <f t="shared" si="8"/>
        <v>100</v>
      </c>
      <c r="AG15" s="553">
        <f>AF15/'État des Résultats'!AF$14</f>
        <v>8.9234533898470512E-4</v>
      </c>
      <c r="AI15" s="621">
        <f t="shared" si="9"/>
        <v>100</v>
      </c>
      <c r="AJ15" s="553">
        <f>AI15/'État des Résultats'!AI$14</f>
        <v>8.9234533898470512E-4</v>
      </c>
      <c r="AL15" s="621">
        <f t="shared" si="10"/>
        <v>100</v>
      </c>
      <c r="AM15" s="553">
        <f>AL15/'État des Résultats'!AL$14</f>
        <v>1.0149105584697584E-3</v>
      </c>
      <c r="AO15" s="621">
        <f t="shared" si="11"/>
        <v>100</v>
      </c>
      <c r="AP15" s="635">
        <f>AO15/'État des Résultats'!AO$14</f>
        <v>9.7884328131760145E-4</v>
      </c>
      <c r="AQ15"/>
      <c r="AR15" s="1091">
        <f t="shared" si="12"/>
        <v>1300</v>
      </c>
      <c r="AS15" s="1087">
        <f>AR15/'État des Résultats'!AR$14</f>
        <v>1.2640883190115125E-3</v>
      </c>
    </row>
    <row r="16" spans="2:58" x14ac:dyDescent="0.15">
      <c r="B16" s="551">
        <v>7525</v>
      </c>
      <c r="C16" s="414" t="s">
        <v>246</v>
      </c>
      <c r="E16" s="621">
        <v>0</v>
      </c>
      <c r="F16" s="553">
        <f>E16/'État des Résultats'!E$14</f>
        <v>0</v>
      </c>
      <c r="H16" s="621">
        <f t="shared" si="0"/>
        <v>0</v>
      </c>
      <c r="I16" s="553">
        <f>H16/'État des Résultats'!H$14</f>
        <v>0</v>
      </c>
      <c r="K16" s="621">
        <f t="shared" si="1"/>
        <v>0</v>
      </c>
      <c r="L16" s="553">
        <f>K16/'État des Résultats'!K$14</f>
        <v>0</v>
      </c>
      <c r="N16" s="621">
        <f t="shared" si="2"/>
        <v>0</v>
      </c>
      <c r="O16" s="553">
        <f>N16/'État des Résultats'!N$14</f>
        <v>0</v>
      </c>
      <c r="Q16" s="621">
        <f t="shared" si="3"/>
        <v>0</v>
      </c>
      <c r="R16" s="553">
        <f>Q16/'État des Résultats'!Q$14</f>
        <v>0</v>
      </c>
      <c r="T16" s="621">
        <f t="shared" si="4"/>
        <v>0</v>
      </c>
      <c r="U16" s="553">
        <f>T16/'État des Résultats'!T$14</f>
        <v>0</v>
      </c>
      <c r="W16" s="621">
        <f t="shared" si="5"/>
        <v>0</v>
      </c>
      <c r="X16" s="553">
        <f>W16/'État des Résultats'!W$14</f>
        <v>0</v>
      </c>
      <c r="Z16" s="621">
        <f t="shared" si="6"/>
        <v>0</v>
      </c>
      <c r="AA16" s="553">
        <f>Z16/'État des Résultats'!Z$14</f>
        <v>0</v>
      </c>
      <c r="AC16" s="621">
        <f t="shared" si="7"/>
        <v>0</v>
      </c>
      <c r="AD16" s="553">
        <f>AC16/'État des Résultats'!AC$14</f>
        <v>0</v>
      </c>
      <c r="AF16" s="621">
        <f t="shared" si="8"/>
        <v>0</v>
      </c>
      <c r="AG16" s="553">
        <f>AF16/'État des Résultats'!AF$14</f>
        <v>0</v>
      </c>
      <c r="AI16" s="621">
        <f t="shared" si="9"/>
        <v>0</v>
      </c>
      <c r="AJ16" s="553">
        <f>AI16/'État des Résultats'!AI$14</f>
        <v>0</v>
      </c>
      <c r="AL16" s="621">
        <f t="shared" si="10"/>
        <v>0</v>
      </c>
      <c r="AM16" s="553">
        <f>AL16/'État des Résultats'!AL$14</f>
        <v>0</v>
      </c>
      <c r="AO16" s="621">
        <f t="shared" si="11"/>
        <v>0</v>
      </c>
      <c r="AP16" s="635">
        <f>AO16/'État des Résultats'!AO$14</f>
        <v>0</v>
      </c>
      <c r="AQ16"/>
      <c r="AR16" s="1091">
        <f t="shared" si="12"/>
        <v>0</v>
      </c>
      <c r="AS16" s="1087">
        <f>AR16/'État des Résultats'!AR$14</f>
        <v>0</v>
      </c>
    </row>
    <row r="17" spans="2:71" x14ac:dyDescent="0.15">
      <c r="B17" s="551">
        <v>7530</v>
      </c>
      <c r="C17" s="414" t="s">
        <v>247</v>
      </c>
      <c r="E17" s="621">
        <v>0</v>
      </c>
      <c r="F17" s="553">
        <f>E17/'État des Résultats'!E$14</f>
        <v>0</v>
      </c>
      <c r="H17" s="621">
        <f t="shared" si="0"/>
        <v>0</v>
      </c>
      <c r="I17" s="553">
        <f>H17/'État des Résultats'!H$14</f>
        <v>0</v>
      </c>
      <c r="K17" s="621">
        <f t="shared" si="1"/>
        <v>0</v>
      </c>
      <c r="L17" s="553">
        <f>K17/'État des Résultats'!K$14</f>
        <v>0</v>
      </c>
      <c r="N17" s="621">
        <f t="shared" si="2"/>
        <v>0</v>
      </c>
      <c r="O17" s="553">
        <f>N17/'État des Résultats'!N$14</f>
        <v>0</v>
      </c>
      <c r="Q17" s="621">
        <f t="shared" si="3"/>
        <v>0</v>
      </c>
      <c r="R17" s="553">
        <f>Q17/'État des Résultats'!Q$14</f>
        <v>0</v>
      </c>
      <c r="T17" s="621">
        <f t="shared" si="4"/>
        <v>0</v>
      </c>
      <c r="U17" s="553">
        <f>T17/'État des Résultats'!T$14</f>
        <v>0</v>
      </c>
      <c r="W17" s="621">
        <f t="shared" si="5"/>
        <v>0</v>
      </c>
      <c r="X17" s="553">
        <f>W17/'État des Résultats'!W$14</f>
        <v>0</v>
      </c>
      <c r="Z17" s="621">
        <f t="shared" si="6"/>
        <v>0</v>
      </c>
      <c r="AA17" s="553">
        <f>Z17/'État des Résultats'!Z$14</f>
        <v>0</v>
      </c>
      <c r="AC17" s="621">
        <f t="shared" si="7"/>
        <v>0</v>
      </c>
      <c r="AD17" s="553">
        <f>AC17/'État des Résultats'!AC$14</f>
        <v>0</v>
      </c>
      <c r="AF17" s="621">
        <f t="shared" si="8"/>
        <v>0</v>
      </c>
      <c r="AG17" s="553">
        <f>AF17/'État des Résultats'!AF$14</f>
        <v>0</v>
      </c>
      <c r="AI17" s="621">
        <f t="shared" si="9"/>
        <v>0</v>
      </c>
      <c r="AJ17" s="553">
        <f>AI17/'État des Résultats'!AI$14</f>
        <v>0</v>
      </c>
      <c r="AL17" s="621">
        <f t="shared" si="10"/>
        <v>0</v>
      </c>
      <c r="AM17" s="553">
        <f>AL17/'État des Résultats'!AL$14</f>
        <v>0</v>
      </c>
      <c r="AO17" s="621">
        <f t="shared" si="11"/>
        <v>0</v>
      </c>
      <c r="AP17" s="635">
        <f>AO17/'État des Résultats'!AO$14</f>
        <v>0</v>
      </c>
      <c r="AQ17"/>
      <c r="AR17" s="1091">
        <f t="shared" si="12"/>
        <v>0</v>
      </c>
      <c r="AS17" s="1087">
        <f>AR17/'État des Résultats'!AR$14</f>
        <v>0</v>
      </c>
    </row>
    <row r="18" spans="2:71" x14ac:dyDescent="0.15">
      <c r="B18" s="551">
        <v>7535</v>
      </c>
      <c r="C18" s="414" t="s">
        <v>248</v>
      </c>
      <c r="E18" s="621">
        <v>0</v>
      </c>
      <c r="F18" s="553">
        <f>E18/'État des Résultats'!E$14</f>
        <v>0</v>
      </c>
      <c r="H18" s="621">
        <f t="shared" si="0"/>
        <v>0</v>
      </c>
      <c r="I18" s="553">
        <f>H18/'État des Résultats'!H$14</f>
        <v>0</v>
      </c>
      <c r="K18" s="621">
        <f t="shared" si="1"/>
        <v>0</v>
      </c>
      <c r="L18" s="553">
        <f>K18/'État des Résultats'!K$14</f>
        <v>0</v>
      </c>
      <c r="N18" s="621">
        <f t="shared" si="2"/>
        <v>0</v>
      </c>
      <c r="O18" s="553">
        <f>N18/'État des Résultats'!N$14</f>
        <v>0</v>
      </c>
      <c r="Q18" s="621">
        <f t="shared" si="3"/>
        <v>0</v>
      </c>
      <c r="R18" s="553">
        <f>Q18/'État des Résultats'!Q$14</f>
        <v>0</v>
      </c>
      <c r="T18" s="621">
        <f t="shared" si="4"/>
        <v>0</v>
      </c>
      <c r="U18" s="553">
        <f>T18/'État des Résultats'!T$14</f>
        <v>0</v>
      </c>
      <c r="W18" s="621">
        <f t="shared" si="5"/>
        <v>0</v>
      </c>
      <c r="X18" s="553">
        <f>W18/'État des Résultats'!W$14</f>
        <v>0</v>
      </c>
      <c r="Z18" s="621">
        <f t="shared" si="6"/>
        <v>0</v>
      </c>
      <c r="AA18" s="553">
        <f>Z18/'État des Résultats'!Z$14</f>
        <v>0</v>
      </c>
      <c r="AC18" s="621">
        <f t="shared" si="7"/>
        <v>0</v>
      </c>
      <c r="AD18" s="553">
        <f>AC18/'État des Résultats'!AC$14</f>
        <v>0</v>
      </c>
      <c r="AF18" s="621">
        <f t="shared" si="8"/>
        <v>0</v>
      </c>
      <c r="AG18" s="553">
        <f>AF18/'État des Résultats'!AF$14</f>
        <v>0</v>
      </c>
      <c r="AI18" s="621">
        <f t="shared" si="9"/>
        <v>0</v>
      </c>
      <c r="AJ18" s="553">
        <f>AI18/'État des Résultats'!AI$14</f>
        <v>0</v>
      </c>
      <c r="AL18" s="621">
        <f t="shared" si="10"/>
        <v>0</v>
      </c>
      <c r="AM18" s="553">
        <f>AL18/'État des Résultats'!AL$14</f>
        <v>0</v>
      </c>
      <c r="AO18" s="621">
        <f t="shared" si="11"/>
        <v>0</v>
      </c>
      <c r="AP18" s="635">
        <f>AO18/'État des Résultats'!AO$14</f>
        <v>0</v>
      </c>
      <c r="AQ18"/>
      <c r="AR18" s="1091">
        <f t="shared" si="12"/>
        <v>0</v>
      </c>
      <c r="AS18" s="1087">
        <f>AR18/'État des Résultats'!AR$14</f>
        <v>0</v>
      </c>
      <c r="AU18" s="139"/>
    </row>
    <row r="19" spans="2:71" x14ac:dyDescent="0.15">
      <c r="B19" s="551">
        <v>7550</v>
      </c>
      <c r="C19" s="414" t="s">
        <v>249</v>
      </c>
      <c r="E19" s="621">
        <v>0</v>
      </c>
      <c r="F19" s="553">
        <f>E19/'État des Résultats'!E$14</f>
        <v>0</v>
      </c>
      <c r="H19" s="621">
        <f t="shared" si="0"/>
        <v>0</v>
      </c>
      <c r="I19" s="553">
        <f>H19/'État des Résultats'!H$14</f>
        <v>0</v>
      </c>
      <c r="K19" s="621">
        <f t="shared" si="1"/>
        <v>0</v>
      </c>
      <c r="L19" s="553">
        <f>K19/'État des Résultats'!K$14</f>
        <v>0</v>
      </c>
      <c r="N19" s="621">
        <f t="shared" si="2"/>
        <v>0</v>
      </c>
      <c r="O19" s="553">
        <f>N19/'État des Résultats'!N$14</f>
        <v>0</v>
      </c>
      <c r="Q19" s="621">
        <f t="shared" si="3"/>
        <v>0</v>
      </c>
      <c r="R19" s="553">
        <f>Q19/'État des Résultats'!Q$14</f>
        <v>0</v>
      </c>
      <c r="T19" s="621">
        <f t="shared" si="4"/>
        <v>0</v>
      </c>
      <c r="U19" s="553">
        <f>T19/'État des Résultats'!T$14</f>
        <v>0</v>
      </c>
      <c r="W19" s="621">
        <f t="shared" si="5"/>
        <v>0</v>
      </c>
      <c r="X19" s="553">
        <f>W19/'État des Résultats'!W$14</f>
        <v>0</v>
      </c>
      <c r="Z19" s="621">
        <f t="shared" si="6"/>
        <v>0</v>
      </c>
      <c r="AA19" s="553">
        <f>Z19/'État des Résultats'!Z$14</f>
        <v>0</v>
      </c>
      <c r="AC19" s="621">
        <f t="shared" si="7"/>
        <v>0</v>
      </c>
      <c r="AD19" s="553">
        <f>AC19/'État des Résultats'!AC$14</f>
        <v>0</v>
      </c>
      <c r="AF19" s="621">
        <f t="shared" si="8"/>
        <v>0</v>
      </c>
      <c r="AG19" s="553">
        <f>AF19/'État des Résultats'!AF$14</f>
        <v>0</v>
      </c>
      <c r="AI19" s="621">
        <f t="shared" si="9"/>
        <v>0</v>
      </c>
      <c r="AJ19" s="553">
        <f>AI19/'État des Résultats'!AI$14</f>
        <v>0</v>
      </c>
      <c r="AL19" s="621">
        <f t="shared" si="10"/>
        <v>0</v>
      </c>
      <c r="AM19" s="553">
        <f>AL19/'État des Résultats'!AL$14</f>
        <v>0</v>
      </c>
      <c r="AO19" s="621">
        <f t="shared" si="11"/>
        <v>0</v>
      </c>
      <c r="AP19" s="635">
        <f>AO19/'État des Résultats'!AO$14</f>
        <v>0</v>
      </c>
      <c r="AQ19"/>
      <c r="AR19" s="1091">
        <f t="shared" si="12"/>
        <v>0</v>
      </c>
      <c r="AS19" s="1087">
        <f>AR19/'État des Résultats'!AR$14</f>
        <v>0</v>
      </c>
    </row>
    <row r="20" spans="2:71" x14ac:dyDescent="0.15">
      <c r="B20" s="551">
        <v>7555</v>
      </c>
      <c r="C20" s="414" t="s">
        <v>250</v>
      </c>
      <c r="E20" s="621">
        <v>0</v>
      </c>
      <c r="F20" s="553">
        <f>E20/'État des Résultats'!E$14</f>
        <v>0</v>
      </c>
      <c r="H20" s="621">
        <f t="shared" si="0"/>
        <v>0</v>
      </c>
      <c r="I20" s="553">
        <f>H20/'État des Résultats'!H$14</f>
        <v>0</v>
      </c>
      <c r="K20" s="621">
        <f t="shared" si="1"/>
        <v>0</v>
      </c>
      <c r="L20" s="553">
        <f>K20/'État des Résultats'!K$14</f>
        <v>0</v>
      </c>
      <c r="N20" s="621">
        <f t="shared" si="2"/>
        <v>0</v>
      </c>
      <c r="O20" s="553">
        <f>N20/'État des Résultats'!N$14</f>
        <v>0</v>
      </c>
      <c r="Q20" s="621">
        <f t="shared" si="3"/>
        <v>0</v>
      </c>
      <c r="R20" s="553">
        <f>Q20/'État des Résultats'!Q$14</f>
        <v>0</v>
      </c>
      <c r="T20" s="621">
        <f t="shared" si="4"/>
        <v>0</v>
      </c>
      <c r="U20" s="553">
        <f>T20/'État des Résultats'!T$14</f>
        <v>0</v>
      </c>
      <c r="W20" s="621">
        <f t="shared" si="5"/>
        <v>0</v>
      </c>
      <c r="X20" s="553">
        <f>W20/'État des Résultats'!W$14</f>
        <v>0</v>
      </c>
      <c r="Z20" s="621">
        <f t="shared" si="6"/>
        <v>0</v>
      </c>
      <c r="AA20" s="553">
        <f>Z20/'État des Résultats'!Z$14</f>
        <v>0</v>
      </c>
      <c r="AC20" s="621">
        <f t="shared" si="7"/>
        <v>0</v>
      </c>
      <c r="AD20" s="553">
        <f>AC20/'État des Résultats'!AC$14</f>
        <v>0</v>
      </c>
      <c r="AF20" s="621">
        <f t="shared" si="8"/>
        <v>0</v>
      </c>
      <c r="AG20" s="553">
        <f>AF20/'État des Résultats'!AF$14</f>
        <v>0</v>
      </c>
      <c r="AI20" s="621">
        <f t="shared" si="9"/>
        <v>0</v>
      </c>
      <c r="AJ20" s="553">
        <f>AI20/'État des Résultats'!AI$14</f>
        <v>0</v>
      </c>
      <c r="AL20" s="621">
        <f t="shared" si="10"/>
        <v>0</v>
      </c>
      <c r="AM20" s="553">
        <f>AL20/'État des Résultats'!AL$14</f>
        <v>0</v>
      </c>
      <c r="AO20" s="621">
        <f t="shared" si="11"/>
        <v>0</v>
      </c>
      <c r="AP20" s="635">
        <f>AO20/'État des Résultats'!AO$14</f>
        <v>0</v>
      </c>
      <c r="AQ20"/>
      <c r="AR20" s="1091">
        <f t="shared" si="12"/>
        <v>0</v>
      </c>
      <c r="AS20" s="1087">
        <f>AR20/'État des Résultats'!AR$14</f>
        <v>0</v>
      </c>
    </row>
    <row r="21" spans="2:71" x14ac:dyDescent="0.15">
      <c r="B21" s="551">
        <v>7560</v>
      </c>
      <c r="C21" s="414" t="s">
        <v>251</v>
      </c>
      <c r="E21" s="621">
        <v>0</v>
      </c>
      <c r="F21" s="553">
        <f>E21/'État des Résultats'!E$14</f>
        <v>0</v>
      </c>
      <c r="H21" s="621">
        <f t="shared" si="0"/>
        <v>0</v>
      </c>
      <c r="I21" s="553">
        <f>H21/'État des Résultats'!H$14</f>
        <v>0</v>
      </c>
      <c r="K21" s="621">
        <f t="shared" si="1"/>
        <v>0</v>
      </c>
      <c r="L21" s="553">
        <f>K21/'État des Résultats'!K$14</f>
        <v>0</v>
      </c>
      <c r="N21" s="621">
        <f t="shared" si="2"/>
        <v>0</v>
      </c>
      <c r="O21" s="553">
        <f>N21/'État des Résultats'!N$14</f>
        <v>0</v>
      </c>
      <c r="Q21" s="621">
        <f t="shared" si="3"/>
        <v>0</v>
      </c>
      <c r="R21" s="553">
        <f>Q21/'État des Résultats'!Q$14</f>
        <v>0</v>
      </c>
      <c r="T21" s="621">
        <f t="shared" si="4"/>
        <v>0</v>
      </c>
      <c r="U21" s="553">
        <f>T21/'État des Résultats'!T$14</f>
        <v>0</v>
      </c>
      <c r="W21" s="621">
        <f t="shared" si="5"/>
        <v>0</v>
      </c>
      <c r="X21" s="553">
        <f>W21/'État des Résultats'!W$14</f>
        <v>0</v>
      </c>
      <c r="Z21" s="621">
        <f t="shared" si="6"/>
        <v>0</v>
      </c>
      <c r="AA21" s="553">
        <f>Z21/'État des Résultats'!Z$14</f>
        <v>0</v>
      </c>
      <c r="AC21" s="621">
        <f t="shared" si="7"/>
        <v>0</v>
      </c>
      <c r="AD21" s="553">
        <f>AC21/'État des Résultats'!AC$14</f>
        <v>0</v>
      </c>
      <c r="AF21" s="621">
        <f t="shared" si="8"/>
        <v>0</v>
      </c>
      <c r="AG21" s="553">
        <f>AF21/'État des Résultats'!AF$14</f>
        <v>0</v>
      </c>
      <c r="AI21" s="621">
        <f t="shared" si="9"/>
        <v>0</v>
      </c>
      <c r="AJ21" s="553">
        <f>AI21/'État des Résultats'!AI$14</f>
        <v>0</v>
      </c>
      <c r="AL21" s="621">
        <f t="shared" si="10"/>
        <v>0</v>
      </c>
      <c r="AM21" s="553">
        <f>AL21/'État des Résultats'!AL$14</f>
        <v>0</v>
      </c>
      <c r="AO21" s="621">
        <f t="shared" si="11"/>
        <v>0</v>
      </c>
      <c r="AP21" s="635">
        <f>AO21/'État des Résultats'!AO$14</f>
        <v>0</v>
      </c>
      <c r="AQ21"/>
      <c r="AR21" s="1091">
        <f t="shared" si="12"/>
        <v>0</v>
      </c>
      <c r="AS21" s="1087">
        <f>AR21/'État des Résultats'!AR$14</f>
        <v>0</v>
      </c>
    </row>
    <row r="22" spans="2:71" x14ac:dyDescent="0.15">
      <c r="B22" s="551">
        <v>7599</v>
      </c>
      <c r="C22" s="414" t="s">
        <v>252</v>
      </c>
      <c r="E22" s="621">
        <v>0</v>
      </c>
      <c r="F22" s="553">
        <f>E22/'État des Résultats'!E$14</f>
        <v>0</v>
      </c>
      <c r="H22" s="621">
        <f t="shared" si="0"/>
        <v>0</v>
      </c>
      <c r="I22" s="553">
        <f>H22/'État des Résultats'!H$14</f>
        <v>0</v>
      </c>
      <c r="K22" s="621">
        <f t="shared" si="1"/>
        <v>0</v>
      </c>
      <c r="L22" s="553">
        <f>K22/'État des Résultats'!K$14</f>
        <v>0</v>
      </c>
      <c r="N22" s="621">
        <f t="shared" si="2"/>
        <v>0</v>
      </c>
      <c r="O22" s="553">
        <f>N22/'État des Résultats'!N$14</f>
        <v>0</v>
      </c>
      <c r="Q22" s="621">
        <f t="shared" si="3"/>
        <v>0</v>
      </c>
      <c r="R22" s="553">
        <f>Q22/'État des Résultats'!Q$14</f>
        <v>0</v>
      </c>
      <c r="T22" s="621">
        <f t="shared" si="4"/>
        <v>0</v>
      </c>
      <c r="U22" s="553">
        <f>T22/'État des Résultats'!T$14</f>
        <v>0</v>
      </c>
      <c r="W22" s="621">
        <f t="shared" si="5"/>
        <v>0</v>
      </c>
      <c r="X22" s="553">
        <f>W22/'État des Résultats'!W$14</f>
        <v>0</v>
      </c>
      <c r="Z22" s="621">
        <f t="shared" si="6"/>
        <v>0</v>
      </c>
      <c r="AA22" s="553">
        <f>Z22/'État des Résultats'!Z$14</f>
        <v>0</v>
      </c>
      <c r="AC22" s="621">
        <f t="shared" si="7"/>
        <v>0</v>
      </c>
      <c r="AD22" s="553">
        <f>AC22/'État des Résultats'!AC$14</f>
        <v>0</v>
      </c>
      <c r="AF22" s="621">
        <f t="shared" si="8"/>
        <v>0</v>
      </c>
      <c r="AG22" s="553">
        <f>AF22/'État des Résultats'!AF$14</f>
        <v>0</v>
      </c>
      <c r="AI22" s="621">
        <f t="shared" si="9"/>
        <v>0</v>
      </c>
      <c r="AJ22" s="553">
        <f>AI22/'État des Résultats'!AI$14</f>
        <v>0</v>
      </c>
      <c r="AL22" s="621">
        <f t="shared" si="10"/>
        <v>0</v>
      </c>
      <c r="AM22" s="553">
        <f>AL22/'État des Résultats'!AL$14</f>
        <v>0</v>
      </c>
      <c r="AO22" s="621">
        <f t="shared" si="11"/>
        <v>0</v>
      </c>
      <c r="AP22" s="635">
        <f>AO22/'État des Résultats'!AO$14</f>
        <v>0</v>
      </c>
      <c r="AQ22"/>
      <c r="AR22" s="1091">
        <f t="shared" si="12"/>
        <v>0</v>
      </c>
      <c r="AS22" s="1087">
        <f>AR22/'État des Résultats'!AR$14</f>
        <v>0</v>
      </c>
    </row>
    <row r="23" spans="2:71" ht="14" thickBot="1" x14ac:dyDescent="0.2">
      <c r="B23" s="551"/>
      <c r="C23" s="414"/>
      <c r="E23" s="621"/>
      <c r="F23" s="623"/>
      <c r="H23" s="621"/>
      <c r="I23" s="623"/>
      <c r="K23" s="621"/>
      <c r="L23" s="623"/>
      <c r="N23" s="621"/>
      <c r="O23" s="623"/>
      <c r="Q23" s="621"/>
      <c r="R23" s="623"/>
      <c r="T23" s="621"/>
      <c r="U23" s="623"/>
      <c r="W23" s="621"/>
      <c r="X23" s="623"/>
      <c r="Z23" s="621"/>
      <c r="AA23" s="623"/>
      <c r="AC23" s="621"/>
      <c r="AD23" s="623"/>
      <c r="AF23" s="621"/>
      <c r="AG23" s="623"/>
      <c r="AI23" s="621"/>
      <c r="AJ23" s="623"/>
      <c r="AL23" s="621"/>
      <c r="AM23" s="623"/>
      <c r="AO23" s="636"/>
      <c r="AP23" s="637"/>
      <c r="AQ23"/>
      <c r="AR23" s="1091"/>
      <c r="AS23" s="1092"/>
    </row>
    <row r="24" spans="2:71" ht="15" thickTop="1" thickBot="1" x14ac:dyDescent="0.2">
      <c r="B24" s="560">
        <v>7500</v>
      </c>
      <c r="C24" s="561" t="s">
        <v>253</v>
      </c>
      <c r="D24" s="381"/>
      <c r="E24" s="624">
        <f>SUM(E13:E23)</f>
        <v>100</v>
      </c>
      <c r="F24" s="563">
        <f>SUM(F13:F23)</f>
        <v>3.6426953031086762E-3</v>
      </c>
      <c r="G24" s="381"/>
      <c r="H24" s="624">
        <f>SUM(H13:H23)</f>
        <v>100</v>
      </c>
      <c r="I24" s="563">
        <f>SUM(I13:I23)</f>
        <v>3.6426953031086762E-3</v>
      </c>
      <c r="J24" s="381"/>
      <c r="K24" s="624">
        <f>SUM(K13:K23)</f>
        <v>100</v>
      </c>
      <c r="L24" s="563">
        <f>SUM(L13:L23)</f>
        <v>2.5323123050119524E-3</v>
      </c>
      <c r="M24" s="381"/>
      <c r="N24" s="624">
        <f>SUM(N13:N23)</f>
        <v>100</v>
      </c>
      <c r="O24" s="563">
        <f>SUM(O13:O23)</f>
        <v>1.8635312752959812E-3</v>
      </c>
      <c r="P24" s="381"/>
      <c r="Q24" s="624">
        <f>SUM(Q13:Q23)</f>
        <v>100</v>
      </c>
      <c r="R24" s="563">
        <f>SUM(R13:R23)</f>
        <v>1.5106282136254888E-3</v>
      </c>
      <c r="S24" s="381"/>
      <c r="T24" s="624">
        <f>SUM(T13:T23)</f>
        <v>100</v>
      </c>
      <c r="U24" s="563">
        <f>SUM(U13:U23)</f>
        <v>1.2701043628878677E-3</v>
      </c>
      <c r="V24" s="381"/>
      <c r="W24" s="624">
        <f>SUM(W13:W23)</f>
        <v>100</v>
      </c>
      <c r="X24" s="563">
        <f>SUM(X13:X23)</f>
        <v>1.0556150248008831E-3</v>
      </c>
      <c r="Y24" s="381"/>
      <c r="Z24" s="624">
        <f>SUM(Z13:Z23)</f>
        <v>100</v>
      </c>
      <c r="AA24" s="563">
        <f>SUM(AA13:AA23)</f>
        <v>9.264833171623389E-4</v>
      </c>
      <c r="AB24" s="381"/>
      <c r="AC24" s="624">
        <f>SUM(AC13:AC23)</f>
        <v>100</v>
      </c>
      <c r="AD24" s="563">
        <f>SUM(AD13:AD23)</f>
        <v>9.264833171623389E-4</v>
      </c>
      <c r="AE24" s="381"/>
      <c r="AF24" s="624">
        <f>SUM(AF13:AF23)</f>
        <v>100</v>
      </c>
      <c r="AG24" s="563">
        <f>SUM(AG13:AG23)</f>
        <v>8.9234533898470512E-4</v>
      </c>
      <c r="AH24" s="381"/>
      <c r="AI24" s="624">
        <f>SUM(AI13:AI23)</f>
        <v>100</v>
      </c>
      <c r="AJ24" s="563">
        <f>SUM(AJ13:AJ23)</f>
        <v>8.9234533898470512E-4</v>
      </c>
      <c r="AK24" s="381"/>
      <c r="AL24" s="624">
        <f>SUM(AL13:AL23)</f>
        <v>100</v>
      </c>
      <c r="AM24" s="563">
        <f>SUM(AM13:AM23)</f>
        <v>1.0149105584697584E-3</v>
      </c>
      <c r="AN24" s="381"/>
      <c r="AO24" s="624">
        <f>SUM(AO13:AO23)</f>
        <v>100</v>
      </c>
      <c r="AP24" s="563">
        <f>SUM(AP13:AP23)</f>
        <v>9.7884328131760145E-4</v>
      </c>
      <c r="AQ24"/>
      <c r="AR24" s="624">
        <f>SUM(AR13:AR23)</f>
        <v>1300</v>
      </c>
      <c r="AS24" s="563">
        <f>SUM(AS13:AS23)</f>
        <v>1.2640883190115125E-3</v>
      </c>
      <c r="AT24" s="381"/>
      <c r="AU24" s="381"/>
      <c r="AV24" s="381"/>
      <c r="AW24" s="545"/>
    </row>
    <row r="25" spans="2:71" ht="14" thickTop="1" x14ac:dyDescent="0.15">
      <c r="L25" s="279"/>
      <c r="O25" s="279"/>
      <c r="R25" s="279"/>
      <c r="U25" s="279"/>
      <c r="X25" s="279"/>
      <c r="AA25" s="279"/>
      <c r="AD25" s="279"/>
      <c r="AG25" s="279"/>
      <c r="AJ25" s="279"/>
      <c r="AM25" s="279"/>
      <c r="AP25" s="279"/>
      <c r="AQ25" s="279"/>
      <c r="AR25" s="279"/>
      <c r="AS25" s="279"/>
    </row>
    <row r="26" spans="2:71" x14ac:dyDescent="0.15">
      <c r="R26" s="279"/>
      <c r="U26" s="279"/>
      <c r="X26" s="279"/>
      <c r="AD26" s="279"/>
      <c r="AG26" s="279"/>
      <c r="AJ26" s="279"/>
      <c r="AM26" s="279"/>
    </row>
    <row r="27" spans="2:71" x14ac:dyDescent="0.15">
      <c r="U27" s="279"/>
      <c r="AG27" s="279"/>
      <c r="AJ27" s="279"/>
      <c r="AM27" s="279"/>
    </row>
    <row r="28" spans="2:71" x14ac:dyDescent="0.15">
      <c r="C28" s="138" t="s">
        <v>1</v>
      </c>
      <c r="E28" s="138" t="s">
        <v>1</v>
      </c>
      <c r="G28" s="138" t="s">
        <v>1</v>
      </c>
      <c r="H28" s="138" t="s">
        <v>1</v>
      </c>
      <c r="U28" s="279"/>
      <c r="AG28" s="279"/>
      <c r="AJ28" s="279"/>
      <c r="AM28" s="279"/>
    </row>
    <row r="29" spans="2:71" x14ac:dyDescent="0.15">
      <c r="H29" s="138" t="s">
        <v>1</v>
      </c>
      <c r="AG29" s="279"/>
      <c r="AJ29" s="279"/>
      <c r="AM29" s="279"/>
    </row>
    <row r="30" spans="2:71" x14ac:dyDescent="0.15">
      <c r="H30" s="138" t="s">
        <v>1</v>
      </c>
      <c r="AM30" s="279"/>
    </row>
    <row r="31" spans="2:71" x14ac:dyDescent="0.15">
      <c r="H31" s="138" t="s">
        <v>1</v>
      </c>
      <c r="BD31" s="336"/>
      <c r="BE31" s="336"/>
      <c r="BF31" s="336"/>
      <c r="BG31" s="336"/>
      <c r="BH31" s="336"/>
      <c r="BI31" s="336"/>
      <c r="BJ31" s="336"/>
      <c r="BK31" s="336"/>
      <c r="BL31" s="336"/>
      <c r="BM31" s="336"/>
      <c r="BN31" s="336"/>
      <c r="BO31" s="336"/>
      <c r="BP31" s="336"/>
      <c r="BQ31" s="336"/>
      <c r="BR31" s="336"/>
      <c r="BS31" s="336"/>
    </row>
    <row r="32" spans="2:71" x14ac:dyDescent="0.15">
      <c r="H32" s="138" t="s">
        <v>1</v>
      </c>
    </row>
    <row r="33" spans="8:8" x14ac:dyDescent="0.15">
      <c r="H33" s="138" t="s">
        <v>1</v>
      </c>
    </row>
    <row r="43" spans="8:8" x14ac:dyDescent="0.15">
      <c r="H43" s="625"/>
    </row>
  </sheetData>
  <sheetProtection algorithmName="SHA-512" hashValue="6WQN4cpz5wGv9XM0xZUL1nQtPwoSYP1QpGEL6cyzm/UBU7GDPNZdnofc9PFesmexYGXx9ODnUrbiI+5Okoszzg==" saltValue="3cbG819W5x/S9cVDFwHcDg==" spinCount="100000" sheet="1" objects="1" scenarios="1"/>
  <mergeCells count="9">
    <mergeCell ref="B9:C9"/>
    <mergeCell ref="B2:C2"/>
    <mergeCell ref="AU2:AU8"/>
    <mergeCell ref="BE2:BE8"/>
    <mergeCell ref="B3:C3"/>
    <mergeCell ref="B4:C4"/>
    <mergeCell ref="B6:C6"/>
    <mergeCell ref="B7:C7"/>
    <mergeCell ref="B8:C8"/>
  </mergeCells>
  <hyperlinks>
    <hyperlink ref="C11" r:id="rId1" display="Musique &amp; Divertissement" xr:uid="{E98B1AEC-936F-984D-9663-76076D653FCA}"/>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FB80B-A912-0F44-A45A-0822D0A91E00}">
  <sheetPr codeName="Feuil11">
    <tabColor theme="1"/>
    <pageSetUpPr fitToPage="1"/>
  </sheetPr>
  <dimension ref="B1:BQ44"/>
  <sheetViews>
    <sheetView zoomScale="115" zoomScaleNormal="125" zoomScalePageLayoutView="125" workbookViewId="0">
      <selection activeCell="AO23" sqref="AO23"/>
    </sheetView>
  </sheetViews>
  <sheetFormatPr baseColWidth="10" defaultRowHeight="13" x14ac:dyDescent="0.15"/>
  <cols>
    <col min="1" max="1" width="2.1640625" customWidth="1"/>
    <col min="2" max="2" width="5.1640625" customWidth="1"/>
    <col min="3" max="3" width="50.5" customWidth="1"/>
    <col min="4" max="4" width="0.83203125" customWidth="1"/>
    <col min="5" max="5" width="14.33203125" customWidth="1"/>
    <col min="6" max="6" width="7.83203125" customWidth="1"/>
    <col min="7" max="7" width="0.83203125" customWidth="1"/>
    <col min="8" max="8" width="14.33203125" customWidth="1"/>
    <col min="9" max="9" width="7.83203125" customWidth="1"/>
    <col min="10" max="10" width="0.83203125" customWidth="1"/>
    <col min="11" max="11" width="14.33203125" customWidth="1"/>
    <col min="12" max="12" width="7.83203125" customWidth="1"/>
    <col min="13" max="13" width="0.83203125" customWidth="1"/>
    <col min="14" max="14" width="14.33203125" customWidth="1"/>
    <col min="15" max="15" width="7.83203125" customWidth="1"/>
    <col min="16" max="16" width="0.83203125" customWidth="1"/>
    <col min="17" max="17" width="14.33203125" customWidth="1"/>
    <col min="18" max="18" width="7.83203125" customWidth="1"/>
    <col min="19" max="19" width="0.83203125" customWidth="1"/>
    <col min="20" max="20" width="14.33203125" customWidth="1"/>
    <col min="21" max="21" width="7.83203125" customWidth="1"/>
    <col min="22" max="22" width="0.83203125" customWidth="1"/>
    <col min="23" max="23" width="14.33203125" customWidth="1"/>
    <col min="24" max="24" width="7.83203125" customWidth="1"/>
    <col min="25" max="25" width="0.83203125" customWidth="1"/>
    <col min="26" max="26" width="14.33203125" customWidth="1"/>
    <col min="27" max="27" width="7.83203125" customWidth="1"/>
    <col min="28" max="28" width="0.83203125" customWidth="1"/>
    <col min="29" max="29" width="14.33203125" customWidth="1"/>
    <col min="30" max="30" width="7.83203125" customWidth="1"/>
    <col min="31" max="31" width="0.83203125" customWidth="1"/>
    <col min="32" max="32" width="14.33203125" customWidth="1"/>
    <col min="33" max="33" width="7.83203125" customWidth="1"/>
    <col min="34" max="34" width="0.83203125" customWidth="1"/>
    <col min="35" max="35" width="14.33203125" customWidth="1"/>
    <col min="36" max="36" width="7.83203125" customWidth="1"/>
    <col min="37" max="37" width="0.83203125" customWidth="1"/>
    <col min="38" max="38" width="14.33203125" customWidth="1"/>
    <col min="39" max="39" width="7.83203125" customWidth="1"/>
    <col min="40" max="40" width="0.83203125" customWidth="1"/>
    <col min="41" max="41" width="14.5" bestFit="1" customWidth="1"/>
    <col min="42" max="42" width="8.33203125" bestFit="1" customWidth="1"/>
    <col min="43" max="43" width="1" customWidth="1"/>
    <col min="44" max="44" width="14.5" bestFit="1" customWidth="1"/>
    <col min="45" max="45" width="8.33203125" bestFit="1" customWidth="1"/>
    <col min="46" max="46" width="2.5" customWidth="1"/>
  </cols>
  <sheetData>
    <row r="1" spans="2:57" ht="14" thickBot="1" x14ac:dyDescent="0.2"/>
    <row r="2" spans="2:57" ht="17" thickTop="1" x14ac:dyDescent="0.2">
      <c r="B2" s="1562" t="str">
        <f>'État des Résultats'!C2</f>
        <v>Votre entreprise inc.</v>
      </c>
      <c r="C2" s="1563"/>
      <c r="AU2" s="1527" t="s">
        <v>45</v>
      </c>
      <c r="AV2" s="526"/>
      <c r="AW2" s="526"/>
      <c r="AX2" s="526"/>
      <c r="AY2" s="526"/>
      <c r="AZ2" s="526"/>
      <c r="BA2" s="526"/>
      <c r="BB2" s="526"/>
      <c r="BC2" s="526"/>
      <c r="BD2" s="526"/>
      <c r="BE2" s="1530" t="s">
        <v>46</v>
      </c>
    </row>
    <row r="3" spans="2:57" ht="16" x14ac:dyDescent="0.2">
      <c r="B3" s="1564" t="str">
        <f>'État des Résultats'!C3</f>
        <v xml:space="preserve">États des résultats </v>
      </c>
      <c r="C3" s="1565"/>
      <c r="AU3" s="1528"/>
      <c r="AV3" s="527"/>
      <c r="AW3" s="527"/>
      <c r="AX3" s="527"/>
      <c r="AY3" s="527"/>
      <c r="AZ3" s="527"/>
      <c r="BA3" s="527"/>
      <c r="BB3" s="527"/>
      <c r="BC3" s="527"/>
      <c r="BD3" s="527"/>
      <c r="BE3" s="1531"/>
    </row>
    <row r="4" spans="2:57" ht="22" thickBot="1" x14ac:dyDescent="0.3">
      <c r="B4" s="1566" t="s">
        <v>188</v>
      </c>
      <c r="C4" s="1567"/>
      <c r="AU4" s="1528"/>
      <c r="AV4" s="528" t="str">
        <f>'[1]Formule pour le calcul D'!BA103</f>
        <v>Coût annuel</v>
      </c>
      <c r="AW4" s="528" t="s">
        <v>48</v>
      </c>
      <c r="AX4" s="528" t="str">
        <f>'[1]Formule pour le calcul D'!BC103</f>
        <v>Achalandage annuelle</v>
      </c>
      <c r="AY4" s="528" t="s">
        <v>50</v>
      </c>
      <c r="AZ4" s="528" t="s">
        <v>51</v>
      </c>
      <c r="BA4" s="528" t="str">
        <f>'[1]Formule pour le calcul D'!BF103</f>
        <v>Um/A</v>
      </c>
      <c r="BB4" s="528" t="s">
        <v>50</v>
      </c>
      <c r="BC4" s="528" t="str">
        <f>'[1]Formule pour le calcul D'!BH103</f>
        <v>CmO</v>
      </c>
      <c r="BD4" s="528" t="s">
        <v>54</v>
      </c>
      <c r="BE4" s="1531"/>
    </row>
    <row r="5" spans="2:57" ht="21" thickTop="1" thickBot="1" x14ac:dyDescent="0.3">
      <c r="AU5" s="1528"/>
      <c r="AV5" s="529" t="s">
        <v>1</v>
      </c>
      <c r="AW5" s="184"/>
      <c r="AX5" s="529"/>
      <c r="AY5" s="184"/>
      <c r="AZ5" s="184"/>
      <c r="BA5" s="184"/>
      <c r="BB5" s="184"/>
      <c r="BC5" s="184"/>
      <c r="BD5" s="184"/>
      <c r="BE5" s="1531"/>
    </row>
    <row r="6" spans="2:57" ht="27" thickTop="1" x14ac:dyDescent="0.3">
      <c r="B6" s="1568" t="str">
        <f>'État des Résultats'!C6</f>
        <v>Nb de places</v>
      </c>
      <c r="C6" s="1569"/>
      <c r="E6" s="437" t="s">
        <v>174</v>
      </c>
      <c r="F6" s="438">
        <f>+E25/$C$7/'Achalandage journalier'!D8</f>
        <v>1.6340595238095239</v>
      </c>
      <c r="G6" s="439"/>
      <c r="H6" s="437" t="str">
        <f>+E6</f>
        <v>Coût / place / jour</v>
      </c>
      <c r="I6" s="438">
        <f>+H25/$C$7/'Achalandage journalier'!E8</f>
        <v>1.6340595238095239</v>
      </c>
      <c r="J6" s="439"/>
      <c r="K6" s="437" t="str">
        <f>+H6</f>
        <v>Coût / place / jour</v>
      </c>
      <c r="L6" s="438">
        <f>+K25/$C$7/'Achalandage journalier'!F8</f>
        <v>2.3505714285714285</v>
      </c>
      <c r="M6" s="439"/>
      <c r="N6" s="437" t="str">
        <f>+K6</f>
        <v>Coût / place / jour</v>
      </c>
      <c r="O6" s="438">
        <f>+N25/$C$7/'Achalandage journalier'!G8</f>
        <v>3.1941406249999997</v>
      </c>
      <c r="P6" s="440"/>
      <c r="Q6" s="437" t="str">
        <f>+N6</f>
        <v>Coût / place / jour</v>
      </c>
      <c r="R6" s="438">
        <f>+Q25/$C$7/'Achalandage journalier'!H8</f>
        <v>3.9403348214285718</v>
      </c>
      <c r="S6" s="440"/>
      <c r="T6" s="437" t="str">
        <f>+Q6</f>
        <v>Coût / place / jour</v>
      </c>
      <c r="U6" s="438">
        <f>+T25/$C$7/'Achalandage journalier'!I8</f>
        <v>4.6865290178571444</v>
      </c>
      <c r="V6" s="439"/>
      <c r="W6" s="437" t="str">
        <f>+T6</f>
        <v>Coût / place / jour</v>
      </c>
      <c r="X6" s="438">
        <f>+W25/$C$7/'Achalandage journalier'!J8</f>
        <v>5.6387800595238105</v>
      </c>
      <c r="Y6" s="439"/>
      <c r="Z6" s="437" t="str">
        <f>+W6</f>
        <v>Coût / place / jour</v>
      </c>
      <c r="AA6" s="438">
        <f>+Z25/$C$7/'Achalandage journalier'!K8</f>
        <v>6.4247038690476206</v>
      </c>
      <c r="AB6" s="439"/>
      <c r="AC6" s="437" t="str">
        <f>+Z6</f>
        <v>Coût / place / jour</v>
      </c>
      <c r="AD6" s="438">
        <f>+AC25/$C$7/'Achalandage journalier'!L8</f>
        <v>6.4247038690476206</v>
      </c>
      <c r="AE6" s="439"/>
      <c r="AF6" s="437" t="str">
        <f>+AC6</f>
        <v>Coût / place / jour</v>
      </c>
      <c r="AG6" s="438">
        <f>+AF25/$C$7/'Achalandage journalier'!M8</f>
        <v>6.6704903273809535</v>
      </c>
      <c r="AH6" s="439"/>
      <c r="AI6" s="437" t="str">
        <f>+AF6</f>
        <v>Coût / place / jour</v>
      </c>
      <c r="AJ6" s="438">
        <f>+AI25/$C$7/'Achalandage journalier'!N8</f>
        <v>6.6704903273809535</v>
      </c>
      <c r="AK6" s="439"/>
      <c r="AL6" s="437" t="str">
        <f>+AI6</f>
        <v>Coût / place / jour</v>
      </c>
      <c r="AM6" s="438">
        <f>+AL25/$C$7/'Achalandage journalier'!O8</f>
        <v>5.8649315476190464</v>
      </c>
      <c r="AN6" s="439"/>
      <c r="AO6" s="441" t="str">
        <f>+AL6</f>
        <v>Coût / place / jour</v>
      </c>
      <c r="AP6" s="442">
        <f>+AO25/$C$7/'Achalandage journalier'!P8</f>
        <v>6.0810357142857132</v>
      </c>
      <c r="AR6" s="1095" t="str">
        <f>AO6</f>
        <v>Coût / place / jour</v>
      </c>
      <c r="AS6" s="1096">
        <f>+AR25/$C$7/'Achalandage journalier'!Q8</f>
        <v>4.7088331272893775</v>
      </c>
      <c r="AU6" s="1528"/>
      <c r="AV6" s="533" t="str">
        <f>'[1]Formule pour le calcul D'!BA105</f>
        <v xml:space="preserve">C </v>
      </c>
      <c r="AW6" s="534"/>
      <c r="AX6" s="533" t="str">
        <f>'[1]Formule pour le calcul D'!BC105</f>
        <v>A</v>
      </c>
      <c r="AY6" s="534"/>
      <c r="AZ6" s="534"/>
      <c r="BA6" s="533" t="str">
        <f>BA4</f>
        <v>Um/A</v>
      </c>
      <c r="BB6" s="534"/>
      <c r="BC6" s="533" t="str">
        <f>BC4</f>
        <v>CmO</v>
      </c>
      <c r="BD6" s="534"/>
      <c r="BE6" s="1531"/>
    </row>
    <row r="7" spans="2:57" ht="21" x14ac:dyDescent="0.25">
      <c r="B7" s="443"/>
      <c r="C7" s="485">
        <f>'Achalandage journalier'!D7</f>
        <v>30</v>
      </c>
      <c r="E7" s="444">
        <f>+E25/$AR25</f>
        <v>2.6693850270129112E-2</v>
      </c>
      <c r="F7" s="445"/>
      <c r="H7" s="444">
        <f>+H25/$AR25</f>
        <v>2.6693850270129112E-2</v>
      </c>
      <c r="I7" s="445"/>
      <c r="K7" s="444">
        <f>+K25/$AR25</f>
        <v>3.8398724678797708E-2</v>
      </c>
      <c r="L7" s="446"/>
      <c r="N7" s="444">
        <f>+N25/$AR25</f>
        <v>5.217919564319709E-2</v>
      </c>
      <c r="O7" s="446"/>
      <c r="P7" s="447"/>
      <c r="Q7" s="444">
        <f>+Q25/$AR25</f>
        <v>6.4368957314464986E-2</v>
      </c>
      <c r="R7" s="446"/>
      <c r="S7" s="447"/>
      <c r="T7" s="444">
        <f>+T25/$AR25</f>
        <v>7.6558718985732882E-2</v>
      </c>
      <c r="U7" s="446"/>
      <c r="W7" s="444">
        <f>+W25/$AR25</f>
        <v>9.2114606856062084E-2</v>
      </c>
      <c r="X7" s="446"/>
      <c r="Z7" s="444">
        <f>+Z25/$AR25</f>
        <v>0.10495338793439661</v>
      </c>
      <c r="AA7" s="446"/>
      <c r="AC7" s="444">
        <f>+AC25/$AR25</f>
        <v>0.10495338793439661</v>
      </c>
      <c r="AD7" s="446"/>
      <c r="AF7" s="444">
        <f>+AF25/$AR25</f>
        <v>0.10896853354052455</v>
      </c>
      <c r="AG7" s="446"/>
      <c r="AI7" s="444">
        <f>+AI25/$AR25</f>
        <v>0.10896853354052455</v>
      </c>
      <c r="AJ7" s="446"/>
      <c r="AL7" s="444">
        <f>+AL25/$AR25</f>
        <v>9.5808997344058053E-2</v>
      </c>
      <c r="AM7" s="446"/>
      <c r="AO7" s="448">
        <f>+AO25/$AR25</f>
        <v>9.9339255687586711E-2</v>
      </c>
      <c r="AP7" s="449" t="s">
        <v>151</v>
      </c>
      <c r="AR7" s="1097">
        <f>+E7+H7+K7+N7+Q7+T7+W7+Z7+AC7+AF7+AI7+AL7+AO7</f>
        <v>1</v>
      </c>
      <c r="AS7" s="1098" t="str">
        <f>AP7</f>
        <v>364 jours</v>
      </c>
      <c r="AU7" s="1528"/>
      <c r="AV7" s="646">
        <f>AR25</f>
        <v>51420.457750000001</v>
      </c>
      <c r="AW7" s="528" t="s">
        <v>48</v>
      </c>
      <c r="AX7" s="647">
        <f>'Formule pour le calcul D'!G114</f>
        <v>54651</v>
      </c>
      <c r="AY7" s="528" t="s">
        <v>50</v>
      </c>
      <c r="AZ7" s="528" t="s">
        <v>51</v>
      </c>
      <c r="BA7" s="648">
        <f>'Formule pour le calcul D'!J114</f>
        <v>2.2692307692307692</v>
      </c>
      <c r="BB7" s="528" t="s">
        <v>50</v>
      </c>
      <c r="BC7" s="649">
        <f>AV7/AX7/BA7</f>
        <v>0.41462851068211265</v>
      </c>
      <c r="BD7" s="528" t="s">
        <v>54</v>
      </c>
      <c r="BE7" s="1531"/>
    </row>
    <row r="8" spans="2:57" ht="17" thickBot="1" x14ac:dyDescent="0.25">
      <c r="B8" s="443"/>
      <c r="C8" s="450" t="s">
        <v>175</v>
      </c>
      <c r="E8" s="451" t="str">
        <f>'Achalandage journalier'!D5</f>
        <v>Pér.01</v>
      </c>
      <c r="F8" s="450" t="str">
        <f>'État des Résultats'!F8</f>
        <v>(%)</v>
      </c>
      <c r="G8" s="452"/>
      <c r="H8" s="451" t="str">
        <f>'Achalandage journalier'!E5</f>
        <v>Pér.02</v>
      </c>
      <c r="I8" s="450" t="str">
        <f>F8</f>
        <v>(%)</v>
      </c>
      <c r="J8" s="452"/>
      <c r="K8" s="451" t="str">
        <f>'Achalandage journalier'!F5</f>
        <v>Pér.03</v>
      </c>
      <c r="L8" s="450" t="str">
        <f>I8</f>
        <v>(%)</v>
      </c>
      <c r="M8" s="452"/>
      <c r="N8" s="451" t="str">
        <f>'Achalandage journalier'!G5</f>
        <v>Pér.04</v>
      </c>
      <c r="O8" s="450" t="str">
        <f>L8</f>
        <v>(%)</v>
      </c>
      <c r="P8" s="453"/>
      <c r="Q8" s="451" t="str">
        <f>'Achalandage journalier'!H5</f>
        <v>Pér.05</v>
      </c>
      <c r="R8" s="450" t="str">
        <f>O8</f>
        <v>(%)</v>
      </c>
      <c r="S8" s="453"/>
      <c r="T8" s="451" t="str">
        <f>'Achalandage journalier'!I5</f>
        <v>Pér.06</v>
      </c>
      <c r="U8" s="450" t="str">
        <f>R8</f>
        <v>(%)</v>
      </c>
      <c r="V8" s="452"/>
      <c r="W8" s="451" t="str">
        <f>'Achalandage journalier'!J5</f>
        <v>Pér.07</v>
      </c>
      <c r="X8" s="450" t="str">
        <f>U8</f>
        <v>(%)</v>
      </c>
      <c r="Y8" s="452"/>
      <c r="Z8" s="451" t="str">
        <f>'Achalandage journalier'!K5</f>
        <v>Pér.08</v>
      </c>
      <c r="AA8" s="450" t="str">
        <f>X8</f>
        <v>(%)</v>
      </c>
      <c r="AB8" s="452"/>
      <c r="AC8" s="451" t="str">
        <f>'Achalandage journalier'!L5</f>
        <v>Pér.09</v>
      </c>
      <c r="AD8" s="450" t="str">
        <f>AA8</f>
        <v>(%)</v>
      </c>
      <c r="AE8" s="452"/>
      <c r="AF8" s="451" t="str">
        <f>'Achalandage journalier'!M5</f>
        <v>Pér.10</v>
      </c>
      <c r="AG8" s="450" t="str">
        <f>AD8</f>
        <v>(%)</v>
      </c>
      <c r="AH8" s="452"/>
      <c r="AI8" s="451" t="str">
        <f>'Achalandage journalier'!N5</f>
        <v>Pér.11</v>
      </c>
      <c r="AJ8" s="450" t="str">
        <f>AG8</f>
        <v>(%)</v>
      </c>
      <c r="AK8" s="452"/>
      <c r="AL8" s="451" t="str">
        <f>'Achalandage journalier'!O5</f>
        <v>Pér.12</v>
      </c>
      <c r="AM8" s="450" t="str">
        <f>AJ8</f>
        <v>(%)</v>
      </c>
      <c r="AN8" s="454" t="s">
        <v>1</v>
      </c>
      <c r="AO8" s="455" t="str">
        <f>'Achalandage journalier'!P5</f>
        <v>Pér.13</v>
      </c>
      <c r="AP8" s="450" t="str">
        <f>AM8</f>
        <v>(%)</v>
      </c>
      <c r="AR8" s="1099" t="str">
        <f>'Achalandage journalier'!Q5</f>
        <v>Année</v>
      </c>
      <c r="AS8" s="1100" t="str">
        <f>AP8</f>
        <v>(%)</v>
      </c>
      <c r="AU8" s="1529"/>
      <c r="AV8" s="544"/>
      <c r="AW8" s="544"/>
      <c r="AX8" s="544"/>
      <c r="AY8" s="544"/>
      <c r="AZ8" s="544"/>
      <c r="BA8" s="544"/>
      <c r="BB8" s="544"/>
      <c r="BC8" s="544"/>
      <c r="BD8" s="544"/>
      <c r="BE8" s="1532"/>
    </row>
    <row r="9" spans="2:57" ht="15" thickTop="1" thickBot="1" x14ac:dyDescent="0.2">
      <c r="B9" s="456"/>
      <c r="C9" s="457">
        <f>AO25/$C$7</f>
        <v>170.26899999999998</v>
      </c>
      <c r="E9" s="584">
        <f>'Achalandage journalier'!D6</f>
        <v>44928</v>
      </c>
      <c r="F9" s="585"/>
      <c r="G9" s="586"/>
      <c r="H9" s="587">
        <f>'Achalandage journalier'!E6</f>
        <v>44956</v>
      </c>
      <c r="I9" s="588"/>
      <c r="J9" s="586"/>
      <c r="K9" s="587">
        <f>'Achalandage journalier'!F6</f>
        <v>44984</v>
      </c>
      <c r="L9" s="588"/>
      <c r="M9" s="586"/>
      <c r="N9" s="584">
        <f>'Achalandage journalier'!G6</f>
        <v>45012</v>
      </c>
      <c r="O9" s="585"/>
      <c r="P9" s="589"/>
      <c r="Q9" s="584">
        <f>'Achalandage journalier'!H6</f>
        <v>45040</v>
      </c>
      <c r="R9" s="585"/>
      <c r="S9" s="589"/>
      <c r="T9" s="587">
        <f>'Achalandage journalier'!I6</f>
        <v>45068</v>
      </c>
      <c r="U9" s="588"/>
      <c r="V9" s="586"/>
      <c r="W9" s="587">
        <f>'Achalandage journalier'!J6</f>
        <v>45096</v>
      </c>
      <c r="X9" s="588"/>
      <c r="Y9" s="586"/>
      <c r="Z9" s="587">
        <f>'Achalandage journalier'!K6</f>
        <v>45124</v>
      </c>
      <c r="AA9" s="588"/>
      <c r="AB9" s="586"/>
      <c r="AC9" s="587">
        <f>'Achalandage journalier'!L6</f>
        <v>45152</v>
      </c>
      <c r="AD9" s="588"/>
      <c r="AE9" s="586"/>
      <c r="AF9" s="587">
        <f>'Achalandage journalier'!M6</f>
        <v>45180</v>
      </c>
      <c r="AG9" s="588"/>
      <c r="AH9" s="586"/>
      <c r="AI9" s="587">
        <f>'Achalandage journalier'!N6</f>
        <v>45208</v>
      </c>
      <c r="AJ9" s="588"/>
      <c r="AK9" s="586"/>
      <c r="AL9" s="587">
        <f>'Achalandage journalier'!O6</f>
        <v>45236</v>
      </c>
      <c r="AM9" s="588"/>
      <c r="AN9" s="586"/>
      <c r="AO9" s="590">
        <f>'Achalandage journalier'!P6</f>
        <v>45264</v>
      </c>
      <c r="AP9" s="591"/>
      <c r="AQ9" s="439"/>
      <c r="AR9" s="1101" t="str">
        <f>'Achalandage journalier'!Q6</f>
        <v>Total</v>
      </c>
      <c r="AS9" s="1102"/>
      <c r="AT9" s="439"/>
      <c r="AU9" s="439"/>
      <c r="AV9" s="439"/>
      <c r="AW9" s="439"/>
      <c r="AX9" s="439"/>
      <c r="AY9" s="490"/>
      <c r="AZ9" s="490"/>
      <c r="BA9" s="490"/>
      <c r="BB9" s="490"/>
      <c r="BC9" s="490"/>
      <c r="BD9" s="490"/>
    </row>
    <row r="10" spans="2:57" ht="15" thickTop="1" thickBot="1" x14ac:dyDescent="0.2">
      <c r="D10" s="458"/>
      <c r="G10" s="459"/>
      <c r="J10" s="459"/>
      <c r="M10" s="459"/>
      <c r="P10" s="460"/>
      <c r="S10" s="460"/>
      <c r="V10" s="459"/>
      <c r="Y10" s="461"/>
      <c r="AB10" s="459"/>
      <c r="AE10" s="459"/>
      <c r="AH10" s="459"/>
      <c r="AK10" s="459"/>
      <c r="AN10" s="459"/>
    </row>
    <row r="11" spans="2:57" ht="14" thickTop="1" x14ac:dyDescent="0.15">
      <c r="B11" s="462"/>
      <c r="C11" s="463" t="str">
        <f>'État des Résultats'!C30</f>
        <v> Marketing &amp; Communication marketing</v>
      </c>
      <c r="E11" s="462"/>
      <c r="F11" s="464"/>
      <c r="H11" s="462"/>
      <c r="I11" s="464"/>
      <c r="K11" s="462"/>
      <c r="L11" s="464"/>
      <c r="N11" s="462"/>
      <c r="O11" s="464"/>
      <c r="Q11" s="462"/>
      <c r="R11" s="464"/>
      <c r="T11" s="462"/>
      <c r="U11" s="464"/>
      <c r="W11" s="462"/>
      <c r="X11" s="464"/>
      <c r="Z11" s="462"/>
      <c r="AA11" s="464"/>
      <c r="AC11" s="462"/>
      <c r="AD11" s="464"/>
      <c r="AF11" s="462"/>
      <c r="AG11" s="464"/>
      <c r="AI11" s="462"/>
      <c r="AJ11" s="464"/>
      <c r="AL11" s="462"/>
      <c r="AM11" s="464"/>
      <c r="AO11" s="486"/>
      <c r="AP11" s="487"/>
      <c r="AR11" s="1103"/>
      <c r="AS11" s="1104"/>
      <c r="AU11" s="461"/>
      <c r="AV11" s="461"/>
      <c r="AW11" s="461"/>
      <c r="AX11" s="461"/>
      <c r="AY11" s="461"/>
      <c r="AZ11" s="461"/>
      <c r="BA11" s="461"/>
      <c r="BB11" s="461"/>
      <c r="BC11" s="461"/>
      <c r="BD11" s="461"/>
    </row>
    <row r="12" spans="2:57" x14ac:dyDescent="0.15">
      <c r="B12" s="465"/>
      <c r="C12" s="466"/>
      <c r="E12" s="465"/>
      <c r="F12" s="467"/>
      <c r="H12" s="465"/>
      <c r="I12" s="467"/>
      <c r="K12" s="465"/>
      <c r="L12" s="467"/>
      <c r="N12" s="465"/>
      <c r="O12" s="467"/>
      <c r="Q12" s="465"/>
      <c r="R12" s="467"/>
      <c r="T12" s="465"/>
      <c r="U12" s="467"/>
      <c r="W12" s="465"/>
      <c r="X12" s="467"/>
      <c r="Z12" s="465"/>
      <c r="AA12" s="467"/>
      <c r="AC12" s="465"/>
      <c r="AD12" s="467"/>
      <c r="AF12" s="465"/>
      <c r="AG12" s="467"/>
      <c r="AI12" s="465"/>
      <c r="AJ12" s="467"/>
      <c r="AL12" s="465"/>
      <c r="AM12" s="468"/>
      <c r="AO12" s="488"/>
      <c r="AP12" s="489"/>
      <c r="AR12" s="1105"/>
      <c r="AS12" s="1106"/>
      <c r="AU12" s="461"/>
      <c r="AV12" s="461"/>
      <c r="AW12" s="461"/>
      <c r="AX12" s="461"/>
      <c r="AY12" s="461"/>
      <c r="AZ12" s="461"/>
      <c r="BA12" s="461"/>
      <c r="BB12" s="461"/>
      <c r="BC12" s="461"/>
      <c r="BD12" s="461"/>
    </row>
    <row r="13" spans="2:57" x14ac:dyDescent="0.15">
      <c r="B13" s="469">
        <v>7610</v>
      </c>
      <c r="C13" s="470" t="s">
        <v>176</v>
      </c>
      <c r="E13" s="599">
        <v>0</v>
      </c>
      <c r="F13" s="471">
        <f>E13/'État des Résultats'!E$14</f>
        <v>0</v>
      </c>
      <c r="H13" s="599">
        <f t="shared" ref="H13:H22" si="0">+E13</f>
        <v>0</v>
      </c>
      <c r="I13" s="471">
        <f>H13/'État des Résultats'!H$14</f>
        <v>0</v>
      </c>
      <c r="J13" s="41"/>
      <c r="K13" s="599">
        <f t="shared" ref="K13:K22" si="1">+H13</f>
        <v>0</v>
      </c>
      <c r="L13" s="471">
        <f>K13/'État des Résultats'!K$14</f>
        <v>0</v>
      </c>
      <c r="M13" s="41"/>
      <c r="N13" s="599">
        <f t="shared" ref="N13:N22" si="2">+K13</f>
        <v>0</v>
      </c>
      <c r="O13" s="471">
        <f>N13/'État des Résultats'!N$14</f>
        <v>0</v>
      </c>
      <c r="P13" s="41"/>
      <c r="Q13" s="599">
        <f t="shared" ref="Q13:Q22" si="3">+N13</f>
        <v>0</v>
      </c>
      <c r="R13" s="471">
        <f>Q13/'État des Résultats'!Q$14</f>
        <v>0</v>
      </c>
      <c r="S13" s="41"/>
      <c r="T13" s="599">
        <f t="shared" ref="T13:T22" si="4">+Q13</f>
        <v>0</v>
      </c>
      <c r="U13" s="471">
        <f>T13/'État des Résultats'!T$14</f>
        <v>0</v>
      </c>
      <c r="V13" s="41"/>
      <c r="W13" s="599">
        <f t="shared" ref="W13:W22" si="5">+T13</f>
        <v>0</v>
      </c>
      <c r="X13" s="471">
        <f>W13/'État des Résultats'!W$14</f>
        <v>0</v>
      </c>
      <c r="Y13" s="41"/>
      <c r="Z13" s="599">
        <f t="shared" ref="Z13:Z22" si="6">+W13</f>
        <v>0</v>
      </c>
      <c r="AA13" s="471">
        <f>Z13/'État des Résultats'!Z$14</f>
        <v>0</v>
      </c>
      <c r="AB13" s="41"/>
      <c r="AC13" s="599">
        <f t="shared" ref="AC13:AC22" si="7">+Z13</f>
        <v>0</v>
      </c>
      <c r="AD13" s="471">
        <f>AC13/'État des Résultats'!AC$14</f>
        <v>0</v>
      </c>
      <c r="AE13" s="41"/>
      <c r="AF13" s="599">
        <f t="shared" ref="AF13:AF22" si="8">+AC13</f>
        <v>0</v>
      </c>
      <c r="AG13" s="471">
        <f>AF13/'État des Résultats'!AF$14</f>
        <v>0</v>
      </c>
      <c r="AH13" s="41"/>
      <c r="AI13" s="599">
        <f t="shared" ref="AI13:AI22" si="9">+AF13</f>
        <v>0</v>
      </c>
      <c r="AJ13" s="471">
        <f>AI13/'État des Résultats'!AI$14</f>
        <v>0</v>
      </c>
      <c r="AK13" s="41"/>
      <c r="AL13" s="599">
        <f t="shared" ref="AL13:AL22" si="10">+AI13</f>
        <v>0</v>
      </c>
      <c r="AM13" s="471">
        <f>AL13/'État des Résultats'!AL$14</f>
        <v>0</v>
      </c>
      <c r="AN13" s="41"/>
      <c r="AO13" s="599">
        <f t="shared" ref="AO13:AO22" si="11">+AL13</f>
        <v>0</v>
      </c>
      <c r="AP13" s="471">
        <f>AO13/'État des Résultats'!AO$14</f>
        <v>0</v>
      </c>
      <c r="AR13" s="1107">
        <f t="shared" ref="AR13:AR23" si="12">SUM(+$AO13+$AL13+$AI13+$AF13+$AC13+$Z13+$W13+$T13+$Q13+$N13+$K13+$H13+$E13)</f>
        <v>0</v>
      </c>
      <c r="AS13" s="1108">
        <f>AR13/'État des Résultats'!AR$14</f>
        <v>0</v>
      </c>
      <c r="AU13" s="41"/>
      <c r="AV13" s="41"/>
      <c r="AW13" s="41"/>
      <c r="AX13" s="41"/>
      <c r="AY13" s="41"/>
      <c r="AZ13" s="41"/>
      <c r="BA13" s="41"/>
      <c r="BB13" s="41"/>
      <c r="BC13" s="41"/>
    </row>
    <row r="14" spans="2:57" x14ac:dyDescent="0.15">
      <c r="B14" s="469">
        <v>7615</v>
      </c>
      <c r="C14" s="470" t="s">
        <v>177</v>
      </c>
      <c r="E14" s="599">
        <v>0</v>
      </c>
      <c r="F14" s="471">
        <f>E14/'État des Résultats'!E$14</f>
        <v>0</v>
      </c>
      <c r="H14" s="599">
        <f t="shared" si="0"/>
        <v>0</v>
      </c>
      <c r="I14" s="471">
        <f>H14/'État des Résultats'!H$14</f>
        <v>0</v>
      </c>
      <c r="J14" s="41"/>
      <c r="K14" s="599">
        <f t="shared" si="1"/>
        <v>0</v>
      </c>
      <c r="L14" s="471">
        <f>K14/'État des Résultats'!K$14</f>
        <v>0</v>
      </c>
      <c r="M14" s="41"/>
      <c r="N14" s="599">
        <f t="shared" si="2"/>
        <v>0</v>
      </c>
      <c r="O14" s="471">
        <f>N14/'État des Résultats'!N$14</f>
        <v>0</v>
      </c>
      <c r="P14" s="41"/>
      <c r="Q14" s="599">
        <f t="shared" si="3"/>
        <v>0</v>
      </c>
      <c r="R14" s="471">
        <f>Q14/'État des Résultats'!Q$14</f>
        <v>0</v>
      </c>
      <c r="S14" s="41"/>
      <c r="T14" s="599">
        <f t="shared" si="4"/>
        <v>0</v>
      </c>
      <c r="U14" s="471">
        <f>T14/'État des Résultats'!T$14</f>
        <v>0</v>
      </c>
      <c r="V14" s="41"/>
      <c r="W14" s="599">
        <f t="shared" si="5"/>
        <v>0</v>
      </c>
      <c r="X14" s="471">
        <f>W14/'État des Résultats'!W$14</f>
        <v>0</v>
      </c>
      <c r="Y14" s="41"/>
      <c r="Z14" s="599">
        <f t="shared" si="6"/>
        <v>0</v>
      </c>
      <c r="AA14" s="471">
        <f>Z14/'État des Résultats'!Z$14</f>
        <v>0</v>
      </c>
      <c r="AB14" s="41"/>
      <c r="AC14" s="599">
        <f t="shared" si="7"/>
        <v>0</v>
      </c>
      <c r="AD14" s="471">
        <f>AC14/'État des Résultats'!AC$14</f>
        <v>0</v>
      </c>
      <c r="AE14" s="41"/>
      <c r="AF14" s="599">
        <f t="shared" si="8"/>
        <v>0</v>
      </c>
      <c r="AG14" s="471">
        <f>AF14/'État des Résultats'!AF$14</f>
        <v>0</v>
      </c>
      <c r="AH14" s="41"/>
      <c r="AI14" s="599">
        <f t="shared" si="9"/>
        <v>0</v>
      </c>
      <c r="AJ14" s="471">
        <f>AI14/'État des Résultats'!AI$14</f>
        <v>0</v>
      </c>
      <c r="AK14" s="41"/>
      <c r="AL14" s="599">
        <f t="shared" si="10"/>
        <v>0</v>
      </c>
      <c r="AM14" s="471">
        <f>AL14/'État des Résultats'!AL$14</f>
        <v>0</v>
      </c>
      <c r="AN14" s="41"/>
      <c r="AO14" s="599">
        <f t="shared" si="11"/>
        <v>0</v>
      </c>
      <c r="AP14" s="471">
        <f>AO14/'État des Résultats'!AO$14</f>
        <v>0</v>
      </c>
      <c r="AR14" s="1107">
        <f t="shared" si="12"/>
        <v>0</v>
      </c>
      <c r="AS14" s="1108">
        <f>AR14/'État des Résultats'!AR$14</f>
        <v>0</v>
      </c>
      <c r="AU14" s="41" t="s">
        <v>1</v>
      </c>
      <c r="AV14" s="41"/>
      <c r="AW14" s="41"/>
      <c r="AX14" s="41"/>
      <c r="AY14" s="41"/>
      <c r="AZ14" s="41"/>
      <c r="BA14" s="41"/>
      <c r="BB14" s="41"/>
      <c r="BC14" s="41"/>
    </row>
    <row r="15" spans="2:57" x14ac:dyDescent="0.15">
      <c r="B15" s="472">
        <v>7620</v>
      </c>
      <c r="C15" s="473" t="s">
        <v>178</v>
      </c>
      <c r="E15" s="599">
        <v>0</v>
      </c>
      <c r="F15" s="471">
        <f>E15/'État des Résultats'!E$14</f>
        <v>0</v>
      </c>
      <c r="H15" s="599">
        <f t="shared" si="0"/>
        <v>0</v>
      </c>
      <c r="I15" s="471">
        <f>H15/'État des Résultats'!H$14</f>
        <v>0</v>
      </c>
      <c r="J15" s="41"/>
      <c r="K15" s="599">
        <f t="shared" si="1"/>
        <v>0</v>
      </c>
      <c r="L15" s="471">
        <f>K15/'État des Résultats'!K$14</f>
        <v>0</v>
      </c>
      <c r="M15" s="41"/>
      <c r="N15" s="599">
        <f t="shared" si="2"/>
        <v>0</v>
      </c>
      <c r="O15" s="471">
        <f>N15/'État des Résultats'!N$14</f>
        <v>0</v>
      </c>
      <c r="P15" s="41"/>
      <c r="Q15" s="599">
        <f t="shared" si="3"/>
        <v>0</v>
      </c>
      <c r="R15" s="471">
        <f>Q15/'État des Résultats'!Q$14</f>
        <v>0</v>
      </c>
      <c r="S15" s="41"/>
      <c r="T15" s="599">
        <f t="shared" si="4"/>
        <v>0</v>
      </c>
      <c r="U15" s="471">
        <f>T15/'État des Résultats'!T$14</f>
        <v>0</v>
      </c>
      <c r="V15" s="41"/>
      <c r="W15" s="599">
        <f t="shared" si="5"/>
        <v>0</v>
      </c>
      <c r="X15" s="471">
        <f>W15/'État des Résultats'!W$14</f>
        <v>0</v>
      </c>
      <c r="Y15" s="41"/>
      <c r="Z15" s="599">
        <f t="shared" si="6"/>
        <v>0</v>
      </c>
      <c r="AA15" s="471">
        <f>Z15/'État des Résultats'!Z$14</f>
        <v>0</v>
      </c>
      <c r="AB15" s="41"/>
      <c r="AC15" s="599">
        <f t="shared" si="7"/>
        <v>0</v>
      </c>
      <c r="AD15" s="471">
        <f>AC15/'État des Résultats'!AC$14</f>
        <v>0</v>
      </c>
      <c r="AE15" s="41"/>
      <c r="AF15" s="599">
        <f t="shared" si="8"/>
        <v>0</v>
      </c>
      <c r="AG15" s="471">
        <f>AF15/'État des Résultats'!AF$14</f>
        <v>0</v>
      </c>
      <c r="AH15" s="41"/>
      <c r="AI15" s="599">
        <f t="shared" si="9"/>
        <v>0</v>
      </c>
      <c r="AJ15" s="471">
        <f>AI15/'État des Résultats'!AI$14</f>
        <v>0</v>
      </c>
      <c r="AK15" s="41"/>
      <c r="AL15" s="599">
        <f t="shared" si="10"/>
        <v>0</v>
      </c>
      <c r="AM15" s="471">
        <f>AL15/'État des Résultats'!AL$14</f>
        <v>0</v>
      </c>
      <c r="AN15" s="41"/>
      <c r="AO15" s="599">
        <f t="shared" si="11"/>
        <v>0</v>
      </c>
      <c r="AP15" s="471">
        <f>AO15/'État des Résultats'!AO$14</f>
        <v>0</v>
      </c>
      <c r="AR15" s="1107">
        <f t="shared" si="12"/>
        <v>0</v>
      </c>
      <c r="AS15" s="1108">
        <f>AR15/'État des Résultats'!AR$14</f>
        <v>0</v>
      </c>
      <c r="AU15" s="41"/>
      <c r="AV15" s="41"/>
      <c r="AW15" s="41"/>
      <c r="AX15" s="41"/>
      <c r="AY15" s="41"/>
      <c r="AZ15" s="41"/>
      <c r="BA15" s="41"/>
      <c r="BB15" s="41"/>
      <c r="BC15" s="41"/>
    </row>
    <row r="16" spans="2:57" x14ac:dyDescent="0.15">
      <c r="B16" s="472">
        <v>7630</v>
      </c>
      <c r="C16" s="473" t="s">
        <v>179</v>
      </c>
      <c r="E16" s="599">
        <v>0</v>
      </c>
      <c r="F16" s="471">
        <f>E16/'État des Résultats'!E$14</f>
        <v>0</v>
      </c>
      <c r="G16" s="474" t="s">
        <v>1</v>
      </c>
      <c r="H16" s="599">
        <f t="shared" si="0"/>
        <v>0</v>
      </c>
      <c r="I16" s="471">
        <f>H16/'État des Résultats'!H$14</f>
        <v>0</v>
      </c>
      <c r="J16" s="41"/>
      <c r="K16" s="599">
        <f t="shared" si="1"/>
        <v>0</v>
      </c>
      <c r="L16" s="471">
        <f>K16/'État des Résultats'!K$14</f>
        <v>0</v>
      </c>
      <c r="M16" s="41"/>
      <c r="N16" s="599">
        <f t="shared" si="2"/>
        <v>0</v>
      </c>
      <c r="O16" s="471">
        <f>N16/'État des Résultats'!N$14</f>
        <v>0</v>
      </c>
      <c r="P16" s="41"/>
      <c r="Q16" s="599">
        <f t="shared" si="3"/>
        <v>0</v>
      </c>
      <c r="R16" s="471">
        <f>Q16/'État des Résultats'!Q$14</f>
        <v>0</v>
      </c>
      <c r="S16" s="41"/>
      <c r="T16" s="599">
        <f t="shared" si="4"/>
        <v>0</v>
      </c>
      <c r="U16" s="471">
        <f>T16/'État des Résultats'!T$14</f>
        <v>0</v>
      </c>
      <c r="V16" s="41"/>
      <c r="W16" s="599">
        <f t="shared" si="5"/>
        <v>0</v>
      </c>
      <c r="X16" s="471">
        <f>W16/'État des Résultats'!W$14</f>
        <v>0</v>
      </c>
      <c r="Y16" s="41"/>
      <c r="Z16" s="599">
        <f t="shared" si="6"/>
        <v>0</v>
      </c>
      <c r="AA16" s="471">
        <f>Z16/'État des Résultats'!Z$14</f>
        <v>0</v>
      </c>
      <c r="AB16" s="41"/>
      <c r="AC16" s="599">
        <f t="shared" si="7"/>
        <v>0</v>
      </c>
      <c r="AD16" s="471">
        <f>AC16/'État des Résultats'!AC$14</f>
        <v>0</v>
      </c>
      <c r="AE16" s="41"/>
      <c r="AF16" s="599">
        <f t="shared" si="8"/>
        <v>0</v>
      </c>
      <c r="AG16" s="471">
        <f>AF16/'État des Résultats'!AF$14</f>
        <v>0</v>
      </c>
      <c r="AH16" s="41"/>
      <c r="AI16" s="599">
        <f t="shared" si="9"/>
        <v>0</v>
      </c>
      <c r="AJ16" s="471">
        <f>AI16/'État des Résultats'!AI$14</f>
        <v>0</v>
      </c>
      <c r="AK16" s="41"/>
      <c r="AL16" s="599">
        <f t="shared" si="10"/>
        <v>0</v>
      </c>
      <c r="AM16" s="471">
        <f>AL16/'État des Résultats'!AL$14</f>
        <v>0</v>
      </c>
      <c r="AN16" s="41"/>
      <c r="AO16" s="599">
        <f t="shared" si="11"/>
        <v>0</v>
      </c>
      <c r="AP16" s="471">
        <f>AO16/'État des Résultats'!AO$14</f>
        <v>0</v>
      </c>
      <c r="AR16" s="1107">
        <f t="shared" si="12"/>
        <v>0</v>
      </c>
      <c r="AS16" s="1108">
        <f>AR16/'État des Résultats'!AR$14</f>
        <v>0</v>
      </c>
      <c r="AU16" s="41"/>
      <c r="AV16" s="41"/>
      <c r="AW16" s="41"/>
      <c r="AX16" s="41"/>
      <c r="AY16" s="41"/>
      <c r="AZ16" s="41"/>
      <c r="BA16" s="41"/>
      <c r="BB16" s="41"/>
      <c r="BC16" s="41"/>
    </row>
    <row r="17" spans="2:69" x14ac:dyDescent="0.15">
      <c r="B17" s="472">
        <v>7640</v>
      </c>
      <c r="C17" s="473" t="s">
        <v>180</v>
      </c>
      <c r="E17" s="599">
        <v>0</v>
      </c>
      <c r="F17" s="471">
        <f>E17/'État des Résultats'!E$14</f>
        <v>0</v>
      </c>
      <c r="H17" s="599">
        <f t="shared" si="0"/>
        <v>0</v>
      </c>
      <c r="I17" s="471">
        <f>H17/'État des Résultats'!H$14</f>
        <v>0</v>
      </c>
      <c r="J17" s="41"/>
      <c r="K17" s="599">
        <f t="shared" si="1"/>
        <v>0</v>
      </c>
      <c r="L17" s="471">
        <f>K17/'État des Résultats'!K$14</f>
        <v>0</v>
      </c>
      <c r="M17" s="41"/>
      <c r="N17" s="599">
        <f t="shared" si="2"/>
        <v>0</v>
      </c>
      <c r="O17" s="471">
        <f>N17/'État des Résultats'!N$14</f>
        <v>0</v>
      </c>
      <c r="P17" s="41"/>
      <c r="Q17" s="599">
        <f t="shared" si="3"/>
        <v>0</v>
      </c>
      <c r="R17" s="471">
        <f>Q17/'État des Résultats'!Q$14</f>
        <v>0</v>
      </c>
      <c r="S17" s="41"/>
      <c r="T17" s="599">
        <f t="shared" si="4"/>
        <v>0</v>
      </c>
      <c r="U17" s="471">
        <f>T17/'État des Résultats'!T$14</f>
        <v>0</v>
      </c>
      <c r="V17" s="41"/>
      <c r="W17" s="599">
        <f t="shared" si="5"/>
        <v>0</v>
      </c>
      <c r="X17" s="471">
        <f>W17/'État des Résultats'!W$14</f>
        <v>0</v>
      </c>
      <c r="Y17" s="41"/>
      <c r="Z17" s="599">
        <f t="shared" si="6"/>
        <v>0</v>
      </c>
      <c r="AA17" s="471">
        <f>Z17/'État des Résultats'!Z$14</f>
        <v>0</v>
      </c>
      <c r="AB17" s="41"/>
      <c r="AC17" s="599">
        <f t="shared" si="7"/>
        <v>0</v>
      </c>
      <c r="AD17" s="471">
        <f>AC17/'État des Résultats'!AC$14</f>
        <v>0</v>
      </c>
      <c r="AE17" s="41"/>
      <c r="AF17" s="599">
        <f t="shared" si="8"/>
        <v>0</v>
      </c>
      <c r="AG17" s="471">
        <f>AF17/'État des Résultats'!AF$14</f>
        <v>0</v>
      </c>
      <c r="AH17" s="41"/>
      <c r="AI17" s="599">
        <f t="shared" si="9"/>
        <v>0</v>
      </c>
      <c r="AJ17" s="471">
        <f>AI17/'État des Résultats'!AI$14</f>
        <v>0</v>
      </c>
      <c r="AK17" s="41"/>
      <c r="AL17" s="599">
        <f t="shared" si="10"/>
        <v>0</v>
      </c>
      <c r="AM17" s="471">
        <f>AL17/'État des Résultats'!AL$14</f>
        <v>0</v>
      </c>
      <c r="AN17" s="41"/>
      <c r="AO17" s="599">
        <f t="shared" si="11"/>
        <v>0</v>
      </c>
      <c r="AP17" s="471">
        <f>AO17/'État des Résultats'!AO$14</f>
        <v>0</v>
      </c>
      <c r="AR17" s="1107">
        <f t="shared" si="12"/>
        <v>0</v>
      </c>
      <c r="AS17" s="1108">
        <f>AR17/'État des Résultats'!AR$14</f>
        <v>0</v>
      </c>
      <c r="AU17" s="41"/>
      <c r="AV17" s="41"/>
      <c r="AW17" s="41"/>
      <c r="AX17" s="41"/>
      <c r="AY17" s="41"/>
      <c r="AZ17" s="41"/>
      <c r="BA17" s="41"/>
      <c r="BB17" s="41"/>
      <c r="BC17" s="41"/>
    </row>
    <row r="18" spans="2:69" x14ac:dyDescent="0.15">
      <c r="B18" s="472">
        <v>7650</v>
      </c>
      <c r="C18" s="473" t="s">
        <v>181</v>
      </c>
      <c r="E18" s="599">
        <v>0</v>
      </c>
      <c r="F18" s="471">
        <f>E18/'État des Résultats'!E$14</f>
        <v>0</v>
      </c>
      <c r="H18" s="599">
        <f t="shared" si="0"/>
        <v>0</v>
      </c>
      <c r="I18" s="471">
        <f>H18/'État des Résultats'!H$14</f>
        <v>0</v>
      </c>
      <c r="J18" s="41"/>
      <c r="K18" s="599">
        <f t="shared" si="1"/>
        <v>0</v>
      </c>
      <c r="L18" s="471">
        <f>K18/'État des Résultats'!K$14</f>
        <v>0</v>
      </c>
      <c r="M18" s="41"/>
      <c r="N18" s="599">
        <f t="shared" si="2"/>
        <v>0</v>
      </c>
      <c r="O18" s="471">
        <f>N18/'État des Résultats'!N$14</f>
        <v>0</v>
      </c>
      <c r="P18" s="41"/>
      <c r="Q18" s="599">
        <f t="shared" si="3"/>
        <v>0</v>
      </c>
      <c r="R18" s="471">
        <f>Q18/'État des Résultats'!Q$14</f>
        <v>0</v>
      </c>
      <c r="S18" s="41"/>
      <c r="T18" s="599">
        <f t="shared" si="4"/>
        <v>0</v>
      </c>
      <c r="U18" s="471">
        <f>T18/'État des Résultats'!T$14</f>
        <v>0</v>
      </c>
      <c r="V18" s="41"/>
      <c r="W18" s="599">
        <f t="shared" si="5"/>
        <v>0</v>
      </c>
      <c r="X18" s="471">
        <f>W18/'État des Résultats'!W$14</f>
        <v>0</v>
      </c>
      <c r="Y18" s="41"/>
      <c r="Z18" s="599">
        <f t="shared" si="6"/>
        <v>0</v>
      </c>
      <c r="AA18" s="471">
        <f>Z18/'État des Résultats'!Z$14</f>
        <v>0</v>
      </c>
      <c r="AB18" s="41"/>
      <c r="AC18" s="599">
        <f t="shared" si="7"/>
        <v>0</v>
      </c>
      <c r="AD18" s="471">
        <f>AC18/'État des Résultats'!AC$14</f>
        <v>0</v>
      </c>
      <c r="AE18" s="41"/>
      <c r="AF18" s="599">
        <f t="shared" si="8"/>
        <v>0</v>
      </c>
      <c r="AG18" s="471">
        <f>AF18/'État des Résultats'!AF$14</f>
        <v>0</v>
      </c>
      <c r="AH18" s="41"/>
      <c r="AI18" s="599">
        <f t="shared" si="9"/>
        <v>0</v>
      </c>
      <c r="AJ18" s="471">
        <f>AI18/'État des Résultats'!AI$14</f>
        <v>0</v>
      </c>
      <c r="AK18" s="41"/>
      <c r="AL18" s="599">
        <f t="shared" si="10"/>
        <v>0</v>
      </c>
      <c r="AM18" s="471">
        <f>AL18/'État des Résultats'!AL$14</f>
        <v>0</v>
      </c>
      <c r="AN18" s="41"/>
      <c r="AO18" s="599">
        <f t="shared" si="11"/>
        <v>0</v>
      </c>
      <c r="AP18" s="471">
        <f>AO18/'État des Résultats'!AO$14</f>
        <v>0</v>
      </c>
      <c r="AR18" s="1107">
        <f t="shared" si="12"/>
        <v>0</v>
      </c>
      <c r="AS18" s="1108">
        <f>AR18/'État des Résultats'!AR$14</f>
        <v>0</v>
      </c>
      <c r="AU18" s="41"/>
      <c r="AV18" s="41"/>
      <c r="AW18" s="41"/>
      <c r="AX18" s="41"/>
      <c r="AY18" s="41"/>
      <c r="AZ18" s="41"/>
      <c r="BA18" s="41"/>
      <c r="BB18" s="41"/>
      <c r="BC18" s="41"/>
    </row>
    <row r="19" spans="2:69" x14ac:dyDescent="0.15">
      <c r="B19" s="472">
        <v>7660</v>
      </c>
      <c r="C19" s="473" t="s">
        <v>182</v>
      </c>
      <c r="E19" s="599">
        <v>0</v>
      </c>
      <c r="F19" s="471">
        <f>E19/'État des Résultats'!E$14</f>
        <v>0</v>
      </c>
      <c r="H19" s="599">
        <f t="shared" si="0"/>
        <v>0</v>
      </c>
      <c r="I19" s="471">
        <f>H19/'État des Résultats'!H$14</f>
        <v>0</v>
      </c>
      <c r="J19" s="41"/>
      <c r="K19" s="599">
        <f t="shared" si="1"/>
        <v>0</v>
      </c>
      <c r="L19" s="471">
        <f>K19/'État des Résultats'!K$14</f>
        <v>0</v>
      </c>
      <c r="M19" s="41"/>
      <c r="N19" s="599">
        <f t="shared" si="2"/>
        <v>0</v>
      </c>
      <c r="O19" s="471">
        <f>N19/'État des Résultats'!N$14</f>
        <v>0</v>
      </c>
      <c r="P19" s="41"/>
      <c r="Q19" s="599">
        <f t="shared" si="3"/>
        <v>0</v>
      </c>
      <c r="R19" s="471">
        <f>Q19/'État des Résultats'!Q$14</f>
        <v>0</v>
      </c>
      <c r="S19" s="41"/>
      <c r="T19" s="599">
        <f t="shared" si="4"/>
        <v>0</v>
      </c>
      <c r="U19" s="471">
        <f>T19/'État des Résultats'!T$14</f>
        <v>0</v>
      </c>
      <c r="V19" s="41"/>
      <c r="W19" s="599">
        <f t="shared" si="5"/>
        <v>0</v>
      </c>
      <c r="X19" s="471">
        <f>W19/'État des Résultats'!W$14</f>
        <v>0</v>
      </c>
      <c r="Y19" s="41"/>
      <c r="Z19" s="599">
        <f t="shared" si="6"/>
        <v>0</v>
      </c>
      <c r="AA19" s="471">
        <f>Z19/'État des Résultats'!Z$14</f>
        <v>0</v>
      </c>
      <c r="AB19" s="41"/>
      <c r="AC19" s="599">
        <f t="shared" si="7"/>
        <v>0</v>
      </c>
      <c r="AD19" s="471">
        <f>AC19/'État des Résultats'!AC$14</f>
        <v>0</v>
      </c>
      <c r="AE19" s="41"/>
      <c r="AF19" s="599">
        <f t="shared" si="8"/>
        <v>0</v>
      </c>
      <c r="AG19" s="471">
        <f>AF19/'État des Résultats'!AF$14</f>
        <v>0</v>
      </c>
      <c r="AH19" s="41"/>
      <c r="AI19" s="599">
        <f t="shared" si="9"/>
        <v>0</v>
      </c>
      <c r="AJ19" s="471">
        <f>AI19/'État des Résultats'!AI$14</f>
        <v>0</v>
      </c>
      <c r="AK19" s="41"/>
      <c r="AL19" s="599">
        <f t="shared" si="10"/>
        <v>0</v>
      </c>
      <c r="AM19" s="471">
        <f>AL19/'État des Résultats'!AL$14</f>
        <v>0</v>
      </c>
      <c r="AN19" s="41"/>
      <c r="AO19" s="599">
        <f t="shared" si="11"/>
        <v>0</v>
      </c>
      <c r="AP19" s="471">
        <f>AO19/'État des Résultats'!AO$14</f>
        <v>0</v>
      </c>
      <c r="AR19" s="1107">
        <f t="shared" si="12"/>
        <v>0</v>
      </c>
      <c r="AS19" s="1108">
        <f>AR19/'État des Résultats'!AR$14</f>
        <v>0</v>
      </c>
      <c r="AU19" s="41"/>
      <c r="AV19" s="41"/>
      <c r="AW19" s="41"/>
      <c r="AX19" s="41"/>
      <c r="AY19" s="41"/>
      <c r="AZ19" s="41"/>
      <c r="BA19" s="41"/>
      <c r="BB19" s="41"/>
      <c r="BC19" s="41"/>
    </row>
    <row r="20" spans="2:69" x14ac:dyDescent="0.15">
      <c r="B20" s="472">
        <v>7670</v>
      </c>
      <c r="C20" s="473" t="s">
        <v>183</v>
      </c>
      <c r="E20" s="599">
        <v>0</v>
      </c>
      <c r="F20" s="471">
        <f>E20/'État des Résultats'!E$14</f>
        <v>0</v>
      </c>
      <c r="H20" s="599">
        <f t="shared" si="0"/>
        <v>0</v>
      </c>
      <c r="I20" s="471">
        <f>H20/'État des Résultats'!H$14</f>
        <v>0</v>
      </c>
      <c r="J20" s="41"/>
      <c r="K20" s="599">
        <f t="shared" si="1"/>
        <v>0</v>
      </c>
      <c r="L20" s="471">
        <f>K20/'État des Résultats'!K$14</f>
        <v>0</v>
      </c>
      <c r="M20" s="41"/>
      <c r="N20" s="599">
        <f t="shared" si="2"/>
        <v>0</v>
      </c>
      <c r="O20" s="471">
        <f>N20/'État des Résultats'!N$14</f>
        <v>0</v>
      </c>
      <c r="P20" s="41"/>
      <c r="Q20" s="599">
        <f t="shared" si="3"/>
        <v>0</v>
      </c>
      <c r="R20" s="471">
        <f>Q20/'État des Résultats'!Q$14</f>
        <v>0</v>
      </c>
      <c r="S20" s="41"/>
      <c r="T20" s="599">
        <f t="shared" si="4"/>
        <v>0</v>
      </c>
      <c r="U20" s="471">
        <f>T20/'État des Résultats'!T$14</f>
        <v>0</v>
      </c>
      <c r="V20" s="41"/>
      <c r="W20" s="599">
        <f t="shared" si="5"/>
        <v>0</v>
      </c>
      <c r="X20" s="471">
        <f>W20/'État des Résultats'!W$14</f>
        <v>0</v>
      </c>
      <c r="Y20" s="41"/>
      <c r="Z20" s="599">
        <f t="shared" si="6"/>
        <v>0</v>
      </c>
      <c r="AA20" s="471">
        <f>Z20/'État des Résultats'!Z$14</f>
        <v>0</v>
      </c>
      <c r="AB20" s="41"/>
      <c r="AC20" s="599">
        <f t="shared" si="7"/>
        <v>0</v>
      </c>
      <c r="AD20" s="471">
        <f>AC20/'État des Résultats'!AC$14</f>
        <v>0</v>
      </c>
      <c r="AE20" s="41"/>
      <c r="AF20" s="599">
        <f t="shared" si="8"/>
        <v>0</v>
      </c>
      <c r="AG20" s="471">
        <f>AF20/'État des Résultats'!AF$14</f>
        <v>0</v>
      </c>
      <c r="AH20" s="41"/>
      <c r="AI20" s="599">
        <f t="shared" si="9"/>
        <v>0</v>
      </c>
      <c r="AJ20" s="471">
        <f>AI20/'État des Résultats'!AI$14</f>
        <v>0</v>
      </c>
      <c r="AK20" s="41"/>
      <c r="AL20" s="599">
        <f t="shared" si="10"/>
        <v>0</v>
      </c>
      <c r="AM20" s="471">
        <f>AL20/'État des Résultats'!AL$14</f>
        <v>0</v>
      </c>
      <c r="AN20" s="41"/>
      <c r="AO20" s="599">
        <f t="shared" si="11"/>
        <v>0</v>
      </c>
      <c r="AP20" s="471">
        <f>AO20/'État des Résultats'!AO$14</f>
        <v>0</v>
      </c>
      <c r="AR20" s="1107">
        <f t="shared" si="12"/>
        <v>0</v>
      </c>
      <c r="AS20" s="1108">
        <f>AR20/'État des Résultats'!AR$14</f>
        <v>0</v>
      </c>
      <c r="AU20" s="41"/>
      <c r="AV20" s="41"/>
      <c r="AW20" s="41"/>
      <c r="AX20" s="41"/>
      <c r="AY20" s="41"/>
      <c r="AZ20" s="41"/>
      <c r="BA20" s="41"/>
      <c r="BB20" s="41"/>
      <c r="BC20" s="41"/>
    </row>
    <row r="21" spans="2:69" x14ac:dyDescent="0.15">
      <c r="B21" s="472">
        <v>7680</v>
      </c>
      <c r="C21" s="473" t="s">
        <v>184</v>
      </c>
      <c r="E21" s="599">
        <v>0</v>
      </c>
      <c r="F21" s="471">
        <f>E21/'État des Résultats'!E$14</f>
        <v>0</v>
      </c>
      <c r="H21" s="599">
        <f t="shared" si="0"/>
        <v>0</v>
      </c>
      <c r="I21" s="471">
        <f>H21/'État des Résultats'!H$14</f>
        <v>0</v>
      </c>
      <c r="J21" s="41"/>
      <c r="K21" s="599">
        <f t="shared" si="1"/>
        <v>0</v>
      </c>
      <c r="L21" s="471">
        <f>K21/'État des Résultats'!K$14</f>
        <v>0</v>
      </c>
      <c r="M21" s="41"/>
      <c r="N21" s="599">
        <f t="shared" si="2"/>
        <v>0</v>
      </c>
      <c r="O21" s="471">
        <f>N21/'État des Résultats'!N$14</f>
        <v>0</v>
      </c>
      <c r="P21" s="41"/>
      <c r="Q21" s="599">
        <f t="shared" si="3"/>
        <v>0</v>
      </c>
      <c r="R21" s="471">
        <f>Q21/'État des Résultats'!Q$14</f>
        <v>0</v>
      </c>
      <c r="S21" s="41"/>
      <c r="T21" s="599">
        <f t="shared" si="4"/>
        <v>0</v>
      </c>
      <c r="U21" s="471">
        <f>T21/'État des Résultats'!T$14</f>
        <v>0</v>
      </c>
      <c r="V21" s="41"/>
      <c r="W21" s="599">
        <f t="shared" si="5"/>
        <v>0</v>
      </c>
      <c r="X21" s="471">
        <f>W21/'État des Résultats'!W$14</f>
        <v>0</v>
      </c>
      <c r="Y21" s="41"/>
      <c r="Z21" s="599">
        <f t="shared" si="6"/>
        <v>0</v>
      </c>
      <c r="AA21" s="471">
        <f>Z21/'État des Résultats'!Z$14</f>
        <v>0</v>
      </c>
      <c r="AB21" s="41"/>
      <c r="AC21" s="599">
        <f t="shared" si="7"/>
        <v>0</v>
      </c>
      <c r="AD21" s="471">
        <f>AC21/'État des Résultats'!AC$14</f>
        <v>0</v>
      </c>
      <c r="AE21" s="41"/>
      <c r="AF21" s="599">
        <f t="shared" si="8"/>
        <v>0</v>
      </c>
      <c r="AG21" s="471">
        <f>AF21/'État des Résultats'!AF$14</f>
        <v>0</v>
      </c>
      <c r="AH21" s="41"/>
      <c r="AI21" s="599">
        <f t="shared" si="9"/>
        <v>0</v>
      </c>
      <c r="AJ21" s="471">
        <f>AI21/'État des Résultats'!AI$14</f>
        <v>0</v>
      </c>
      <c r="AK21" s="41"/>
      <c r="AL21" s="599">
        <f t="shared" si="10"/>
        <v>0</v>
      </c>
      <c r="AM21" s="471">
        <f>AL21/'État des Résultats'!AL$14</f>
        <v>0</v>
      </c>
      <c r="AN21" s="41"/>
      <c r="AO21" s="599">
        <f t="shared" si="11"/>
        <v>0</v>
      </c>
      <c r="AP21" s="471">
        <f>AO21/'État des Résultats'!AO$14</f>
        <v>0</v>
      </c>
      <c r="AR21" s="1107">
        <f t="shared" si="12"/>
        <v>0</v>
      </c>
      <c r="AS21" s="1108">
        <f>AR21/'État des Résultats'!AR$14</f>
        <v>0</v>
      </c>
      <c r="AU21" s="41"/>
      <c r="AV21" s="41"/>
      <c r="AW21" s="41"/>
      <c r="AX21" s="41"/>
      <c r="AY21" s="41"/>
      <c r="AZ21" s="41"/>
      <c r="BA21" s="41"/>
      <c r="BB21" s="41"/>
      <c r="BC21" s="41"/>
    </row>
    <row r="22" spans="2:69" x14ac:dyDescent="0.15">
      <c r="B22" s="472">
        <v>7690</v>
      </c>
      <c r="C22" s="473" t="s">
        <v>185</v>
      </c>
      <c r="E22" s="599">
        <v>0</v>
      </c>
      <c r="F22" s="471">
        <f>E22/'État des Résultats'!E$14</f>
        <v>0</v>
      </c>
      <c r="H22" s="599">
        <f t="shared" si="0"/>
        <v>0</v>
      </c>
      <c r="I22" s="471">
        <f>H22/'État des Résultats'!H$14</f>
        <v>0</v>
      </c>
      <c r="J22" s="41"/>
      <c r="K22" s="599">
        <f t="shared" si="1"/>
        <v>0</v>
      </c>
      <c r="L22" s="471">
        <f>K22/'État des Résultats'!K$14</f>
        <v>0</v>
      </c>
      <c r="M22" s="41"/>
      <c r="N22" s="599">
        <f t="shared" si="2"/>
        <v>0</v>
      </c>
      <c r="O22" s="471">
        <f>N22/'État des Résultats'!N$14</f>
        <v>0</v>
      </c>
      <c r="P22" s="41"/>
      <c r="Q22" s="599">
        <f t="shared" si="3"/>
        <v>0</v>
      </c>
      <c r="R22" s="471">
        <f>Q22/'État des Résultats'!Q$14</f>
        <v>0</v>
      </c>
      <c r="S22" s="41"/>
      <c r="T22" s="599">
        <f t="shared" si="4"/>
        <v>0</v>
      </c>
      <c r="U22" s="471">
        <f>T22/'État des Résultats'!T$14</f>
        <v>0</v>
      </c>
      <c r="V22" s="41"/>
      <c r="W22" s="599">
        <f t="shared" si="5"/>
        <v>0</v>
      </c>
      <c r="X22" s="471">
        <f>W22/'État des Résultats'!W$14</f>
        <v>0</v>
      </c>
      <c r="Y22" s="41"/>
      <c r="Z22" s="599">
        <f t="shared" si="6"/>
        <v>0</v>
      </c>
      <c r="AA22" s="471">
        <f>Z22/'État des Résultats'!Z$14</f>
        <v>0</v>
      </c>
      <c r="AB22" s="41"/>
      <c r="AC22" s="599">
        <f t="shared" si="7"/>
        <v>0</v>
      </c>
      <c r="AD22" s="471">
        <f>AC22/'État des Résultats'!AC$14</f>
        <v>0</v>
      </c>
      <c r="AE22" s="41"/>
      <c r="AF22" s="599">
        <f t="shared" si="8"/>
        <v>0</v>
      </c>
      <c r="AG22" s="471">
        <f>AF22/'État des Résultats'!AF$14</f>
        <v>0</v>
      </c>
      <c r="AH22" s="41"/>
      <c r="AI22" s="599">
        <f t="shared" si="9"/>
        <v>0</v>
      </c>
      <c r="AJ22" s="471">
        <f>AI22/'État des Résultats'!AI$14</f>
        <v>0</v>
      </c>
      <c r="AK22" s="41"/>
      <c r="AL22" s="599">
        <f t="shared" si="10"/>
        <v>0</v>
      </c>
      <c r="AM22" s="471">
        <f>AL22/'État des Résultats'!AL$14</f>
        <v>0</v>
      </c>
      <c r="AN22" s="41"/>
      <c r="AO22" s="599">
        <f t="shared" si="11"/>
        <v>0</v>
      </c>
      <c r="AP22" s="471">
        <f>AO22/'État des Résultats'!AO$14</f>
        <v>0</v>
      </c>
      <c r="AR22" s="1107">
        <f t="shared" si="12"/>
        <v>0</v>
      </c>
      <c r="AS22" s="1108">
        <f>AR22/'État des Résultats'!AR$14</f>
        <v>0</v>
      </c>
      <c r="AU22" s="41"/>
      <c r="AV22" s="41"/>
      <c r="AW22" s="41"/>
      <c r="AX22" s="41"/>
      <c r="AY22" s="41"/>
      <c r="AZ22" s="41"/>
      <c r="BA22" s="41"/>
      <c r="BB22" s="41"/>
      <c r="BC22" s="41"/>
    </row>
    <row r="23" spans="2:69" x14ac:dyDescent="0.15">
      <c r="B23" s="472">
        <v>7699</v>
      </c>
      <c r="C23" s="473" t="s">
        <v>186</v>
      </c>
      <c r="E23" s="599">
        <f>0.05*'État des Résultats'!E14</f>
        <v>1372.6100000000001</v>
      </c>
      <c r="F23" s="471">
        <f>E23/'État des Résultats'!E$14</f>
        <v>0.05</v>
      </c>
      <c r="H23" s="599">
        <f>0.05*'État des Résultats'!H14</f>
        <v>1372.6100000000001</v>
      </c>
      <c r="I23" s="471">
        <f>H23/'État des Résultats'!H$14</f>
        <v>0.05</v>
      </c>
      <c r="J23" s="41"/>
      <c r="K23" s="599">
        <f>0.05*'État des Résultats'!K14</f>
        <v>1974.48</v>
      </c>
      <c r="L23" s="471">
        <f>K23/'État des Résultats'!K$14</f>
        <v>0.05</v>
      </c>
      <c r="M23" s="41"/>
      <c r="N23" s="599">
        <f>0.05*'État des Résultats'!N14</f>
        <v>2683.078125</v>
      </c>
      <c r="O23" s="471">
        <f>N23/'État des Résultats'!N$14</f>
        <v>0.05</v>
      </c>
      <c r="P23" s="41"/>
      <c r="Q23" s="599">
        <f>0.05*'État des Résultats'!Q14</f>
        <v>3309.8812500000004</v>
      </c>
      <c r="R23" s="471">
        <f>Q23/'État des Résultats'!Q$14</f>
        <v>0.05</v>
      </c>
      <c r="S23" s="41"/>
      <c r="T23" s="599">
        <f>0.05*'État des Résultats'!T14</f>
        <v>3936.6843750000007</v>
      </c>
      <c r="U23" s="471">
        <f>T23/'État des Résultats'!T$14</f>
        <v>0.05</v>
      </c>
      <c r="V23" s="41"/>
      <c r="W23" s="599">
        <f>0.05*'État des Résultats'!W14</f>
        <v>4736.5752500000008</v>
      </c>
      <c r="X23" s="471">
        <f>W23/'État des Résultats'!W$14</f>
        <v>4.9999999999999996E-2</v>
      </c>
      <c r="Y23" s="41"/>
      <c r="Z23" s="599">
        <f>0.05*'État des Résultats'!Z14</f>
        <v>5396.7512500000012</v>
      </c>
      <c r="AA23" s="471">
        <f>Z23/'État des Résultats'!Z$14</f>
        <v>0.05</v>
      </c>
      <c r="AB23" s="41"/>
      <c r="AC23" s="599">
        <f>0.05*'État des Résultats'!AC14</f>
        <v>5396.7512500000012</v>
      </c>
      <c r="AD23" s="471">
        <f>AC23/'État des Résultats'!AC$14</f>
        <v>0.05</v>
      </c>
      <c r="AE23" s="41"/>
      <c r="AF23" s="599">
        <f>0.05*'État des Résultats'!AF14</f>
        <v>5603.2118750000009</v>
      </c>
      <c r="AG23" s="471">
        <f>AF23/'État des Résultats'!AF$14</f>
        <v>5.000000000000001E-2</v>
      </c>
      <c r="AH23" s="41"/>
      <c r="AI23" s="599">
        <f>0.05*'État des Résultats'!AI14</f>
        <v>5603.2118750000009</v>
      </c>
      <c r="AJ23" s="471">
        <f>AI23/'État des Résultats'!AI$14</f>
        <v>5.000000000000001E-2</v>
      </c>
      <c r="AK23" s="41"/>
      <c r="AL23" s="599">
        <f>0.05*'État des Résultats'!AL14</f>
        <v>4926.5424999999996</v>
      </c>
      <c r="AM23" s="471">
        <f>AL23/'État des Résultats'!AL$14</f>
        <v>0.05</v>
      </c>
      <c r="AN23" s="41"/>
      <c r="AO23" s="599">
        <f>0.05*'État des Résultats'!AO14</f>
        <v>5108.07</v>
      </c>
      <c r="AP23" s="471">
        <f>AO23/'État des Résultats'!AO$14</f>
        <v>0.05</v>
      </c>
      <c r="AR23" s="1107">
        <f t="shared" si="12"/>
        <v>51420.457750000001</v>
      </c>
      <c r="AS23" s="1108">
        <f>AR23/'État des Résultats'!AR$14</f>
        <v>0.05</v>
      </c>
      <c r="AU23" s="41"/>
      <c r="AV23" s="41"/>
      <c r="AW23" s="41"/>
      <c r="AX23" s="41"/>
      <c r="AY23" s="41"/>
      <c r="AZ23" s="41"/>
      <c r="BA23" s="41"/>
      <c r="BB23" s="41"/>
      <c r="BC23" s="41"/>
    </row>
    <row r="24" spans="2:69" ht="14" thickBot="1" x14ac:dyDescent="0.2">
      <c r="B24" s="475" t="s">
        <v>1</v>
      </c>
      <c r="C24" s="476"/>
      <c r="E24" s="600" t="s">
        <v>1</v>
      </c>
      <c r="F24" s="477" t="s">
        <v>1</v>
      </c>
      <c r="H24" s="600" t="s">
        <v>1</v>
      </c>
      <c r="I24" s="477" t="s">
        <v>1</v>
      </c>
      <c r="K24" s="600" t="s">
        <v>1</v>
      </c>
      <c r="L24" s="477" t="s">
        <v>1</v>
      </c>
      <c r="N24" s="600" t="s">
        <v>1</v>
      </c>
      <c r="O24" s="477" t="s">
        <v>1</v>
      </c>
      <c r="Q24" s="600" t="s">
        <v>1</v>
      </c>
      <c r="R24" s="477" t="s">
        <v>1</v>
      </c>
      <c r="S24" s="478"/>
      <c r="T24" s="600" t="s">
        <v>1</v>
      </c>
      <c r="U24" s="477" t="s">
        <v>1</v>
      </c>
      <c r="W24" s="600" t="s">
        <v>1</v>
      </c>
      <c r="X24" s="477" t="s">
        <v>1</v>
      </c>
      <c r="Z24" s="600" t="s">
        <v>1</v>
      </c>
      <c r="AA24" s="477" t="s">
        <v>1</v>
      </c>
      <c r="AC24" s="600" t="s">
        <v>1</v>
      </c>
      <c r="AD24" s="477" t="s">
        <v>1</v>
      </c>
      <c r="AF24" s="600" t="s">
        <v>1</v>
      </c>
      <c r="AG24" s="477" t="s">
        <v>1</v>
      </c>
      <c r="AI24" s="600" t="s">
        <v>1</v>
      </c>
      <c r="AJ24" s="477" t="s">
        <v>1</v>
      </c>
      <c r="AL24" s="600" t="s">
        <v>1</v>
      </c>
      <c r="AM24" s="477" t="s">
        <v>1</v>
      </c>
      <c r="AO24" s="600" t="s">
        <v>1</v>
      </c>
      <c r="AP24" s="477" t="s">
        <v>1</v>
      </c>
      <c r="AR24" s="1109" t="s">
        <v>1</v>
      </c>
      <c r="AS24" s="1110" t="s">
        <v>1</v>
      </c>
    </row>
    <row r="25" spans="2:69" ht="15" thickTop="1" thickBot="1" x14ac:dyDescent="0.2">
      <c r="B25" s="479">
        <v>7600</v>
      </c>
      <c r="C25" s="480" t="s">
        <v>187</v>
      </c>
      <c r="D25" s="481"/>
      <c r="E25" s="601">
        <f>SUM(E13:E24)</f>
        <v>1372.6100000000001</v>
      </c>
      <c r="F25" s="482">
        <f>E25/'État des Résultats'!E$14</f>
        <v>0.05</v>
      </c>
      <c r="G25" s="481"/>
      <c r="H25" s="601">
        <f>SUM(H13:H24)</f>
        <v>1372.6100000000001</v>
      </c>
      <c r="I25" s="482">
        <f>H25/'État des Résultats'!H$14</f>
        <v>0.05</v>
      </c>
      <c r="J25" s="481"/>
      <c r="K25" s="601">
        <f>SUM(K13:K24)</f>
        <v>1974.48</v>
      </c>
      <c r="L25" s="482">
        <f>K25/'État des Résultats'!K$14</f>
        <v>0.05</v>
      </c>
      <c r="M25" s="481"/>
      <c r="N25" s="601">
        <f>SUM(N13:N24)</f>
        <v>2683.078125</v>
      </c>
      <c r="O25" s="482">
        <f>N25/'État des Résultats'!N$14</f>
        <v>0.05</v>
      </c>
      <c r="P25" s="481"/>
      <c r="Q25" s="601">
        <f>SUM(Q13:Q24)</f>
        <v>3309.8812500000004</v>
      </c>
      <c r="R25" s="482">
        <f>Q25/'État des Résultats'!Q$14</f>
        <v>0.05</v>
      </c>
      <c r="S25" s="481"/>
      <c r="T25" s="601">
        <f>SUM(T13:T24)</f>
        <v>3936.6843750000007</v>
      </c>
      <c r="U25" s="482">
        <f>T25/'État des Résultats'!T$14</f>
        <v>0.05</v>
      </c>
      <c r="V25" s="481"/>
      <c r="W25" s="601">
        <f>SUM(W13:W24)</f>
        <v>4736.5752500000008</v>
      </c>
      <c r="X25" s="482">
        <f>W25/'État des Résultats'!W$14</f>
        <v>4.9999999999999996E-2</v>
      </c>
      <c r="Y25" s="481"/>
      <c r="Z25" s="601">
        <f>SUM(Z13:Z24)</f>
        <v>5396.7512500000012</v>
      </c>
      <c r="AA25" s="482">
        <f>Z25/'État des Résultats'!Z$14</f>
        <v>0.05</v>
      </c>
      <c r="AB25" s="481"/>
      <c r="AC25" s="601">
        <f>SUM(AC13:AC24)</f>
        <v>5396.7512500000012</v>
      </c>
      <c r="AD25" s="482">
        <f>AC25/'État des Résultats'!AC$14</f>
        <v>0.05</v>
      </c>
      <c r="AE25" s="481"/>
      <c r="AF25" s="601">
        <f>SUM(AF13:AF24)</f>
        <v>5603.2118750000009</v>
      </c>
      <c r="AG25" s="482">
        <f>AF25/'État des Résultats'!AF$14</f>
        <v>5.000000000000001E-2</v>
      </c>
      <c r="AH25" s="481"/>
      <c r="AI25" s="601">
        <f>SUM(AI13:AI24)</f>
        <v>5603.2118750000009</v>
      </c>
      <c r="AJ25" s="482">
        <f>AI25/'État des Résultats'!AI$14</f>
        <v>5.000000000000001E-2</v>
      </c>
      <c r="AK25" s="481"/>
      <c r="AL25" s="601">
        <f>SUM(AL13:AL24)</f>
        <v>4926.5424999999996</v>
      </c>
      <c r="AM25" s="482">
        <f>AL25/'État des Résultats'!AL$14</f>
        <v>0.05</v>
      </c>
      <c r="AN25" s="481"/>
      <c r="AO25" s="601">
        <f>SUM(AO13:AO24)</f>
        <v>5108.07</v>
      </c>
      <c r="AP25" s="482">
        <f>AO25/'État des Résultats'!AO$14</f>
        <v>0.05</v>
      </c>
      <c r="AR25" s="601">
        <f>SUM(AR13:AR24)</f>
        <v>51420.457750000001</v>
      </c>
      <c r="AS25" s="482">
        <f>SUM(AS13:AS23)</f>
        <v>0.05</v>
      </c>
      <c r="AU25" s="458"/>
    </row>
    <row r="26" spans="2:69" ht="14" thickTop="1" x14ac:dyDescent="0.15">
      <c r="L26" s="483"/>
      <c r="O26" s="483"/>
      <c r="R26" s="483"/>
      <c r="U26" s="483"/>
      <c r="X26" s="483"/>
      <c r="AA26" s="483"/>
      <c r="AD26" s="483"/>
      <c r="AG26" s="483"/>
      <c r="AJ26" s="483"/>
      <c r="AM26" s="483"/>
      <c r="AQ26" s="483"/>
    </row>
    <row r="27" spans="2:69" x14ac:dyDescent="0.15">
      <c r="R27" s="483"/>
      <c r="U27" s="483"/>
      <c r="X27" s="483"/>
      <c r="AD27" s="483"/>
      <c r="AG27" s="483"/>
      <c r="AJ27" s="483"/>
      <c r="AM27" s="483"/>
    </row>
    <row r="28" spans="2:69" x14ac:dyDescent="0.15">
      <c r="U28" s="483"/>
      <c r="AG28" s="483"/>
      <c r="AJ28" s="483"/>
      <c r="AM28" s="483"/>
    </row>
    <row r="29" spans="2:69" x14ac:dyDescent="0.15">
      <c r="C29" t="s">
        <v>1</v>
      </c>
      <c r="E29" t="s">
        <v>1</v>
      </c>
      <c r="G29" t="s">
        <v>1</v>
      </c>
      <c r="H29" t="s">
        <v>1</v>
      </c>
      <c r="U29" s="483"/>
      <c r="AG29" s="483"/>
      <c r="AJ29" s="483"/>
      <c r="AM29" s="483"/>
    </row>
    <row r="30" spans="2:69" x14ac:dyDescent="0.15">
      <c r="H30" t="s">
        <v>1</v>
      </c>
      <c r="AG30" s="483"/>
      <c r="AJ30" s="483"/>
      <c r="AM30" s="483"/>
    </row>
    <row r="31" spans="2:69" x14ac:dyDescent="0.15">
      <c r="H31" t="s">
        <v>1</v>
      </c>
      <c r="AM31" s="483"/>
    </row>
    <row r="32" spans="2:69" x14ac:dyDescent="0.15">
      <c r="H32" t="s">
        <v>1</v>
      </c>
      <c r="BB32" s="439"/>
      <c r="BC32" s="439"/>
      <c r="BD32" s="439"/>
      <c r="BE32" s="439"/>
      <c r="BF32" s="439"/>
      <c r="BG32" s="439"/>
      <c r="BH32" s="439"/>
      <c r="BI32" s="439"/>
      <c r="BJ32" s="439"/>
      <c r="BK32" s="439"/>
      <c r="BL32" s="439"/>
      <c r="BM32" s="439"/>
      <c r="BN32" s="439"/>
      <c r="BO32" s="439"/>
      <c r="BP32" s="439"/>
      <c r="BQ32" s="439"/>
    </row>
    <row r="33" spans="8:8" x14ac:dyDescent="0.15">
      <c r="H33" t="s">
        <v>1</v>
      </c>
    </row>
    <row r="34" spans="8:8" x14ac:dyDescent="0.15">
      <c r="H34" t="s">
        <v>1</v>
      </c>
    </row>
    <row r="44" spans="8:8" x14ac:dyDescent="0.15">
      <c r="H44" s="484"/>
    </row>
  </sheetData>
  <sheetProtection algorithmName="SHA-512" hashValue="We9enrBYj4iyASHmnTnVucunUnKv96nRvhqGvvspxYxVChyjyHEtM/yXNqdoyqatcN5KycaqmQPYYuZluogzCg==" saltValue="vYDg3AoWKw0GrrDAoeP4Fw==" spinCount="100000" sheet="1" objects="1" scenarios="1"/>
  <mergeCells count="6">
    <mergeCell ref="B2:C2"/>
    <mergeCell ref="B3:C3"/>
    <mergeCell ref="B4:C4"/>
    <mergeCell ref="AU2:AU8"/>
    <mergeCell ref="BE2:BE8"/>
    <mergeCell ref="B6:C6"/>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65823-1522-F149-A22F-9B38D66C61D7}">
  <sheetPr codeName="Feuil12">
    <tabColor theme="1"/>
    <pageSetUpPr fitToPage="1"/>
  </sheetPr>
  <dimension ref="B1:BS42"/>
  <sheetViews>
    <sheetView zoomScale="125" zoomScaleNormal="125" zoomScalePageLayoutView="125" workbookViewId="0">
      <selection activeCell="E13" sqref="E13"/>
    </sheetView>
  </sheetViews>
  <sheetFormatPr baseColWidth="10" defaultRowHeight="13" x14ac:dyDescent="0.15"/>
  <cols>
    <col min="1" max="1" width="2.1640625" style="138" customWidth="1"/>
    <col min="2" max="2" width="5.1640625" style="138" customWidth="1"/>
    <col min="3" max="3" width="42.6640625" style="138" customWidth="1"/>
    <col min="4" max="4" width="0.83203125" style="138" customWidth="1"/>
    <col min="5" max="5" width="14.33203125" style="138" customWidth="1"/>
    <col min="6" max="6" width="9.5" style="138" bestFit="1" customWidth="1"/>
    <col min="7" max="7" width="0.83203125" style="138" customWidth="1"/>
    <col min="8" max="8" width="14.33203125" style="138" customWidth="1"/>
    <col min="9" max="9" width="7.83203125" style="138" customWidth="1"/>
    <col min="10" max="10" width="0.83203125" style="138" customWidth="1"/>
    <col min="11" max="11" width="14.33203125" style="138" customWidth="1"/>
    <col min="12" max="12" width="7.83203125" style="138" customWidth="1"/>
    <col min="13" max="13" width="0.83203125" style="138" customWidth="1"/>
    <col min="14" max="14" width="14.33203125" style="138" customWidth="1"/>
    <col min="15" max="15" width="7.83203125" style="138" customWidth="1"/>
    <col min="16" max="16" width="0.83203125" style="138" customWidth="1"/>
    <col min="17" max="17" width="14.33203125" style="138" customWidth="1"/>
    <col min="18" max="18" width="7.83203125" style="138" customWidth="1"/>
    <col min="19" max="19" width="0.83203125" style="138" customWidth="1"/>
    <col min="20" max="20" width="14.33203125" style="138" customWidth="1"/>
    <col min="21" max="21" width="7.83203125" style="138" customWidth="1"/>
    <col min="22" max="22" width="0.83203125" style="138" customWidth="1"/>
    <col min="23" max="23" width="14.33203125" style="138" customWidth="1"/>
    <col min="24" max="24" width="7.83203125" style="138" customWidth="1"/>
    <col min="25" max="25" width="0.83203125" style="138" customWidth="1"/>
    <col min="26" max="26" width="14.33203125" style="138" customWidth="1"/>
    <col min="27" max="27" width="7.83203125" style="138" customWidth="1"/>
    <col min="28" max="28" width="0.83203125" style="138" customWidth="1"/>
    <col min="29" max="29" width="14.33203125" style="138" customWidth="1"/>
    <col min="30" max="30" width="7.83203125" style="138" customWidth="1"/>
    <col min="31" max="31" width="0.83203125" style="138" customWidth="1"/>
    <col min="32" max="32" width="14.33203125" style="138" customWidth="1"/>
    <col min="33" max="33" width="7.83203125" style="138" customWidth="1"/>
    <col min="34" max="34" width="0.83203125" style="138" customWidth="1"/>
    <col min="35" max="35" width="14.33203125" style="138" customWidth="1"/>
    <col min="36" max="36" width="7.83203125" style="138" customWidth="1"/>
    <col min="37" max="37" width="0.83203125" style="138" customWidth="1"/>
    <col min="38" max="38" width="14.33203125" style="138" customWidth="1"/>
    <col min="39" max="39" width="7.83203125" style="138" customWidth="1"/>
    <col min="40" max="40" width="0.83203125" style="138" customWidth="1"/>
    <col min="41" max="41" width="14.33203125" style="138" customWidth="1"/>
    <col min="42" max="42" width="8.1640625" style="138" customWidth="1"/>
    <col min="43" max="43" width="2.33203125" style="138" customWidth="1"/>
    <col min="44" max="44" width="14.5" style="138" bestFit="1" customWidth="1"/>
    <col min="45" max="45" width="8.1640625" style="138" customWidth="1"/>
    <col min="46" max="46" width="2.1640625" style="138" customWidth="1"/>
    <col min="47" max="47" width="10.83203125" style="138"/>
    <col min="48" max="48" width="14.6640625" style="138" bestFit="1" customWidth="1"/>
    <col min="49" max="49" width="2.5" style="138" bestFit="1" customWidth="1"/>
    <col min="50" max="50" width="26.83203125" style="138" bestFit="1" customWidth="1"/>
    <col min="51" max="51" width="2.5" style="138" bestFit="1" customWidth="1"/>
    <col min="52" max="52" width="2" style="138" bestFit="1" customWidth="1"/>
    <col min="53" max="53" width="7.83203125" style="138" bestFit="1" customWidth="1"/>
    <col min="54" max="54" width="2.5" style="138" bestFit="1" customWidth="1"/>
    <col min="55" max="55" width="10.83203125" style="138"/>
    <col min="56" max="56" width="2" style="138" bestFit="1" customWidth="1"/>
    <col min="57" max="16384" width="10.83203125" style="138"/>
  </cols>
  <sheetData>
    <row r="1" spans="2:58" ht="14" thickBot="1" x14ac:dyDescent="0.2"/>
    <row r="2" spans="2:58" ht="20" customHeight="1" thickTop="1" x14ac:dyDescent="0.2">
      <c r="B2" s="1546" t="str">
        <f>'État des Résultats'!C2</f>
        <v>Votre entreprise inc.</v>
      </c>
      <c r="C2" s="1547"/>
      <c r="AU2" s="1548" t="s">
        <v>45</v>
      </c>
      <c r="AV2" s="602"/>
      <c r="AW2" s="602"/>
      <c r="AX2" s="602"/>
      <c r="AY2" s="602"/>
      <c r="AZ2" s="602"/>
      <c r="BA2" s="602"/>
      <c r="BB2" s="602"/>
      <c r="BC2" s="602"/>
      <c r="BD2" s="602"/>
      <c r="BE2" s="1551" t="s">
        <v>46</v>
      </c>
    </row>
    <row r="3" spans="2:58" ht="20" customHeight="1" x14ac:dyDescent="0.2">
      <c r="B3" s="1554" t="str">
        <f>'État des Résultats'!C3</f>
        <v xml:space="preserve">États des résultats </v>
      </c>
      <c r="C3" s="1555"/>
      <c r="AU3" s="1549"/>
      <c r="AV3" s="603"/>
      <c r="AW3" s="603"/>
      <c r="AX3" s="603"/>
      <c r="AY3" s="603"/>
      <c r="AZ3" s="603"/>
      <c r="BA3" s="603"/>
      <c r="BB3" s="603"/>
      <c r="BC3" s="603"/>
      <c r="BD3" s="603"/>
      <c r="BE3" s="1552"/>
    </row>
    <row r="4" spans="2:58" ht="20" customHeight="1" thickBot="1" x14ac:dyDescent="0.3">
      <c r="B4" s="1556" t="str">
        <f>'État des Résultats'!C4</f>
        <v>Pour la période du 2 janvier 2023 au 31 décembre 2023</v>
      </c>
      <c r="C4" s="1557"/>
      <c r="AU4" s="1549"/>
      <c r="AV4" s="604" t="str">
        <f>'[1]Formule pour le calcul D'!BA103</f>
        <v>Coût annuel</v>
      </c>
      <c r="AW4" s="604" t="s">
        <v>48</v>
      </c>
      <c r="AX4" s="604" t="str">
        <f>'[1]Formule pour le calcul D'!BC103</f>
        <v>Achalandage annuelle</v>
      </c>
      <c r="AY4" s="604" t="s">
        <v>50</v>
      </c>
      <c r="AZ4" s="604" t="s">
        <v>51</v>
      </c>
      <c r="BA4" s="604" t="str">
        <f>'[1]Formule pour le calcul D'!BF103</f>
        <v>Um/A</v>
      </c>
      <c r="BB4" s="604" t="s">
        <v>50</v>
      </c>
      <c r="BC4" s="604" t="str">
        <f>'[1]Formule pour le calcul D'!BH103</f>
        <v>CmO</v>
      </c>
      <c r="BD4" s="604" t="s">
        <v>54</v>
      </c>
      <c r="BE4" s="1552"/>
    </row>
    <row r="5" spans="2:58" ht="21" thickTop="1" thickBot="1" x14ac:dyDescent="0.3">
      <c r="AU5" s="1549"/>
      <c r="AV5" s="605" t="s">
        <v>1</v>
      </c>
      <c r="AW5" s="184"/>
      <c r="AX5" s="605"/>
      <c r="AY5" s="184"/>
      <c r="AZ5" s="184"/>
      <c r="BA5" s="184"/>
      <c r="BB5" s="184"/>
      <c r="BC5" s="184"/>
      <c r="BD5" s="184"/>
      <c r="BE5" s="1552"/>
    </row>
    <row r="6" spans="2:58" ht="27" thickTop="1" x14ac:dyDescent="0.3">
      <c r="B6" s="1489" t="s">
        <v>283</v>
      </c>
      <c r="C6" s="1569"/>
      <c r="E6" s="530" t="str">
        <f>'[1]Mark &amp; Communication marketing'!E6</f>
        <v>Coût / place / jour</v>
      </c>
      <c r="F6" s="531">
        <f>E23/B7/'Calendrier 2023'!D6</f>
        <v>1.0256410256410258</v>
      </c>
      <c r="G6" s="336"/>
      <c r="H6" s="530" t="str">
        <f>+E6</f>
        <v>Coût / place / jour</v>
      </c>
      <c r="I6" s="531">
        <f>H23/B7/'Calendrier 2023'!E6</f>
        <v>1.0256410256410258</v>
      </c>
      <c r="J6" s="336"/>
      <c r="K6" s="530" t="str">
        <f>+H6</f>
        <v>Coût / place / jour</v>
      </c>
      <c r="L6" s="531">
        <f>K23/B7/'Calendrier 2023'!F7</f>
        <v>1.098901098901099</v>
      </c>
      <c r="M6" s="336"/>
      <c r="N6" s="530" t="str">
        <f>+K6</f>
        <v>Coût / place / jour</v>
      </c>
      <c r="O6" s="531">
        <f>N23/B7/'Calendrier 2023'!G7</f>
        <v>1.098901098901099</v>
      </c>
      <c r="P6" s="532"/>
      <c r="Q6" s="530" t="str">
        <f>+N6</f>
        <v>Coût / place / jour</v>
      </c>
      <c r="R6" s="531">
        <f>Q23/B7/'Calendrier 2023'!H7</f>
        <v>1.098901098901099</v>
      </c>
      <c r="S6" s="532"/>
      <c r="T6" s="530" t="str">
        <f>+Q6</f>
        <v>Coût / place / jour</v>
      </c>
      <c r="U6" s="531">
        <f>T23/B7/'Calendrier 2023'!I7</f>
        <v>1.098901098901099</v>
      </c>
      <c r="V6" s="336"/>
      <c r="W6" s="530" t="str">
        <f>+T6</f>
        <v>Coût / place / jour</v>
      </c>
      <c r="X6" s="531">
        <f>W23/B7/'Calendrier 2023'!J7</f>
        <v>1.098901098901099</v>
      </c>
      <c r="Y6" s="336"/>
      <c r="Z6" s="530" t="str">
        <f>+W6</f>
        <v>Coût / place / jour</v>
      </c>
      <c r="AA6" s="531">
        <f>Z23/B7/'Calendrier 2023'!K7</f>
        <v>1.098901098901099</v>
      </c>
      <c r="AB6" s="336"/>
      <c r="AC6" s="530" t="str">
        <f>+Z6</f>
        <v>Coût / place / jour</v>
      </c>
      <c r="AD6" s="531">
        <f>AC23/B7/'Calendrier 2023'!L7</f>
        <v>1.098901098901099</v>
      </c>
      <c r="AE6" s="336"/>
      <c r="AF6" s="530" t="str">
        <f>+AC6</f>
        <v>Coût / place / jour</v>
      </c>
      <c r="AG6" s="531">
        <f>AF23/'Calendrier 2023'!M7</f>
        <v>32.967032967032971</v>
      </c>
      <c r="AH6" s="336"/>
      <c r="AI6" s="530" t="str">
        <f>+AF6</f>
        <v>Coût / place / jour</v>
      </c>
      <c r="AJ6" s="531">
        <f>AI23/B7/'Calendrier 2023'!N7</f>
        <v>1.098901098901099</v>
      </c>
      <c r="AK6" s="336"/>
      <c r="AL6" s="530" t="str">
        <f>+AI6</f>
        <v>Coût / place / jour</v>
      </c>
      <c r="AM6" s="531">
        <f>AL23/B7/'Calendrier 2023'!O7</f>
        <v>1.098901098901099</v>
      </c>
      <c r="AN6" s="336"/>
      <c r="AO6" s="606" t="str">
        <f>+AL6</f>
        <v>Coût / place / jour</v>
      </c>
      <c r="AP6" s="607">
        <f>AO23/B7/'Calendrier 2023'!P7</f>
        <v>1.098901098901099</v>
      </c>
      <c r="AQ6"/>
      <c r="AR6" s="1078" t="str">
        <f>+AO6</f>
        <v>Coût / place / jour</v>
      </c>
      <c r="AS6" s="1056">
        <f>AR23/B7/'Calendrier 2023'!R7</f>
        <v>1.098901098901099</v>
      </c>
      <c r="AU6" s="1549"/>
      <c r="AV6" s="608" t="str">
        <f>'[1]Formule pour le calcul D'!BA105</f>
        <v xml:space="preserve">C </v>
      </c>
      <c r="AW6" s="609"/>
      <c r="AX6" s="608" t="str">
        <f>'[1]Formule pour le calcul D'!BC105</f>
        <v>A</v>
      </c>
      <c r="AY6" s="609"/>
      <c r="AZ6" s="609"/>
      <c r="BA6" s="608" t="str">
        <f>BA4</f>
        <v>Um/A</v>
      </c>
      <c r="BB6" s="609"/>
      <c r="BC6" s="608" t="str">
        <f>BC4</f>
        <v>CmO</v>
      </c>
      <c r="BD6" s="609"/>
      <c r="BE6" s="1552"/>
    </row>
    <row r="7" spans="2:58" ht="21" x14ac:dyDescent="0.25">
      <c r="B7" s="1538">
        <f>'État des Résultats'!C7</f>
        <v>30</v>
      </c>
      <c r="C7" s="1539"/>
      <c r="E7" s="535">
        <f>+E23/$AR23</f>
        <v>7.6923076923076913E-2</v>
      </c>
      <c r="F7" s="536"/>
      <c r="H7" s="535">
        <f>+H23/$AR23</f>
        <v>7.6923076923076913E-2</v>
      </c>
      <c r="I7" s="536"/>
      <c r="K7" s="535">
        <f>+K23/$AR23</f>
        <v>7.6923076923076913E-2</v>
      </c>
      <c r="L7" s="537"/>
      <c r="N7" s="535">
        <f>+N23/$AR23</f>
        <v>7.6923076923076913E-2</v>
      </c>
      <c r="O7" s="537"/>
      <c r="P7" s="538"/>
      <c r="Q7" s="535">
        <f>+Q23/$AR23</f>
        <v>7.6923076923076913E-2</v>
      </c>
      <c r="R7" s="537"/>
      <c r="S7" s="538"/>
      <c r="T7" s="535">
        <f>+T23/$AR23</f>
        <v>7.6923076923076913E-2</v>
      </c>
      <c r="U7" s="537"/>
      <c r="W7" s="535">
        <f>+W23/$AR23</f>
        <v>7.6923076923076913E-2</v>
      </c>
      <c r="X7" s="537"/>
      <c r="Z7" s="535">
        <f>+Z23/$AR23</f>
        <v>7.6923076923076913E-2</v>
      </c>
      <c r="AA7" s="537"/>
      <c r="AC7" s="535">
        <f>+AC23/$AR23</f>
        <v>7.6923076923076913E-2</v>
      </c>
      <c r="AD7" s="537"/>
      <c r="AF7" s="535">
        <f>+AF23/$AR23</f>
        <v>7.6923076923076913E-2</v>
      </c>
      <c r="AG7" s="537"/>
      <c r="AI7" s="535">
        <f>+AI23/$AR23</f>
        <v>7.6923076923076913E-2</v>
      </c>
      <c r="AJ7" s="537"/>
      <c r="AL7" s="535">
        <f>+AL23/$AR23</f>
        <v>7.6923076923076913E-2</v>
      </c>
      <c r="AM7" s="537"/>
      <c r="AO7" s="535">
        <f>+AO23/$AR23</f>
        <v>7.6923076923076913E-2</v>
      </c>
      <c r="AP7" s="611" t="s">
        <v>265</v>
      </c>
      <c r="AQ7"/>
      <c r="AR7" s="1079">
        <f>E7+H7+K7+N7+Q7+T7+W7+Z7+AC7+AF7+AI7+AL7+AO7</f>
        <v>0.99999999999999967</v>
      </c>
      <c r="AS7" s="1080" t="str">
        <f>AP7</f>
        <v xml:space="preserve">364 jours </v>
      </c>
      <c r="AU7" s="1549"/>
      <c r="AV7" s="642">
        <f>AO23</f>
        <v>923.07692307692309</v>
      </c>
      <c r="AW7" s="604" t="s">
        <v>48</v>
      </c>
      <c r="AX7" s="643">
        <f>'Formule pour le calcul D'!G114</f>
        <v>54651</v>
      </c>
      <c r="AY7" s="604" t="s">
        <v>50</v>
      </c>
      <c r="AZ7" s="604" t="s">
        <v>51</v>
      </c>
      <c r="BA7" s="644">
        <f>'Formule pour le calcul D'!J114</f>
        <v>2.2692307692307692</v>
      </c>
      <c r="BB7" s="604" t="s">
        <v>50</v>
      </c>
      <c r="BC7" s="642">
        <f>AV7/AX7/BA7</f>
        <v>7.4432244792766679E-3</v>
      </c>
      <c r="BD7" s="604" t="s">
        <v>54</v>
      </c>
      <c r="BE7" s="1552"/>
    </row>
    <row r="8" spans="2:58" ht="17" thickBot="1" x14ac:dyDescent="0.25">
      <c r="B8" s="1493" t="s">
        <v>254</v>
      </c>
      <c r="C8" s="1539"/>
      <c r="E8" s="539" t="str">
        <f>'Calendrier 2023'!D5</f>
        <v>Pér.01</v>
      </c>
      <c r="F8" s="540" t="str">
        <f>'État des Résultats'!F8</f>
        <v>(%)</v>
      </c>
      <c r="G8" s="541"/>
      <c r="H8" s="539" t="str">
        <f>'Calendrier 2023'!E5</f>
        <v>Pér.02</v>
      </c>
      <c r="I8" s="540" t="str">
        <f>F8</f>
        <v>(%)</v>
      </c>
      <c r="J8" s="541"/>
      <c r="K8" s="539" t="str">
        <f>'Calendrier 2023'!F5</f>
        <v>Pér.03</v>
      </c>
      <c r="L8" s="540" t="str">
        <f>I8</f>
        <v>(%)</v>
      </c>
      <c r="M8" s="541"/>
      <c r="N8" s="539" t="str">
        <f>'Calendrier 2023'!G5</f>
        <v>Pér.04</v>
      </c>
      <c r="O8" s="540" t="str">
        <f>L8</f>
        <v>(%)</v>
      </c>
      <c r="P8" s="542"/>
      <c r="Q8" s="539" t="str">
        <f>'Calendrier 2023'!H5</f>
        <v>Pér.05</v>
      </c>
      <c r="R8" s="540" t="str">
        <f>O8</f>
        <v>(%)</v>
      </c>
      <c r="S8" s="542"/>
      <c r="T8" s="539" t="str">
        <f>'Calendrier 2023'!I5</f>
        <v>Pér.06</v>
      </c>
      <c r="U8" s="540" t="str">
        <f>R8</f>
        <v>(%)</v>
      </c>
      <c r="V8" s="541"/>
      <c r="W8" s="539" t="str">
        <f>'Calendrier 2023'!J5</f>
        <v>Pér.07</v>
      </c>
      <c r="X8" s="540" t="str">
        <f>U8</f>
        <v>(%)</v>
      </c>
      <c r="Y8" s="541"/>
      <c r="Z8" s="539" t="str">
        <f>'Calendrier 2023'!K5</f>
        <v>Pér.08</v>
      </c>
      <c r="AA8" s="540" t="str">
        <f>X8</f>
        <v>(%)</v>
      </c>
      <c r="AB8" s="541"/>
      <c r="AC8" s="539" t="str">
        <f>'Calendrier 2023'!L5</f>
        <v>Pér.09</v>
      </c>
      <c r="AD8" s="540" t="str">
        <f>AA8</f>
        <v>(%)</v>
      </c>
      <c r="AE8" s="541"/>
      <c r="AF8" s="539" t="str">
        <f>'Calendrier 2023'!M5</f>
        <v>Pér.10</v>
      </c>
      <c r="AG8" s="540" t="str">
        <f>AD8</f>
        <v>(%)</v>
      </c>
      <c r="AH8" s="541"/>
      <c r="AI8" s="539" t="str">
        <f>'Calendrier 2023'!N5</f>
        <v>Pér.11</v>
      </c>
      <c r="AJ8" s="540" t="str">
        <f>AG8</f>
        <v>(%)</v>
      </c>
      <c r="AK8" s="541"/>
      <c r="AL8" s="539" t="str">
        <f>'Calendrier 2023'!O5</f>
        <v>Pér.12</v>
      </c>
      <c r="AM8" s="540" t="str">
        <f>AJ8</f>
        <v>(%)</v>
      </c>
      <c r="AN8" s="543" t="s">
        <v>1</v>
      </c>
      <c r="AO8" s="615" t="str">
        <f>'Calendrier 2023'!P5</f>
        <v>Pér.13</v>
      </c>
      <c r="AP8" s="540" t="str">
        <f>AM8</f>
        <v>(%)</v>
      </c>
      <c r="AQ8"/>
      <c r="AR8" s="1058" t="str">
        <f>'Achalandage journalier'!Q5</f>
        <v>Année</v>
      </c>
      <c r="AS8" s="1059" t="str">
        <f>AP8</f>
        <v>(%)</v>
      </c>
      <c r="AU8" s="1550"/>
      <c r="AV8" s="616"/>
      <c r="AW8" s="616"/>
      <c r="AX8" s="616"/>
      <c r="AY8" s="616"/>
      <c r="AZ8" s="616"/>
      <c r="BA8" s="616"/>
      <c r="BB8" s="616"/>
      <c r="BC8" s="616"/>
      <c r="BD8" s="616"/>
      <c r="BE8" s="1553"/>
    </row>
    <row r="9" spans="2:58" ht="15" thickTop="1" thickBot="1" x14ac:dyDescent="0.2">
      <c r="B9" s="1495">
        <f>AO23/$B$7</f>
        <v>30.76923076923077</v>
      </c>
      <c r="C9" s="1524"/>
      <c r="E9" s="574">
        <f>'Calendrier 2023'!D8</f>
        <v>44928</v>
      </c>
      <c r="F9" s="575"/>
      <c r="G9" s="576"/>
      <c r="H9" s="577">
        <f>'Calendrier 2023'!E8</f>
        <v>44956</v>
      </c>
      <c r="I9" s="578"/>
      <c r="J9" s="576"/>
      <c r="K9" s="577">
        <f>'Calendrier 2023'!F8</f>
        <v>44984</v>
      </c>
      <c r="L9" s="578"/>
      <c r="M9" s="576"/>
      <c r="N9" s="574">
        <f>'Calendrier 2023'!G8</f>
        <v>45012</v>
      </c>
      <c r="O9" s="575"/>
      <c r="P9" s="579"/>
      <c r="Q9" s="574">
        <f>'Calendrier 2023'!H8</f>
        <v>45040</v>
      </c>
      <c r="R9" s="575"/>
      <c r="S9" s="579"/>
      <c r="T9" s="577">
        <f>'Calendrier 2023'!I8</f>
        <v>45068</v>
      </c>
      <c r="U9" s="578"/>
      <c r="V9" s="576"/>
      <c r="W9" s="577">
        <f>'Calendrier 2023'!J8</f>
        <v>45096</v>
      </c>
      <c r="X9" s="578"/>
      <c r="Y9" s="576"/>
      <c r="Z9" s="577">
        <f>'Calendrier 2023'!K8</f>
        <v>45124</v>
      </c>
      <c r="AA9" s="578"/>
      <c r="AB9" s="576"/>
      <c r="AC9" s="577">
        <f>'Calendrier 2023'!L8</f>
        <v>45152</v>
      </c>
      <c r="AD9" s="578"/>
      <c r="AE9" s="576"/>
      <c r="AF9" s="577">
        <f>'Calendrier 2023'!M8</f>
        <v>45180</v>
      </c>
      <c r="AG9" s="578"/>
      <c r="AH9" s="576"/>
      <c r="AI9" s="577">
        <f>'Calendrier 2023'!N8</f>
        <v>45208</v>
      </c>
      <c r="AJ9" s="578"/>
      <c r="AK9" s="576"/>
      <c r="AL9" s="577">
        <f>'Calendrier 2023'!O8</f>
        <v>45236</v>
      </c>
      <c r="AM9" s="578"/>
      <c r="AN9" s="576"/>
      <c r="AO9" s="638">
        <f>'Calendrier 2023'!P8</f>
        <v>45264</v>
      </c>
      <c r="AP9" s="639"/>
      <c r="AQ9" s="439"/>
      <c r="AR9" s="1081" t="str">
        <f>'Achalandage journalier'!Q6</f>
        <v>Total</v>
      </c>
      <c r="AS9" s="1082"/>
      <c r="AT9" s="582"/>
      <c r="AU9" s="582"/>
      <c r="AV9" s="336"/>
      <c r="AW9" s="336"/>
      <c r="AX9" s="336"/>
      <c r="AY9" s="336"/>
      <c r="AZ9" s="336"/>
      <c r="BA9" s="336"/>
      <c r="BB9" s="336"/>
      <c r="BC9" s="336"/>
    </row>
    <row r="10" spans="2:58" ht="15" thickTop="1" thickBot="1" x14ac:dyDescent="0.2">
      <c r="D10" s="545"/>
      <c r="G10" s="546"/>
      <c r="J10" s="546"/>
      <c r="M10" s="546"/>
      <c r="P10" s="547"/>
      <c r="S10" s="547"/>
      <c r="V10" s="546"/>
      <c r="Y10" s="366"/>
      <c r="AB10" s="546"/>
      <c r="AE10" s="546"/>
      <c r="AH10" s="546"/>
      <c r="AK10" s="546"/>
      <c r="AN10" s="546"/>
      <c r="AQ10"/>
      <c r="AT10" s="336"/>
      <c r="AU10" s="336"/>
      <c r="AV10" s="336"/>
    </row>
    <row r="11" spans="2:58" ht="17" thickTop="1" x14ac:dyDescent="0.2">
      <c r="B11" s="404"/>
      <c r="C11" s="645" t="str">
        <f>'État des Résultats'!C31</f>
        <v> Services publics </v>
      </c>
      <c r="E11" s="404"/>
      <c r="F11" s="549"/>
      <c r="H11" s="404"/>
      <c r="I11" s="549"/>
      <c r="K11" s="404"/>
      <c r="L11" s="549"/>
      <c r="N11" s="404"/>
      <c r="O11" s="549"/>
      <c r="Q11" s="404"/>
      <c r="R11" s="549"/>
      <c r="T11" s="404"/>
      <c r="U11" s="549"/>
      <c r="W11" s="404"/>
      <c r="X11" s="549"/>
      <c r="Z11" s="404"/>
      <c r="AA11" s="549"/>
      <c r="AC11" s="404"/>
      <c r="AD11" s="549"/>
      <c r="AF11" s="404"/>
      <c r="AG11" s="549"/>
      <c r="AI11" s="404"/>
      <c r="AJ11" s="549"/>
      <c r="AL11" s="404"/>
      <c r="AM11" s="549"/>
      <c r="AO11" s="631"/>
      <c r="AP11" s="632"/>
      <c r="AQ11"/>
      <c r="AR11" s="1083"/>
      <c r="AS11" s="1084"/>
      <c r="AT11" s="366"/>
      <c r="AU11" s="366"/>
      <c r="AV11" s="366"/>
      <c r="AW11" s="366"/>
      <c r="AX11" s="366"/>
      <c r="AY11" s="366"/>
      <c r="AZ11" s="366"/>
      <c r="BA11" s="366"/>
      <c r="BB11" s="366"/>
      <c r="BC11" s="366"/>
      <c r="BD11" s="366"/>
      <c r="BE11" s="366"/>
      <c r="BF11" s="366"/>
    </row>
    <row r="12" spans="2:58" x14ac:dyDescent="0.15">
      <c r="B12" s="370"/>
      <c r="C12" s="550"/>
      <c r="E12" s="370"/>
      <c r="F12" s="414"/>
      <c r="H12" s="370"/>
      <c r="I12" s="414"/>
      <c r="K12" s="370"/>
      <c r="L12" s="414"/>
      <c r="N12" s="370"/>
      <c r="O12" s="414"/>
      <c r="Q12" s="370"/>
      <c r="R12" s="414"/>
      <c r="T12" s="370"/>
      <c r="U12" s="414"/>
      <c r="W12" s="370"/>
      <c r="X12" s="414"/>
      <c r="Z12" s="370"/>
      <c r="AA12" s="414"/>
      <c r="AC12" s="370"/>
      <c r="AD12" s="414"/>
      <c r="AF12" s="370"/>
      <c r="AG12" s="414"/>
      <c r="AI12" s="370"/>
      <c r="AJ12" s="414"/>
      <c r="AL12" s="370"/>
      <c r="AM12" s="371"/>
      <c r="AO12" s="633"/>
      <c r="AP12" s="634"/>
      <c r="AQ12"/>
      <c r="AR12" s="1028"/>
      <c r="AS12" s="1085"/>
      <c r="AT12" s="366"/>
      <c r="AU12" s="366"/>
      <c r="AV12" s="366"/>
      <c r="AW12" s="366"/>
      <c r="AX12" s="366"/>
      <c r="AY12" s="366"/>
      <c r="AZ12" s="366"/>
      <c r="BA12" s="366"/>
      <c r="BB12" s="366"/>
      <c r="BC12" s="366"/>
      <c r="BD12" s="366"/>
      <c r="BE12" s="366"/>
      <c r="BF12" s="366"/>
    </row>
    <row r="13" spans="2:58" x14ac:dyDescent="0.15">
      <c r="B13" s="551">
        <v>7705</v>
      </c>
      <c r="C13" s="414" t="s">
        <v>255</v>
      </c>
      <c r="E13" s="621">
        <v>923.07692307692309</v>
      </c>
      <c r="F13" s="553">
        <f>E13/'État des Résultats'!E$14</f>
        <v>3.3624879721003163E-2</v>
      </c>
      <c r="H13" s="621">
        <v>923.07692307692309</v>
      </c>
      <c r="I13" s="553">
        <f>H13/'État des Résultats'!H$14</f>
        <v>3.3624879721003163E-2</v>
      </c>
      <c r="K13" s="621">
        <v>923.07692307692309</v>
      </c>
      <c r="L13" s="553">
        <f>K13/'État des Résultats'!K$14</f>
        <v>2.3375190507802641E-2</v>
      </c>
      <c r="N13" s="621">
        <v>923.07692307692309</v>
      </c>
      <c r="O13" s="553">
        <f>N13/'État des Résultats'!N$14</f>
        <v>1.7201827156578288E-2</v>
      </c>
      <c r="Q13" s="621">
        <v>923.07692307692309</v>
      </c>
      <c r="R13" s="553">
        <f>Q13/'État des Résultats'!Q$14</f>
        <v>1.3944260433466051E-2</v>
      </c>
      <c r="T13" s="621">
        <v>923.07692307692309</v>
      </c>
      <c r="U13" s="553">
        <f>T13/'État des Résultats'!T$14</f>
        <v>1.1724040272811088E-2</v>
      </c>
      <c r="W13" s="621">
        <v>923.07692307692309</v>
      </c>
      <c r="X13" s="553">
        <f>W13/'État des Résultats'!W$14</f>
        <v>9.7441386904696895E-3</v>
      </c>
      <c r="Z13" s="621">
        <v>923.07692307692309</v>
      </c>
      <c r="AA13" s="553">
        <f>Z13/'État des Résultats'!Z$14</f>
        <v>8.5521536968831292E-3</v>
      </c>
      <c r="AC13" s="621">
        <v>923.07692307692309</v>
      </c>
      <c r="AD13" s="553">
        <f>AC13/'État des Résultats'!AC$14</f>
        <v>8.5521536968831292E-3</v>
      </c>
      <c r="AF13" s="621">
        <v>923.07692307692309</v>
      </c>
      <c r="AG13" s="553">
        <f>AF13/'État des Résultats'!AF$14</f>
        <v>8.2370338983203551E-3</v>
      </c>
      <c r="AI13" s="621">
        <v>923.07692307692309</v>
      </c>
      <c r="AJ13" s="553">
        <f>AI13/'État des Résultats'!AI$14</f>
        <v>8.2370338983203551E-3</v>
      </c>
      <c r="AL13" s="621">
        <v>923.07692307692309</v>
      </c>
      <c r="AM13" s="553">
        <f>AL13/'État des Résultats'!AL$14</f>
        <v>9.368405155105463E-3</v>
      </c>
      <c r="AO13" s="621">
        <v>923.07692307692309</v>
      </c>
      <c r="AP13" s="553">
        <f>AO13/'État des Résultats'!AO$14</f>
        <v>9.0354764429317058E-3</v>
      </c>
      <c r="AQ13"/>
      <c r="AR13" s="1091">
        <f>SUM(+$AO13+$AL13+$AI13+$AF13+$AC13+$Z13+$W13+$T13+$Q13+$N13+$K13+$H13+$E13)</f>
        <v>12000.000000000002</v>
      </c>
      <c r="AS13" s="1087">
        <f>AR13/'État des Résultats'!$AR$14</f>
        <v>1.1668507560106272E-2</v>
      </c>
    </row>
    <row r="14" spans="2:58" x14ac:dyDescent="0.15">
      <c r="B14" s="551">
        <v>7710</v>
      </c>
      <c r="C14" s="414" t="s">
        <v>256</v>
      </c>
      <c r="E14" s="621">
        <v>0</v>
      </c>
      <c r="F14" s="553">
        <f>E14/'État des Résultats'!E$14</f>
        <v>0</v>
      </c>
      <c r="H14" s="621">
        <v>0</v>
      </c>
      <c r="I14" s="553">
        <f>H14/'État des Résultats'!H$14</f>
        <v>0</v>
      </c>
      <c r="K14" s="621">
        <v>0</v>
      </c>
      <c r="L14" s="553">
        <f>K14/'État des Résultats'!K$14</f>
        <v>0</v>
      </c>
      <c r="N14" s="621">
        <v>0</v>
      </c>
      <c r="O14" s="553">
        <f>N14/'État des Résultats'!N$14</f>
        <v>0</v>
      </c>
      <c r="Q14" s="621">
        <v>0</v>
      </c>
      <c r="R14" s="553">
        <f>Q14/'État des Résultats'!Q$14</f>
        <v>0</v>
      </c>
      <c r="T14" s="621">
        <v>0</v>
      </c>
      <c r="U14" s="553">
        <f>T14/'État des Résultats'!T$14</f>
        <v>0</v>
      </c>
      <c r="W14" s="621">
        <v>0</v>
      </c>
      <c r="X14" s="553">
        <f>W14/'État des Résultats'!W$14</f>
        <v>0</v>
      </c>
      <c r="Z14" s="621">
        <v>0</v>
      </c>
      <c r="AA14" s="553">
        <f>Z14/'État des Résultats'!Z$14</f>
        <v>0</v>
      </c>
      <c r="AC14" s="621">
        <v>0</v>
      </c>
      <c r="AD14" s="553">
        <f>AC14/'État des Résultats'!AC$14</f>
        <v>0</v>
      </c>
      <c r="AF14" s="621">
        <v>0</v>
      </c>
      <c r="AG14" s="553">
        <f>AF14/'État des Résultats'!AF$14</f>
        <v>0</v>
      </c>
      <c r="AI14" s="621">
        <v>0</v>
      </c>
      <c r="AJ14" s="553">
        <f>AI14/'État des Résultats'!AI$14</f>
        <v>0</v>
      </c>
      <c r="AL14" s="621">
        <v>0</v>
      </c>
      <c r="AM14" s="553">
        <f>AL14/'État des Résultats'!AL$14</f>
        <v>0</v>
      </c>
      <c r="AO14" s="621">
        <v>0</v>
      </c>
      <c r="AP14" s="553">
        <f>AO14/'État des Résultats'!AO$14</f>
        <v>0</v>
      </c>
      <c r="AQ14"/>
      <c r="AR14" s="1091">
        <f t="shared" ref="AR14:AR21" si="0">SUM(+$AO14+$AL14+$AI14+$AF14+$AC14+$Z14+$W14+$T14+$Q14+$N14+$K14+$H14+$E14)</f>
        <v>0</v>
      </c>
      <c r="AS14" s="1087">
        <f>AR14/'État des Résultats'!$AR$14</f>
        <v>0</v>
      </c>
    </row>
    <row r="15" spans="2:58" x14ac:dyDescent="0.15">
      <c r="B15" s="551">
        <v>7715</v>
      </c>
      <c r="C15" s="414" t="s">
        <v>257</v>
      </c>
      <c r="E15" s="621">
        <v>0</v>
      </c>
      <c r="F15" s="553">
        <f>E15/'État des Résultats'!E$14</f>
        <v>0</v>
      </c>
      <c r="G15" s="554" t="s">
        <v>1</v>
      </c>
      <c r="H15" s="621">
        <v>0</v>
      </c>
      <c r="I15" s="553">
        <f>H15/'État des Résultats'!H$14</f>
        <v>0</v>
      </c>
      <c r="K15" s="621">
        <v>0</v>
      </c>
      <c r="L15" s="553">
        <f>K15/'État des Résultats'!K$14</f>
        <v>0</v>
      </c>
      <c r="N15" s="621">
        <v>0</v>
      </c>
      <c r="O15" s="553">
        <f>N15/'État des Résultats'!N$14</f>
        <v>0</v>
      </c>
      <c r="Q15" s="621">
        <v>0</v>
      </c>
      <c r="R15" s="553">
        <f>Q15/'État des Résultats'!Q$14</f>
        <v>0</v>
      </c>
      <c r="T15" s="621">
        <v>0</v>
      </c>
      <c r="U15" s="553">
        <f>T15/'État des Résultats'!T$14</f>
        <v>0</v>
      </c>
      <c r="W15" s="621">
        <v>0</v>
      </c>
      <c r="X15" s="553">
        <f>W15/'État des Résultats'!W$14</f>
        <v>0</v>
      </c>
      <c r="Z15" s="621">
        <v>0</v>
      </c>
      <c r="AA15" s="553">
        <f>Z15/'État des Résultats'!Z$14</f>
        <v>0</v>
      </c>
      <c r="AC15" s="621">
        <v>0</v>
      </c>
      <c r="AD15" s="553">
        <f>AC15/'État des Résultats'!AC$14</f>
        <v>0</v>
      </c>
      <c r="AF15" s="621">
        <v>0</v>
      </c>
      <c r="AG15" s="553">
        <f>AF15/'État des Résultats'!AF$14</f>
        <v>0</v>
      </c>
      <c r="AI15" s="621">
        <v>0</v>
      </c>
      <c r="AJ15" s="553">
        <f>AI15/'État des Résultats'!AI$14</f>
        <v>0</v>
      </c>
      <c r="AL15" s="621">
        <v>0</v>
      </c>
      <c r="AM15" s="553">
        <f>AL15/'État des Résultats'!AL$14</f>
        <v>0</v>
      </c>
      <c r="AO15" s="621">
        <v>0</v>
      </c>
      <c r="AP15" s="553">
        <f>AO15/'État des Résultats'!AO$14</f>
        <v>0</v>
      </c>
      <c r="AQ15"/>
      <c r="AR15" s="1091">
        <f t="shared" si="0"/>
        <v>0</v>
      </c>
      <c r="AS15" s="1087">
        <f>AR15/'État des Résultats'!$AR$14</f>
        <v>0</v>
      </c>
    </row>
    <row r="16" spans="2:58" x14ac:dyDescent="0.15">
      <c r="B16" s="551">
        <v>7720</v>
      </c>
      <c r="C16" s="414" t="s">
        <v>258</v>
      </c>
      <c r="E16" s="621">
        <v>0</v>
      </c>
      <c r="F16" s="553">
        <f>E16/'État des Résultats'!E$14</f>
        <v>0</v>
      </c>
      <c r="H16" s="621">
        <v>0</v>
      </c>
      <c r="I16" s="553">
        <f>H16/'État des Résultats'!H$14</f>
        <v>0</v>
      </c>
      <c r="K16" s="621">
        <v>0</v>
      </c>
      <c r="L16" s="553">
        <f>K16/'État des Résultats'!K$14</f>
        <v>0</v>
      </c>
      <c r="N16" s="621">
        <v>0</v>
      </c>
      <c r="O16" s="553">
        <f>N16/'État des Résultats'!N$14</f>
        <v>0</v>
      </c>
      <c r="Q16" s="621">
        <v>0</v>
      </c>
      <c r="R16" s="553">
        <f>Q16/'État des Résultats'!Q$14</f>
        <v>0</v>
      </c>
      <c r="T16" s="621">
        <v>0</v>
      </c>
      <c r="U16" s="553">
        <f>T16/'État des Résultats'!T$14</f>
        <v>0</v>
      </c>
      <c r="W16" s="621">
        <v>0</v>
      </c>
      <c r="X16" s="553">
        <f>W16/'État des Résultats'!W$14</f>
        <v>0</v>
      </c>
      <c r="Z16" s="621">
        <v>0</v>
      </c>
      <c r="AA16" s="553">
        <f>Z16/'État des Résultats'!Z$14</f>
        <v>0</v>
      </c>
      <c r="AC16" s="621">
        <v>0</v>
      </c>
      <c r="AD16" s="553">
        <f>AC16/'État des Résultats'!AC$14</f>
        <v>0</v>
      </c>
      <c r="AF16" s="621">
        <v>0</v>
      </c>
      <c r="AG16" s="553">
        <f>AF16/'État des Résultats'!AF$14</f>
        <v>0</v>
      </c>
      <c r="AI16" s="621">
        <v>0</v>
      </c>
      <c r="AJ16" s="553">
        <f>AI16/'État des Résultats'!AI$14</f>
        <v>0</v>
      </c>
      <c r="AL16" s="621">
        <v>0</v>
      </c>
      <c r="AM16" s="553">
        <f>AL16/'État des Résultats'!AL$14</f>
        <v>0</v>
      </c>
      <c r="AO16" s="621">
        <v>0</v>
      </c>
      <c r="AP16" s="553">
        <f>AO16/'État des Résultats'!AO$14</f>
        <v>0</v>
      </c>
      <c r="AQ16"/>
      <c r="AR16" s="1091">
        <f t="shared" si="0"/>
        <v>0</v>
      </c>
      <c r="AS16" s="1087">
        <f>AR16/'État des Résultats'!$AR$14</f>
        <v>0</v>
      </c>
    </row>
    <row r="17" spans="2:71" x14ac:dyDescent="0.15">
      <c r="B17" s="551">
        <v>7725</v>
      </c>
      <c r="C17" s="414" t="s">
        <v>259</v>
      </c>
      <c r="E17" s="621">
        <v>0</v>
      </c>
      <c r="F17" s="553">
        <f>E17/'État des Résultats'!E$14</f>
        <v>0</v>
      </c>
      <c r="H17" s="621">
        <v>0</v>
      </c>
      <c r="I17" s="553">
        <f>H17/'État des Résultats'!H$14</f>
        <v>0</v>
      </c>
      <c r="K17" s="621">
        <v>0</v>
      </c>
      <c r="L17" s="553">
        <f>K17/'État des Résultats'!K$14</f>
        <v>0</v>
      </c>
      <c r="N17" s="621">
        <v>0</v>
      </c>
      <c r="O17" s="553">
        <f>N17/'État des Résultats'!N$14</f>
        <v>0</v>
      </c>
      <c r="Q17" s="621">
        <v>0</v>
      </c>
      <c r="R17" s="553">
        <f>Q17/'État des Résultats'!Q$14</f>
        <v>0</v>
      </c>
      <c r="T17" s="621">
        <v>0</v>
      </c>
      <c r="U17" s="553">
        <f>T17/'État des Résultats'!T$14</f>
        <v>0</v>
      </c>
      <c r="W17" s="621">
        <v>0</v>
      </c>
      <c r="X17" s="553">
        <f>W17/'État des Résultats'!W$14</f>
        <v>0</v>
      </c>
      <c r="Z17" s="621">
        <v>0</v>
      </c>
      <c r="AA17" s="553">
        <f>Z17/'État des Résultats'!Z$14</f>
        <v>0</v>
      </c>
      <c r="AC17" s="621">
        <v>0</v>
      </c>
      <c r="AD17" s="553">
        <f>AC17/'État des Résultats'!AC$14</f>
        <v>0</v>
      </c>
      <c r="AF17" s="621">
        <v>0</v>
      </c>
      <c r="AG17" s="553">
        <f>AF17/'État des Résultats'!AF$14</f>
        <v>0</v>
      </c>
      <c r="AI17" s="621">
        <v>0</v>
      </c>
      <c r="AJ17" s="553">
        <f>AI17/'État des Résultats'!AI$14</f>
        <v>0</v>
      </c>
      <c r="AL17" s="621">
        <v>0</v>
      </c>
      <c r="AM17" s="553">
        <f>AL17/'État des Résultats'!AL$14</f>
        <v>0</v>
      </c>
      <c r="AO17" s="621">
        <v>0</v>
      </c>
      <c r="AP17" s="553">
        <f>AO17/'État des Résultats'!AO$14</f>
        <v>0</v>
      </c>
      <c r="AQ17"/>
      <c r="AR17" s="1091">
        <f t="shared" si="0"/>
        <v>0</v>
      </c>
      <c r="AS17" s="1087">
        <f>AR17/'État des Résultats'!$AR$14</f>
        <v>0</v>
      </c>
    </row>
    <row r="18" spans="2:71" x14ac:dyDescent="0.15">
      <c r="B18" s="551">
        <v>7730</v>
      </c>
      <c r="C18" s="414" t="s">
        <v>260</v>
      </c>
      <c r="E18" s="621">
        <v>0</v>
      </c>
      <c r="F18" s="553">
        <f>E18/'État des Résultats'!E$14</f>
        <v>0</v>
      </c>
      <c r="H18" s="621">
        <v>0</v>
      </c>
      <c r="I18" s="553">
        <f>H18/'État des Résultats'!H$14</f>
        <v>0</v>
      </c>
      <c r="K18" s="621">
        <v>0</v>
      </c>
      <c r="L18" s="553">
        <f>K18/'État des Résultats'!K$14</f>
        <v>0</v>
      </c>
      <c r="N18" s="621">
        <v>0</v>
      </c>
      <c r="O18" s="553">
        <f>N18/'État des Résultats'!N$14</f>
        <v>0</v>
      </c>
      <c r="Q18" s="621">
        <v>0</v>
      </c>
      <c r="R18" s="553">
        <f>Q18/'État des Résultats'!Q$14</f>
        <v>0</v>
      </c>
      <c r="T18" s="621">
        <v>0</v>
      </c>
      <c r="U18" s="553">
        <f>T18/'État des Résultats'!T$14</f>
        <v>0</v>
      </c>
      <c r="W18" s="621">
        <v>0</v>
      </c>
      <c r="X18" s="553">
        <f>W18/'État des Résultats'!W$14</f>
        <v>0</v>
      </c>
      <c r="Z18" s="621">
        <v>0</v>
      </c>
      <c r="AA18" s="553">
        <f>Z18/'État des Résultats'!Z$14</f>
        <v>0</v>
      </c>
      <c r="AC18" s="621">
        <v>0</v>
      </c>
      <c r="AD18" s="553">
        <f>AC18/'État des Résultats'!AC$14</f>
        <v>0</v>
      </c>
      <c r="AF18" s="621">
        <v>0</v>
      </c>
      <c r="AG18" s="553">
        <f>AF18/'État des Résultats'!AF$14</f>
        <v>0</v>
      </c>
      <c r="AI18" s="621">
        <v>0</v>
      </c>
      <c r="AJ18" s="553">
        <f>AI18/'État des Résultats'!AI$14</f>
        <v>0</v>
      </c>
      <c r="AL18" s="621">
        <v>0</v>
      </c>
      <c r="AM18" s="553">
        <f>AL18/'État des Résultats'!AL$14</f>
        <v>0</v>
      </c>
      <c r="AO18" s="621">
        <v>0</v>
      </c>
      <c r="AP18" s="553">
        <f>AO18/'État des Résultats'!AO$14</f>
        <v>0</v>
      </c>
      <c r="AQ18"/>
      <c r="AR18" s="1091">
        <f t="shared" si="0"/>
        <v>0</v>
      </c>
      <c r="AS18" s="1087">
        <f>AR18/'État des Résultats'!$AR$14</f>
        <v>0</v>
      </c>
      <c r="AU18" s="139"/>
    </row>
    <row r="19" spans="2:71" x14ac:dyDescent="0.15">
      <c r="B19" s="551">
        <v>7790</v>
      </c>
      <c r="C19" s="414" t="s">
        <v>261</v>
      </c>
      <c r="E19" s="621">
        <v>0</v>
      </c>
      <c r="F19" s="553">
        <f>E19/'État des Résultats'!E$14</f>
        <v>0</v>
      </c>
      <c r="H19" s="621">
        <v>0</v>
      </c>
      <c r="I19" s="553">
        <f>H19/'État des Résultats'!H$14</f>
        <v>0</v>
      </c>
      <c r="K19" s="621">
        <v>0</v>
      </c>
      <c r="L19" s="553">
        <f>K19/'État des Résultats'!K$14</f>
        <v>0</v>
      </c>
      <c r="N19" s="621">
        <v>0</v>
      </c>
      <c r="O19" s="553">
        <f>N19/'État des Résultats'!N$14</f>
        <v>0</v>
      </c>
      <c r="Q19" s="621">
        <v>0</v>
      </c>
      <c r="R19" s="553">
        <f>Q19/'État des Résultats'!Q$14</f>
        <v>0</v>
      </c>
      <c r="T19" s="621">
        <v>0</v>
      </c>
      <c r="U19" s="553">
        <f>T19/'État des Résultats'!T$14</f>
        <v>0</v>
      </c>
      <c r="W19" s="621">
        <v>0</v>
      </c>
      <c r="X19" s="553">
        <f>W19/'État des Résultats'!W$14</f>
        <v>0</v>
      </c>
      <c r="Z19" s="621">
        <v>0</v>
      </c>
      <c r="AA19" s="553">
        <f>Z19/'État des Résultats'!Z$14</f>
        <v>0</v>
      </c>
      <c r="AC19" s="621">
        <v>0</v>
      </c>
      <c r="AD19" s="553">
        <f>AC19/'État des Résultats'!AC$14</f>
        <v>0</v>
      </c>
      <c r="AF19" s="621">
        <v>0</v>
      </c>
      <c r="AG19" s="553">
        <f>AF19/'État des Résultats'!AF$14</f>
        <v>0</v>
      </c>
      <c r="AI19" s="621">
        <v>0</v>
      </c>
      <c r="AJ19" s="553">
        <f>AI19/'État des Résultats'!AI$14</f>
        <v>0</v>
      </c>
      <c r="AL19" s="621">
        <v>0</v>
      </c>
      <c r="AM19" s="553">
        <f>AL19/'État des Résultats'!AL$14</f>
        <v>0</v>
      </c>
      <c r="AO19" s="621">
        <v>0</v>
      </c>
      <c r="AP19" s="553">
        <f>AO19/'État des Résultats'!AO$14</f>
        <v>0</v>
      </c>
      <c r="AQ19"/>
      <c r="AR19" s="1091">
        <f t="shared" si="0"/>
        <v>0</v>
      </c>
      <c r="AS19" s="1087">
        <f>AR19/'État des Résultats'!$AR$14</f>
        <v>0</v>
      </c>
    </row>
    <row r="20" spans="2:71" x14ac:dyDescent="0.15">
      <c r="B20" s="551">
        <v>7795</v>
      </c>
      <c r="C20" s="414" t="s">
        <v>262</v>
      </c>
      <c r="E20" s="621">
        <v>0</v>
      </c>
      <c r="F20" s="553">
        <f>E20/'État des Résultats'!E$14</f>
        <v>0</v>
      </c>
      <c r="H20" s="621">
        <v>0</v>
      </c>
      <c r="I20" s="553">
        <f>H20/'État des Résultats'!H$14</f>
        <v>0</v>
      </c>
      <c r="K20" s="621">
        <v>0</v>
      </c>
      <c r="L20" s="553">
        <f>K20/'État des Résultats'!K$14</f>
        <v>0</v>
      </c>
      <c r="N20" s="621">
        <v>0</v>
      </c>
      <c r="O20" s="553">
        <f>N20/'État des Résultats'!N$14</f>
        <v>0</v>
      </c>
      <c r="Q20" s="621">
        <v>0</v>
      </c>
      <c r="R20" s="553">
        <f>Q20/'État des Résultats'!Q$14</f>
        <v>0</v>
      </c>
      <c r="T20" s="621">
        <v>0</v>
      </c>
      <c r="U20" s="553">
        <f>T20/'État des Résultats'!T$14</f>
        <v>0</v>
      </c>
      <c r="W20" s="621">
        <v>0</v>
      </c>
      <c r="X20" s="553">
        <f>W20/'État des Résultats'!W$14</f>
        <v>0</v>
      </c>
      <c r="Z20" s="621">
        <v>0</v>
      </c>
      <c r="AA20" s="553">
        <f>Z20/'État des Résultats'!Z$14</f>
        <v>0</v>
      </c>
      <c r="AC20" s="621">
        <v>0</v>
      </c>
      <c r="AD20" s="553">
        <f>AC20/'État des Résultats'!AC$14</f>
        <v>0</v>
      </c>
      <c r="AF20" s="621">
        <v>0</v>
      </c>
      <c r="AG20" s="553">
        <f>AF20/'État des Résultats'!AF$14</f>
        <v>0</v>
      </c>
      <c r="AI20" s="621">
        <v>0</v>
      </c>
      <c r="AJ20" s="553">
        <f>AI20/'État des Résultats'!AI$14</f>
        <v>0</v>
      </c>
      <c r="AL20" s="621">
        <v>0</v>
      </c>
      <c r="AM20" s="553">
        <f>AL20/'État des Résultats'!AL$14</f>
        <v>0</v>
      </c>
      <c r="AO20" s="621">
        <v>0</v>
      </c>
      <c r="AP20" s="553">
        <f>AO20/'État des Résultats'!AO$14</f>
        <v>0</v>
      </c>
      <c r="AQ20"/>
      <c r="AR20" s="1091">
        <f t="shared" si="0"/>
        <v>0</v>
      </c>
      <c r="AS20" s="1087">
        <f>AR20/'État des Résultats'!$AR$14</f>
        <v>0</v>
      </c>
    </row>
    <row r="21" spans="2:71" x14ac:dyDescent="0.15">
      <c r="B21" s="551">
        <v>7799</v>
      </c>
      <c r="C21" s="414" t="s">
        <v>263</v>
      </c>
      <c r="E21" s="621">
        <v>0</v>
      </c>
      <c r="F21" s="553">
        <f>E21/'État des Résultats'!E$14</f>
        <v>0</v>
      </c>
      <c r="H21" s="621">
        <v>0</v>
      </c>
      <c r="I21" s="553">
        <f>H21/'État des Résultats'!H$14</f>
        <v>0</v>
      </c>
      <c r="K21" s="621">
        <v>0</v>
      </c>
      <c r="L21" s="553">
        <f>K21/'État des Résultats'!K$14</f>
        <v>0</v>
      </c>
      <c r="N21" s="621">
        <v>0</v>
      </c>
      <c r="O21" s="553">
        <f>N21/'État des Résultats'!N$14</f>
        <v>0</v>
      </c>
      <c r="Q21" s="621">
        <v>0</v>
      </c>
      <c r="R21" s="553">
        <f>Q21/'État des Résultats'!Q$14</f>
        <v>0</v>
      </c>
      <c r="T21" s="621">
        <v>0</v>
      </c>
      <c r="U21" s="553">
        <f>T21/'État des Résultats'!T$14</f>
        <v>0</v>
      </c>
      <c r="W21" s="621">
        <v>0</v>
      </c>
      <c r="X21" s="553">
        <f>W21/'État des Résultats'!W$14</f>
        <v>0</v>
      </c>
      <c r="Z21" s="621">
        <v>0</v>
      </c>
      <c r="AA21" s="553">
        <f>Z21/'État des Résultats'!Z$14</f>
        <v>0</v>
      </c>
      <c r="AC21" s="621">
        <v>0</v>
      </c>
      <c r="AD21" s="553">
        <f>AC21/'État des Résultats'!AC$14</f>
        <v>0</v>
      </c>
      <c r="AF21" s="621">
        <v>0</v>
      </c>
      <c r="AG21" s="553">
        <f>AF21/'État des Résultats'!AF$14</f>
        <v>0</v>
      </c>
      <c r="AI21" s="621">
        <v>0</v>
      </c>
      <c r="AJ21" s="553">
        <f>AI21/'État des Résultats'!AI$14</f>
        <v>0</v>
      </c>
      <c r="AL21" s="621">
        <v>0</v>
      </c>
      <c r="AM21" s="553">
        <f>AL21/'État des Résultats'!AL$14</f>
        <v>0</v>
      </c>
      <c r="AO21" s="621">
        <v>0</v>
      </c>
      <c r="AP21" s="553">
        <f>AO21/'État des Résultats'!AO$14</f>
        <v>0</v>
      </c>
      <c r="AQ21"/>
      <c r="AR21" s="1091">
        <f t="shared" si="0"/>
        <v>0</v>
      </c>
      <c r="AS21" s="1087">
        <f>AR21/'État des Résultats'!$AR$14</f>
        <v>0</v>
      </c>
    </row>
    <row r="22" spans="2:71" ht="14" thickBot="1" x14ac:dyDescent="0.2">
      <c r="B22" s="551"/>
      <c r="C22" s="414"/>
      <c r="E22" s="621"/>
      <c r="F22" s="623"/>
      <c r="H22" s="621"/>
      <c r="I22" s="623"/>
      <c r="K22" s="621"/>
      <c r="L22" s="623"/>
      <c r="N22" s="621"/>
      <c r="O22" s="623"/>
      <c r="Q22" s="621"/>
      <c r="R22" s="623"/>
      <c r="T22" s="621"/>
      <c r="U22" s="623"/>
      <c r="W22" s="621"/>
      <c r="X22" s="623"/>
      <c r="Z22" s="621"/>
      <c r="AA22" s="623"/>
      <c r="AC22" s="621"/>
      <c r="AD22" s="623"/>
      <c r="AF22" s="621"/>
      <c r="AG22" s="623"/>
      <c r="AI22" s="621"/>
      <c r="AJ22" s="623"/>
      <c r="AL22" s="621"/>
      <c r="AM22" s="623"/>
      <c r="AO22" s="636"/>
      <c r="AP22" s="637"/>
      <c r="AQ22"/>
      <c r="AR22" s="1091"/>
      <c r="AS22" s="1092"/>
    </row>
    <row r="23" spans="2:71" ht="15" thickTop="1" thickBot="1" x14ac:dyDescent="0.2">
      <c r="B23" s="560">
        <v>7700</v>
      </c>
      <c r="C23" s="561" t="s">
        <v>264</v>
      </c>
      <c r="D23" s="381"/>
      <c r="E23" s="624">
        <f>SUM(E13:E21)</f>
        <v>923.07692307692309</v>
      </c>
      <c r="F23" s="563">
        <f>SUM(F13:F21)</f>
        <v>3.3624879721003163E-2</v>
      </c>
      <c r="G23" s="381"/>
      <c r="H23" s="624">
        <f>SUM(H13:H21)</f>
        <v>923.07692307692309</v>
      </c>
      <c r="I23" s="563">
        <f>SUM(I13:I22)</f>
        <v>3.3624879721003163E-2</v>
      </c>
      <c r="J23" s="381"/>
      <c r="K23" s="624">
        <f>SUM(K13:K21)</f>
        <v>923.07692307692309</v>
      </c>
      <c r="L23" s="563">
        <f>SUM(L13:L22)</f>
        <v>2.3375190507802641E-2</v>
      </c>
      <c r="M23" s="381"/>
      <c r="N23" s="624">
        <f>SUM(N13:N21)</f>
        <v>923.07692307692309</v>
      </c>
      <c r="O23" s="563">
        <f>SUM(O13:O22)</f>
        <v>1.7201827156578288E-2</v>
      </c>
      <c r="P23" s="381"/>
      <c r="Q23" s="624">
        <f>SUM(Q13:Q21)</f>
        <v>923.07692307692309</v>
      </c>
      <c r="R23" s="563">
        <f>SUM(R13:R22)</f>
        <v>1.3944260433466051E-2</v>
      </c>
      <c r="S23" s="381"/>
      <c r="T23" s="624">
        <f>SUM(T13:T21)</f>
        <v>923.07692307692309</v>
      </c>
      <c r="U23" s="563">
        <f>SUM(U13:U22)</f>
        <v>1.1724040272811088E-2</v>
      </c>
      <c r="V23" s="381"/>
      <c r="W23" s="624">
        <f>SUM(W13:W21)</f>
        <v>923.07692307692309</v>
      </c>
      <c r="X23" s="563">
        <f>SUM(X13:X22)</f>
        <v>9.7441386904696895E-3</v>
      </c>
      <c r="Y23" s="381"/>
      <c r="Z23" s="624">
        <f>SUM(Z13:Z21)</f>
        <v>923.07692307692309</v>
      </c>
      <c r="AA23" s="563">
        <f>SUM(AA13:AA22)</f>
        <v>8.5521536968831292E-3</v>
      </c>
      <c r="AB23" s="381"/>
      <c r="AC23" s="624">
        <f>SUM(AC13:AC21)</f>
        <v>923.07692307692309</v>
      </c>
      <c r="AD23" s="563">
        <f>SUM(AD13:AD22)</f>
        <v>8.5521536968831292E-3</v>
      </c>
      <c r="AE23" s="381"/>
      <c r="AF23" s="624">
        <f>SUM(AF13:AF21)</f>
        <v>923.07692307692309</v>
      </c>
      <c r="AG23" s="563">
        <f>SUM(AG13:AG22)</f>
        <v>8.2370338983203551E-3</v>
      </c>
      <c r="AH23" s="381"/>
      <c r="AI23" s="624">
        <f>SUM(AI13:AI21)</f>
        <v>923.07692307692309</v>
      </c>
      <c r="AJ23" s="563">
        <f>SUM(AJ13:AJ22)</f>
        <v>8.2370338983203551E-3</v>
      </c>
      <c r="AK23" s="381"/>
      <c r="AL23" s="624">
        <f>SUM(AL13:AL21)</f>
        <v>923.07692307692309</v>
      </c>
      <c r="AM23" s="563">
        <f>SUM(AM13:AM22)</f>
        <v>9.368405155105463E-3</v>
      </c>
      <c r="AN23" s="381"/>
      <c r="AO23" s="624">
        <f>SUM(AO13:AO21)</f>
        <v>923.07692307692309</v>
      </c>
      <c r="AP23" s="563">
        <f>SUM(AP13:AP21)</f>
        <v>9.0354764429317058E-3</v>
      </c>
      <c r="AQ23"/>
      <c r="AR23" s="624">
        <f>SUM(AR13:AR21)</f>
        <v>12000.000000000002</v>
      </c>
      <c r="AS23" s="563">
        <f>SUM(AS13:AS21)</f>
        <v>1.1668507560106272E-2</v>
      </c>
      <c r="AT23" s="381"/>
      <c r="AU23" s="381"/>
      <c r="AV23" s="381"/>
      <c r="AW23" s="545"/>
    </row>
    <row r="24" spans="2:71" ht="14" thickTop="1" x14ac:dyDescent="0.15">
      <c r="L24" s="279"/>
      <c r="O24" s="279"/>
      <c r="R24" s="279"/>
      <c r="U24" s="279"/>
      <c r="X24" s="279"/>
      <c r="AA24" s="279"/>
      <c r="AD24" s="279"/>
      <c r="AG24" s="279"/>
      <c r="AJ24" s="279"/>
      <c r="AM24" s="279"/>
      <c r="AP24" s="279"/>
      <c r="AQ24" s="279"/>
      <c r="AR24" s="279"/>
      <c r="AS24" s="279"/>
    </row>
    <row r="25" spans="2:71" x14ac:dyDescent="0.15">
      <c r="R25" s="279"/>
      <c r="U25" s="279"/>
      <c r="X25" s="279"/>
      <c r="AD25" s="279"/>
      <c r="AG25" s="279"/>
      <c r="AJ25" s="279"/>
      <c r="AM25" s="279"/>
    </row>
    <row r="26" spans="2:71" x14ac:dyDescent="0.15">
      <c r="U26" s="279"/>
      <c r="AG26" s="279"/>
      <c r="AJ26" s="279"/>
      <c r="AM26" s="279"/>
    </row>
    <row r="27" spans="2:71" x14ac:dyDescent="0.15">
      <c r="C27" s="138" t="s">
        <v>1</v>
      </c>
      <c r="E27" s="138" t="s">
        <v>1</v>
      </c>
      <c r="G27" s="138" t="s">
        <v>1</v>
      </c>
      <c r="H27" s="138" t="s">
        <v>1</v>
      </c>
      <c r="U27" s="279"/>
      <c r="AG27" s="279"/>
      <c r="AJ27" s="279"/>
      <c r="AM27" s="279"/>
    </row>
    <row r="28" spans="2:71" x14ac:dyDescent="0.15">
      <c r="H28" s="138" t="s">
        <v>1</v>
      </c>
      <c r="AG28" s="279"/>
      <c r="AJ28" s="279"/>
      <c r="AM28" s="279"/>
    </row>
    <row r="29" spans="2:71" x14ac:dyDescent="0.15">
      <c r="H29" s="138" t="s">
        <v>1</v>
      </c>
      <c r="AM29" s="279"/>
    </row>
    <row r="30" spans="2:71" x14ac:dyDescent="0.15">
      <c r="H30" s="138" t="s">
        <v>1</v>
      </c>
      <c r="BD30" s="336"/>
      <c r="BE30" s="336"/>
      <c r="BF30" s="336"/>
      <c r="BG30" s="336"/>
      <c r="BH30" s="336"/>
      <c r="BI30" s="336"/>
      <c r="BJ30" s="336"/>
      <c r="BK30" s="336"/>
      <c r="BL30" s="336"/>
      <c r="BM30" s="336"/>
      <c r="BN30" s="336"/>
      <c r="BO30" s="336"/>
      <c r="BP30" s="336"/>
      <c r="BQ30" s="336"/>
      <c r="BR30" s="336"/>
      <c r="BS30" s="336"/>
    </row>
    <row r="31" spans="2:71" x14ac:dyDescent="0.15">
      <c r="H31" s="138" t="s">
        <v>1</v>
      </c>
    </row>
    <row r="32" spans="2:71" x14ac:dyDescent="0.15">
      <c r="H32" s="138" t="s">
        <v>1</v>
      </c>
    </row>
    <row r="42" spans="8:8" x14ac:dyDescent="0.15">
      <c r="H42" s="625"/>
    </row>
  </sheetData>
  <sheetProtection algorithmName="SHA-512" hashValue="Sq0ZfmmRD96Rm9WeuBelbX3WyrycJn01YXLiprLCi5wMxYEpABYC60uaYJQdpIccY38IRI1OJQKpW0OT5TJZhg==" saltValue="Z8FGwrxRy77RgSL7JRxkbQ==" spinCount="100000" sheet="1" objects="1" scenarios="1"/>
  <mergeCells count="9">
    <mergeCell ref="B9:C9"/>
    <mergeCell ref="B2:C2"/>
    <mergeCell ref="AU2:AU8"/>
    <mergeCell ref="BE2:BE8"/>
    <mergeCell ref="B3:C3"/>
    <mergeCell ref="B4:C4"/>
    <mergeCell ref="B6:C6"/>
    <mergeCell ref="B7:C7"/>
    <mergeCell ref="B8:C8"/>
  </mergeCells>
  <hyperlinks>
    <hyperlink ref="C11" r:id="rId1" display="Services publics" xr:uid="{8D1B7CE4-394C-E745-8F2A-CB925069F9FB}"/>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F98A4-70CA-9A4E-8914-4B3EAB790386}">
  <sheetPr codeName="Feuil13">
    <tabColor theme="1"/>
    <pageSetUpPr fitToPage="1"/>
  </sheetPr>
  <dimension ref="B1:BS48"/>
  <sheetViews>
    <sheetView zoomScale="125" zoomScaleNormal="125" zoomScalePageLayoutView="125" workbookViewId="0">
      <selection activeCell="K20" sqref="K20"/>
    </sheetView>
  </sheetViews>
  <sheetFormatPr baseColWidth="10" defaultRowHeight="13" x14ac:dyDescent="0.15"/>
  <cols>
    <col min="1" max="1" width="2.1640625" style="138" customWidth="1"/>
    <col min="2" max="2" width="5.1640625" style="138" customWidth="1"/>
    <col min="3" max="3" width="46.33203125" style="138" customWidth="1"/>
    <col min="4" max="4" width="0.83203125" style="138" customWidth="1"/>
    <col min="5" max="5" width="14.33203125" style="138" customWidth="1"/>
    <col min="6" max="6" width="7.83203125" style="138" customWidth="1"/>
    <col min="7" max="7" width="0.83203125" style="138" customWidth="1"/>
    <col min="8" max="8" width="14.33203125" style="138" customWidth="1"/>
    <col min="9" max="9" width="7.83203125" style="138" customWidth="1"/>
    <col min="10" max="10" width="0.83203125" style="138" customWidth="1"/>
    <col min="11" max="11" width="14.33203125" style="138" customWidth="1"/>
    <col min="12" max="12" width="7.83203125" style="138" customWidth="1"/>
    <col min="13" max="13" width="0.83203125" style="138" customWidth="1"/>
    <col min="14" max="14" width="14.33203125" style="138" customWidth="1"/>
    <col min="15" max="15" width="7.83203125" style="138" customWidth="1"/>
    <col min="16" max="16" width="0.83203125" style="138" customWidth="1"/>
    <col min="17" max="17" width="14.33203125" style="138" customWidth="1"/>
    <col min="18" max="18" width="7.83203125" style="138" customWidth="1"/>
    <col min="19" max="19" width="0.83203125" style="138" customWidth="1"/>
    <col min="20" max="20" width="14.33203125" style="138" customWidth="1"/>
    <col min="21" max="21" width="7.83203125" style="138" customWidth="1"/>
    <col min="22" max="22" width="0.83203125" style="138" customWidth="1"/>
    <col min="23" max="23" width="14.33203125" style="138" customWidth="1"/>
    <col min="24" max="24" width="7.83203125" style="138" customWidth="1"/>
    <col min="25" max="25" width="0.83203125" style="138" customWidth="1"/>
    <col min="26" max="26" width="14.33203125" style="138" customWidth="1"/>
    <col min="27" max="27" width="7.83203125" style="138" customWidth="1"/>
    <col min="28" max="28" width="0.83203125" style="138" customWidth="1"/>
    <col min="29" max="29" width="14.33203125" style="138" customWidth="1"/>
    <col min="30" max="30" width="7.83203125" style="138" customWidth="1"/>
    <col min="31" max="31" width="0.83203125" style="138" customWidth="1"/>
    <col min="32" max="32" width="14.33203125" style="138" customWidth="1"/>
    <col min="33" max="33" width="7.83203125" style="138" customWidth="1"/>
    <col min="34" max="34" width="0.83203125" style="138" customWidth="1"/>
    <col min="35" max="35" width="14.33203125" style="138" customWidth="1"/>
    <col min="36" max="36" width="7.83203125" style="138" customWidth="1"/>
    <col min="37" max="37" width="0.83203125" style="138" customWidth="1"/>
    <col min="38" max="38" width="14.33203125" style="138" customWidth="1"/>
    <col min="39" max="39" width="7.83203125" style="138" customWidth="1"/>
    <col min="40" max="40" width="0.83203125" style="138" customWidth="1"/>
    <col min="41" max="41" width="14.33203125" style="138" customWidth="1"/>
    <col min="42" max="42" width="8.1640625" style="138" customWidth="1"/>
    <col min="43" max="43" width="2" style="138" customWidth="1"/>
    <col min="44" max="44" width="15.6640625" style="138" customWidth="1"/>
    <col min="45" max="45" width="8.1640625" style="138" customWidth="1"/>
    <col min="46" max="46" width="3" style="138" customWidth="1"/>
    <col min="47" max="47" width="10.83203125" style="138"/>
    <col min="48" max="48" width="14.6640625" style="138" bestFit="1" customWidth="1"/>
    <col min="49" max="49" width="2.5" style="138" bestFit="1" customWidth="1"/>
    <col min="50" max="50" width="26.83203125" style="138" bestFit="1" customWidth="1"/>
    <col min="51" max="51" width="2.5" style="138" bestFit="1" customWidth="1"/>
    <col min="52" max="52" width="2" style="138" bestFit="1" customWidth="1"/>
    <col min="53" max="53" width="10.83203125" style="138"/>
    <col min="54" max="54" width="2.5" style="138" bestFit="1" customWidth="1"/>
    <col min="55" max="55" width="10.83203125" style="138"/>
    <col min="56" max="56" width="2" style="138" bestFit="1" customWidth="1"/>
    <col min="57" max="16384" width="10.83203125" style="138"/>
  </cols>
  <sheetData>
    <row r="1" spans="2:58" ht="14" thickBot="1" x14ac:dyDescent="0.2"/>
    <row r="2" spans="2:58" ht="20" customHeight="1" thickTop="1" x14ac:dyDescent="0.2">
      <c r="B2" s="1546" t="str">
        <f>'État des Résultats'!C2</f>
        <v>Votre entreprise inc.</v>
      </c>
      <c r="C2" s="1547"/>
      <c r="AU2" s="1572" t="s">
        <v>45</v>
      </c>
      <c r="AV2" s="701"/>
      <c r="AW2" s="701"/>
      <c r="AX2" s="701"/>
      <c r="AY2" s="701"/>
      <c r="AZ2" s="701"/>
      <c r="BA2" s="701"/>
      <c r="BB2" s="701"/>
      <c r="BC2" s="701"/>
      <c r="BD2" s="701"/>
      <c r="BE2" s="1575" t="s">
        <v>46</v>
      </c>
    </row>
    <row r="3" spans="2:58" ht="20" customHeight="1" x14ac:dyDescent="0.2">
      <c r="B3" s="1554" t="str">
        <f>'État des Résultats'!C3</f>
        <v xml:space="preserve">États des résultats </v>
      </c>
      <c r="C3" s="1555"/>
      <c r="AU3" s="1573"/>
      <c r="AV3" s="702"/>
      <c r="AW3" s="702"/>
      <c r="AX3" s="702"/>
      <c r="AY3" s="702"/>
      <c r="AZ3" s="702"/>
      <c r="BA3" s="702"/>
      <c r="BB3" s="702"/>
      <c r="BC3" s="702"/>
      <c r="BD3" s="702"/>
      <c r="BE3" s="1576"/>
    </row>
    <row r="4" spans="2:58" ht="20" customHeight="1" thickBot="1" x14ac:dyDescent="0.3">
      <c r="B4" s="1556" t="str">
        <f>'État des Résultats'!C4</f>
        <v>Pour la période du 2 janvier 2023 au 31 décembre 2023</v>
      </c>
      <c r="C4" s="1557"/>
      <c r="AU4" s="1573"/>
      <c r="AV4" s="703" t="str">
        <f>'[1]Formule pour le calcul D'!BA103</f>
        <v>Coût annuel</v>
      </c>
      <c r="AW4" s="703" t="s">
        <v>48</v>
      </c>
      <c r="AX4" s="703" t="str">
        <f>'[1]Formule pour le calcul D'!BC103</f>
        <v>Achalandage annuelle</v>
      </c>
      <c r="AY4" s="703" t="s">
        <v>50</v>
      </c>
      <c r="AZ4" s="703" t="s">
        <v>51</v>
      </c>
      <c r="BA4" s="703" t="str">
        <f>'[1]Formule pour le calcul D'!BF103</f>
        <v>Um/A</v>
      </c>
      <c r="BB4" s="703" t="s">
        <v>50</v>
      </c>
      <c r="BC4" s="703" t="str">
        <f>'[1]Formule pour le calcul D'!BH103</f>
        <v>CmO</v>
      </c>
      <c r="BD4" s="703" t="s">
        <v>54</v>
      </c>
      <c r="BE4" s="1576"/>
    </row>
    <row r="5" spans="2:58" ht="21" thickTop="1" thickBot="1" x14ac:dyDescent="0.3">
      <c r="AU5" s="1573"/>
      <c r="AV5" s="704" t="s">
        <v>1</v>
      </c>
      <c r="AW5" s="184"/>
      <c r="AX5" s="704"/>
      <c r="AY5" s="184"/>
      <c r="AZ5" s="184"/>
      <c r="BA5" s="184"/>
      <c r="BB5" s="184"/>
      <c r="BC5" s="184"/>
      <c r="BD5" s="184"/>
      <c r="BE5" s="1576"/>
    </row>
    <row r="6" spans="2:58" ht="27" thickTop="1" x14ac:dyDescent="0.3">
      <c r="B6" s="1489" t="str">
        <f>'État des Résultats'!C6</f>
        <v>Nb de places</v>
      </c>
      <c r="C6" s="1578"/>
      <c r="E6" s="530" t="str">
        <f>'Services publics'!E6</f>
        <v>Coût / place / jour</v>
      </c>
      <c r="F6" s="531">
        <f>E29/B7/'Calendrier 2023'!D7</f>
        <v>0.81702976190476195</v>
      </c>
      <c r="G6" s="336"/>
      <c r="H6" s="530" t="str">
        <f>+E6</f>
        <v>Coût / place / jour</v>
      </c>
      <c r="I6" s="531">
        <f>H29/B7/'Calendrier 2023'!E7</f>
        <v>0.81702976190476195</v>
      </c>
      <c r="J6" s="336"/>
      <c r="K6" s="530" t="str">
        <f>+H6</f>
        <v>Coût / place / jour</v>
      </c>
      <c r="L6" s="531">
        <f>K29/B7/'Calendrier 2023'!F7</f>
        <v>1.1752857142857143</v>
      </c>
      <c r="M6" s="336"/>
      <c r="N6" s="530" t="str">
        <f>+K6</f>
        <v>Coût / place / jour</v>
      </c>
      <c r="O6" s="531">
        <f>N29/B7/'Calendrier 2023'!G7</f>
        <v>1.5970703124999999</v>
      </c>
      <c r="P6" s="532"/>
      <c r="Q6" s="530" t="str">
        <f>+N6</f>
        <v>Coût / place / jour</v>
      </c>
      <c r="R6" s="531">
        <f>Q29/B7/'Calendrier 2023'!H7</f>
        <v>1.9701674107142859</v>
      </c>
      <c r="S6" s="532"/>
      <c r="T6" s="530" t="str">
        <f>+Q6</f>
        <v>Coût / place / jour</v>
      </c>
      <c r="U6" s="531">
        <f>T29/B7/'Calendrier 2023'!I7</f>
        <v>2.3432645089285722</v>
      </c>
      <c r="V6" s="336"/>
      <c r="W6" s="530" t="str">
        <f>+T6</f>
        <v>Coût / place / jour</v>
      </c>
      <c r="X6" s="531">
        <f>W29/B7/'Calendrier 2023'!J7</f>
        <v>2.8193900297619052</v>
      </c>
      <c r="Y6" s="336"/>
      <c r="Z6" s="530" t="str">
        <f>+W6</f>
        <v>Coût / place / jour</v>
      </c>
      <c r="AA6" s="531">
        <f>Z29/B7/'Calendrier 2023'!K7</f>
        <v>3.2123519345238103</v>
      </c>
      <c r="AB6" s="336"/>
      <c r="AC6" s="530" t="str">
        <f>+Z6</f>
        <v>Coût / place / jour</v>
      </c>
      <c r="AD6" s="531">
        <f>AC29/B7/'Calendrier 2023'!L7</f>
        <v>3.2123519345238103</v>
      </c>
      <c r="AE6" s="336"/>
      <c r="AF6" s="530" t="str">
        <f>+AC6</f>
        <v>Coût / place / jour</v>
      </c>
      <c r="AG6" s="531">
        <f>AF29/B7/'Calendrier 2023'!M7</f>
        <v>3.3352451636904767</v>
      </c>
      <c r="AH6" s="336"/>
      <c r="AI6" s="530" t="str">
        <f>+AF6</f>
        <v>Coût / place / jour</v>
      </c>
      <c r="AJ6" s="531">
        <f>AI29/B7/'Calendrier 2023'!N7</f>
        <v>3.3352451636904767</v>
      </c>
      <c r="AK6" s="336"/>
      <c r="AL6" s="530" t="str">
        <f>+AI6</f>
        <v>Coût / place / jour</v>
      </c>
      <c r="AM6" s="531">
        <f>AL29/B7/'Calendrier 2023'!O7</f>
        <v>2.9324657738095232</v>
      </c>
      <c r="AN6" s="336"/>
      <c r="AO6" s="606" t="str">
        <f>+AL6</f>
        <v>Coût / place / jour</v>
      </c>
      <c r="AP6" s="607">
        <f>AO29/B7/'Calendrier 2023'!P7</f>
        <v>3.0405178571428566</v>
      </c>
      <c r="AQ6" s="712"/>
      <c r="AR6" s="1078" t="str">
        <f>+AO6</f>
        <v>Coût / place / jour</v>
      </c>
      <c r="AS6" s="1056">
        <f>AR29/B7/'Calendrier 2023'!R7</f>
        <v>2.3544165636446888</v>
      </c>
      <c r="AU6" s="1573"/>
      <c r="AV6" s="705" t="str">
        <f>'[1]Formule pour le calcul D'!BA105</f>
        <v xml:space="preserve">C </v>
      </c>
      <c r="AW6" s="706"/>
      <c r="AX6" s="705" t="str">
        <f>'[1]Formule pour le calcul D'!BC105</f>
        <v>A</v>
      </c>
      <c r="AY6" s="706"/>
      <c r="AZ6" s="706"/>
      <c r="BA6" s="705" t="str">
        <f>BA4</f>
        <v>Um/A</v>
      </c>
      <c r="BB6" s="706"/>
      <c r="BC6" s="705" t="str">
        <f>BC4</f>
        <v>CmO</v>
      </c>
      <c r="BD6" s="706"/>
      <c r="BE6" s="1576"/>
    </row>
    <row r="7" spans="2:58" ht="21" x14ac:dyDescent="0.25">
      <c r="B7" s="1538">
        <f>'État des Résultats'!C7</f>
        <v>30</v>
      </c>
      <c r="C7" s="1579"/>
      <c r="E7" s="535">
        <f>+E29/$AR29</f>
        <v>2.6693850270129112E-2</v>
      </c>
      <c r="F7" s="536"/>
      <c r="H7" s="535">
        <f>+H29/$AR29</f>
        <v>2.6693850270129112E-2</v>
      </c>
      <c r="I7" s="536"/>
      <c r="K7" s="535">
        <f>+K29/$AR29</f>
        <v>3.8398724678797708E-2</v>
      </c>
      <c r="L7" s="537"/>
      <c r="N7" s="535">
        <f>+N29/$AR29</f>
        <v>5.217919564319709E-2</v>
      </c>
      <c r="O7" s="537"/>
      <c r="P7" s="538"/>
      <c r="Q7" s="535">
        <f>+Q29/$AR29</f>
        <v>6.4368957314464986E-2</v>
      </c>
      <c r="R7" s="537"/>
      <c r="S7" s="538"/>
      <c r="T7" s="535">
        <f>+T29/$AR29</f>
        <v>7.6558718985732882E-2</v>
      </c>
      <c r="U7" s="537"/>
      <c r="W7" s="535">
        <f>+W29/$AR29</f>
        <v>9.2114606856062084E-2</v>
      </c>
      <c r="X7" s="537"/>
      <c r="Z7" s="535">
        <f>+Z29/$AR29</f>
        <v>0.10495338793439661</v>
      </c>
      <c r="AA7" s="537"/>
      <c r="AC7" s="535">
        <f>+AC29/$AR29</f>
        <v>0.10495338793439661</v>
      </c>
      <c r="AD7" s="537"/>
      <c r="AF7" s="535">
        <f>+AF29/$AR29</f>
        <v>0.10896853354052455</v>
      </c>
      <c r="AG7" s="537"/>
      <c r="AI7" s="535">
        <f>+AI29/$AR29</f>
        <v>0.10896853354052455</v>
      </c>
      <c r="AJ7" s="537"/>
      <c r="AL7" s="535">
        <f>+AL29/$AR29</f>
        <v>9.5808997344058053E-2</v>
      </c>
      <c r="AM7" s="537"/>
      <c r="AO7" s="535">
        <f>+AO29/$AR29</f>
        <v>9.9339255687586711E-2</v>
      </c>
      <c r="AP7" s="611" t="s">
        <v>284</v>
      </c>
      <c r="AQ7" s="713"/>
      <c r="AR7" s="1079">
        <f>+E7+H7+K7+N7+Q7+T7+W7+Z7+AC7+AF7+AI7+AL7+AO7</f>
        <v>1</v>
      </c>
      <c r="AS7" s="1080" t="str">
        <f>AP7</f>
        <v>364 jpurs</v>
      </c>
      <c r="AU7" s="1573"/>
      <c r="AV7" s="720">
        <f>AR29</f>
        <v>25710.228875000001</v>
      </c>
      <c r="AW7" s="703" t="s">
        <v>48</v>
      </c>
      <c r="AX7" s="721">
        <f>'Formule pour le calcul D'!G114</f>
        <v>54651</v>
      </c>
      <c r="AY7" s="703" t="s">
        <v>50</v>
      </c>
      <c r="AZ7" s="703" t="s">
        <v>51</v>
      </c>
      <c r="BA7" s="722">
        <f>'Formule pour le calcul D'!J114</f>
        <v>2.2692307692307692</v>
      </c>
      <c r="BB7" s="703" t="s">
        <v>50</v>
      </c>
      <c r="BC7" s="720">
        <f>AV7/AX7/BA7</f>
        <v>0.20731425534105632</v>
      </c>
      <c r="BD7" s="703" t="s">
        <v>54</v>
      </c>
      <c r="BE7" s="1576"/>
    </row>
    <row r="8" spans="2:58" ht="17" thickBot="1" x14ac:dyDescent="0.25">
      <c r="B8" s="1493" t="s">
        <v>175</v>
      </c>
      <c r="C8" s="1579"/>
      <c r="E8" s="539" t="str">
        <f>'Calendrier 2023'!D5</f>
        <v>Pér.01</v>
      </c>
      <c r="F8" s="540" t="str">
        <f>'Services publics'!F8</f>
        <v>(%)</v>
      </c>
      <c r="G8" s="541"/>
      <c r="H8" s="539" t="str">
        <f>'Calendrier 2023'!E5</f>
        <v>Pér.02</v>
      </c>
      <c r="I8" s="540" t="str">
        <f>F8</f>
        <v>(%)</v>
      </c>
      <c r="J8" s="541"/>
      <c r="K8" s="539" t="str">
        <f>'Calendrier 2023'!F5</f>
        <v>Pér.03</v>
      </c>
      <c r="L8" s="540" t="str">
        <f>I8</f>
        <v>(%)</v>
      </c>
      <c r="M8" s="541"/>
      <c r="N8" s="539" t="str">
        <f>'Calendrier 2023'!G5</f>
        <v>Pér.04</v>
      </c>
      <c r="O8" s="540" t="str">
        <f>L8</f>
        <v>(%)</v>
      </c>
      <c r="P8" s="542"/>
      <c r="Q8" s="539" t="str">
        <f>'Calendrier 2023'!H5</f>
        <v>Pér.05</v>
      </c>
      <c r="R8" s="540" t="str">
        <f>O8</f>
        <v>(%)</v>
      </c>
      <c r="S8" s="542"/>
      <c r="T8" s="539" t="str">
        <f>'Calendrier 2023'!I5</f>
        <v>Pér.06</v>
      </c>
      <c r="U8" s="540" t="str">
        <f>R8</f>
        <v>(%)</v>
      </c>
      <c r="V8" s="541"/>
      <c r="W8" s="539" t="str">
        <f>'Calendrier 2023'!J5</f>
        <v>Pér.07</v>
      </c>
      <c r="X8" s="540" t="str">
        <f>U8</f>
        <v>(%)</v>
      </c>
      <c r="Y8" s="541"/>
      <c r="Z8" s="539" t="str">
        <f>'Calendrier 2023'!K5</f>
        <v>Pér.08</v>
      </c>
      <c r="AA8" s="540" t="str">
        <f>X8</f>
        <v>(%)</v>
      </c>
      <c r="AB8" s="541"/>
      <c r="AC8" s="539" t="str">
        <f>'Calendrier 2023'!L5</f>
        <v>Pér.09</v>
      </c>
      <c r="AD8" s="540" t="str">
        <f>AA8</f>
        <v>(%)</v>
      </c>
      <c r="AE8" s="541"/>
      <c r="AF8" s="539" t="str">
        <f>'Calendrier 2023'!M5</f>
        <v>Pér.10</v>
      </c>
      <c r="AG8" s="540" t="str">
        <f>AD8</f>
        <v>(%)</v>
      </c>
      <c r="AH8" s="541"/>
      <c r="AI8" s="539" t="str">
        <f>'Calendrier 2023'!N5</f>
        <v>Pér.11</v>
      </c>
      <c r="AJ8" s="540" t="str">
        <f>AG8</f>
        <v>(%)</v>
      </c>
      <c r="AK8" s="541"/>
      <c r="AL8" s="539" t="str">
        <f>'Calendrier 2023'!O5</f>
        <v>Pér.12</v>
      </c>
      <c r="AM8" s="540" t="str">
        <f>AJ8</f>
        <v>(%)</v>
      </c>
      <c r="AN8" s="543" t="s">
        <v>1</v>
      </c>
      <c r="AO8" s="615" t="str">
        <f>'Calendrier 2023'!P5</f>
        <v>Pér.13</v>
      </c>
      <c r="AP8" s="540" t="str">
        <f>AM8</f>
        <v>(%)</v>
      </c>
      <c r="AQ8" s="714"/>
      <c r="AR8" s="1058" t="str">
        <f>'Achalandage journalier'!Q5</f>
        <v>Année</v>
      </c>
      <c r="AS8" s="1059" t="str">
        <f>AP8</f>
        <v>(%)</v>
      </c>
      <c r="AU8" s="1574"/>
      <c r="AV8" s="707"/>
      <c r="AW8" s="707"/>
      <c r="AX8" s="707"/>
      <c r="AY8" s="707"/>
      <c r="AZ8" s="707"/>
      <c r="BA8" s="707"/>
      <c r="BB8" s="707"/>
      <c r="BC8" s="707"/>
      <c r="BD8" s="707"/>
      <c r="BE8" s="1577"/>
    </row>
    <row r="9" spans="2:58" ht="15" thickTop="1" thickBot="1" x14ac:dyDescent="0.2">
      <c r="B9" s="1570">
        <f>AO29/$B$7</f>
        <v>85.134499999999989</v>
      </c>
      <c r="C9" s="1571"/>
      <c r="E9" s="574">
        <f>'Achalandage journalier'!D6</f>
        <v>44928</v>
      </c>
      <c r="F9" s="575"/>
      <c r="G9" s="576"/>
      <c r="H9" s="577">
        <f>'Achalandage journalier'!E6</f>
        <v>44956</v>
      </c>
      <c r="I9" s="578"/>
      <c r="J9" s="576"/>
      <c r="K9" s="577">
        <f>'Achalandage journalier'!F6</f>
        <v>44984</v>
      </c>
      <c r="L9" s="578"/>
      <c r="M9" s="576"/>
      <c r="N9" s="574">
        <f>'Achalandage journalier'!G6</f>
        <v>45012</v>
      </c>
      <c r="O9" s="575"/>
      <c r="P9" s="579"/>
      <c r="Q9" s="574">
        <f>'Achalandage journalier'!H6</f>
        <v>45040</v>
      </c>
      <c r="R9" s="575"/>
      <c r="S9" s="579"/>
      <c r="T9" s="577">
        <f>'Achalandage journalier'!I6</f>
        <v>45068</v>
      </c>
      <c r="U9" s="578"/>
      <c r="V9" s="576"/>
      <c r="W9" s="577">
        <f>'Achalandage journalier'!J6</f>
        <v>45096</v>
      </c>
      <c r="X9" s="578"/>
      <c r="Y9" s="576"/>
      <c r="Z9" s="577">
        <f>'Achalandage journalier'!K6</f>
        <v>45124</v>
      </c>
      <c r="AA9" s="578"/>
      <c r="AB9" s="576"/>
      <c r="AC9" s="577">
        <f>'Achalandage journalier'!L6</f>
        <v>45152</v>
      </c>
      <c r="AD9" s="578"/>
      <c r="AE9" s="576"/>
      <c r="AF9" s="577">
        <f>'Achalandage journalier'!M6</f>
        <v>45180</v>
      </c>
      <c r="AG9" s="578"/>
      <c r="AH9" s="576"/>
      <c r="AI9" s="577">
        <f>'Achalandage journalier'!N6</f>
        <v>45208</v>
      </c>
      <c r="AJ9" s="578"/>
      <c r="AK9" s="576"/>
      <c r="AL9" s="577">
        <f>'Achalandage journalier'!O6</f>
        <v>45236</v>
      </c>
      <c r="AM9" s="578"/>
      <c r="AN9" s="576"/>
      <c r="AO9" s="638">
        <f>'Achalandage journalier'!P6</f>
        <v>45264</v>
      </c>
      <c r="AP9" s="639"/>
      <c r="AQ9" s="715"/>
      <c r="AR9" s="1111" t="str">
        <f>'Achalandage journalier'!Q6</f>
        <v>Total</v>
      </c>
      <c r="AS9" s="1090"/>
      <c r="AT9" s="640"/>
      <c r="AU9" s="640"/>
      <c r="AV9" s="398"/>
      <c r="AW9" s="398"/>
      <c r="AX9" s="398"/>
      <c r="AY9" s="398"/>
      <c r="AZ9" s="398"/>
      <c r="BA9" s="398"/>
      <c r="BB9" s="398"/>
    </row>
    <row r="10" spans="2:58" ht="15" thickTop="1" thickBot="1" x14ac:dyDescent="0.2">
      <c r="D10" s="545"/>
      <c r="G10" s="546"/>
      <c r="J10" s="546"/>
      <c r="M10" s="546"/>
      <c r="P10" s="547"/>
      <c r="S10" s="547"/>
      <c r="V10" s="546"/>
      <c r="Y10" s="366"/>
      <c r="AB10" s="546"/>
      <c r="AE10" s="546"/>
      <c r="AH10" s="546"/>
      <c r="AK10" s="546"/>
      <c r="AN10" s="546"/>
      <c r="AQ10" s="194"/>
      <c r="AT10" s="336"/>
      <c r="AU10" s="336"/>
      <c r="AV10" s="336"/>
    </row>
    <row r="11" spans="2:58" ht="14" thickTop="1" x14ac:dyDescent="0.15">
      <c r="B11" s="404"/>
      <c r="C11" s="709" t="str">
        <f>'État des Résultats'!C32</f>
        <v> Administration &amp; Frais généraux </v>
      </c>
      <c r="E11" s="404"/>
      <c r="F11" s="549"/>
      <c r="H11" s="404"/>
      <c r="I11" s="549"/>
      <c r="K11" s="404"/>
      <c r="L11" s="549"/>
      <c r="N11" s="404"/>
      <c r="O11" s="549"/>
      <c r="Q11" s="404"/>
      <c r="R11" s="549"/>
      <c r="T11" s="404"/>
      <c r="U11" s="549"/>
      <c r="W11" s="404"/>
      <c r="X11" s="549"/>
      <c r="Z11" s="404"/>
      <c r="AA11" s="549"/>
      <c r="AC11" s="404"/>
      <c r="AD11" s="549"/>
      <c r="AF11" s="404"/>
      <c r="AG11" s="549"/>
      <c r="AI11" s="404"/>
      <c r="AJ11" s="549"/>
      <c r="AL11" s="404"/>
      <c r="AM11" s="549"/>
      <c r="AO11" s="631"/>
      <c r="AP11" s="632"/>
      <c r="AQ11" s="716"/>
      <c r="AR11" s="1083"/>
      <c r="AS11" s="1084"/>
      <c r="AT11" s="366"/>
      <c r="AU11" s="366"/>
      <c r="AV11" s="366"/>
      <c r="AW11" s="366"/>
      <c r="AX11" s="366"/>
      <c r="AY11" s="366"/>
      <c r="AZ11" s="366"/>
      <c r="BA11" s="366"/>
      <c r="BB11" s="366"/>
      <c r="BC11" s="366"/>
      <c r="BD11" s="366"/>
      <c r="BE11" s="366"/>
      <c r="BF11" s="366"/>
    </row>
    <row r="12" spans="2:58" x14ac:dyDescent="0.15">
      <c r="B12" s="370"/>
      <c r="C12" s="550"/>
      <c r="E12" s="370"/>
      <c r="F12" s="414"/>
      <c r="H12" s="370"/>
      <c r="I12" s="414"/>
      <c r="K12" s="370"/>
      <c r="L12" s="414"/>
      <c r="N12" s="370"/>
      <c r="O12" s="414"/>
      <c r="Q12" s="370"/>
      <c r="R12" s="414"/>
      <c r="T12" s="370"/>
      <c r="U12" s="414"/>
      <c r="W12" s="370"/>
      <c r="X12" s="414"/>
      <c r="Z12" s="370"/>
      <c r="AA12" s="414"/>
      <c r="AC12" s="370"/>
      <c r="AD12" s="414"/>
      <c r="AF12" s="370"/>
      <c r="AG12" s="414"/>
      <c r="AI12" s="370"/>
      <c r="AJ12" s="414"/>
      <c r="AL12" s="370"/>
      <c r="AM12" s="371"/>
      <c r="AO12" s="633"/>
      <c r="AP12" s="634"/>
      <c r="AQ12" s="716"/>
      <c r="AR12" s="1028"/>
      <c r="AS12" s="1085"/>
      <c r="AT12" s="366"/>
      <c r="AU12" s="366"/>
      <c r="AV12" s="366"/>
      <c r="AW12" s="366"/>
      <c r="AX12" s="366"/>
      <c r="AY12" s="366"/>
      <c r="AZ12" s="366"/>
      <c r="BA12" s="366"/>
      <c r="BB12" s="366"/>
      <c r="BC12" s="366"/>
      <c r="BD12" s="366"/>
      <c r="BE12" s="366"/>
      <c r="BF12" s="366"/>
    </row>
    <row r="13" spans="2:58" x14ac:dyDescent="0.15">
      <c r="B13" s="370">
        <v>7805</v>
      </c>
      <c r="C13" s="414" t="s">
        <v>267</v>
      </c>
      <c r="E13" s="621">
        <v>0</v>
      </c>
      <c r="F13" s="553">
        <f>E13/'État des Résultats'!E$14</f>
        <v>0</v>
      </c>
      <c r="H13" s="621">
        <v>0</v>
      </c>
      <c r="I13" s="553">
        <f>H13/'État des Résultats'!H$14</f>
        <v>0</v>
      </c>
      <c r="K13" s="621">
        <v>0</v>
      </c>
      <c r="L13" s="553">
        <f>K13/'État des Résultats'!K$14</f>
        <v>0</v>
      </c>
      <c r="N13" s="621">
        <v>0</v>
      </c>
      <c r="O13" s="553">
        <f>N13/'État des Résultats'!N$14</f>
        <v>0</v>
      </c>
      <c r="Q13" s="621">
        <v>0</v>
      </c>
      <c r="R13" s="553">
        <f>Q13/'État des Résultats'!Q$14</f>
        <v>0</v>
      </c>
      <c r="T13" s="621">
        <v>0</v>
      </c>
      <c r="U13" s="553">
        <f>T13/'État des Résultats'!T$14</f>
        <v>0</v>
      </c>
      <c r="W13" s="621">
        <v>0</v>
      </c>
      <c r="X13" s="553">
        <f>W13/'État des Résultats'!W$14</f>
        <v>0</v>
      </c>
      <c r="Z13" s="621">
        <v>0</v>
      </c>
      <c r="AA13" s="553">
        <f>Z13/'État des Résultats'!Z$14</f>
        <v>0</v>
      </c>
      <c r="AC13" s="621">
        <v>0</v>
      </c>
      <c r="AD13" s="553">
        <f>AC13/'État des Résultats'!AC$14</f>
        <v>0</v>
      </c>
      <c r="AF13" s="621">
        <v>0</v>
      </c>
      <c r="AG13" s="553">
        <f>AF13/'État des Résultats'!AF$14</f>
        <v>0</v>
      </c>
      <c r="AI13" s="621">
        <v>0</v>
      </c>
      <c r="AJ13" s="553">
        <f>AI13/'État des Résultats'!AI$14</f>
        <v>0</v>
      </c>
      <c r="AL13" s="621">
        <v>0</v>
      </c>
      <c r="AM13" s="553">
        <f>AL13/'État des Résultats'!AL$14</f>
        <v>0</v>
      </c>
      <c r="AO13" s="621">
        <v>0</v>
      </c>
      <c r="AP13" s="553">
        <f>AO13/'État des Résultats'!AO$14</f>
        <v>0</v>
      </c>
      <c r="AQ13" s="717"/>
      <c r="AR13" s="1091">
        <f>SUM(+AO13+$AL13+$AI13+$AF13+$AC13+$Z13+$W13+$T13+$Q13+$N13+$K13+$H13+$E13)</f>
        <v>0</v>
      </c>
      <c r="AS13" s="1087">
        <f>AR13/'État des Résultats'!AR$14</f>
        <v>0</v>
      </c>
    </row>
    <row r="14" spans="2:58" x14ac:dyDescent="0.15">
      <c r="B14" s="370">
        <v>7810</v>
      </c>
      <c r="C14" s="414" t="s">
        <v>268</v>
      </c>
      <c r="E14" s="621">
        <v>0</v>
      </c>
      <c r="F14" s="553">
        <f>E14/'État des Résultats'!E$14</f>
        <v>0</v>
      </c>
      <c r="H14" s="621">
        <v>0</v>
      </c>
      <c r="I14" s="553">
        <f>H14/'État des Résultats'!H$14</f>
        <v>0</v>
      </c>
      <c r="K14" s="621">
        <v>0</v>
      </c>
      <c r="L14" s="553">
        <f>K14/'État des Résultats'!K$14</f>
        <v>0</v>
      </c>
      <c r="N14" s="621">
        <v>0</v>
      </c>
      <c r="O14" s="553">
        <f>N14/'État des Résultats'!N$14</f>
        <v>0</v>
      </c>
      <c r="Q14" s="621">
        <v>0</v>
      </c>
      <c r="R14" s="553">
        <f>Q14/'État des Résultats'!Q$14</f>
        <v>0</v>
      </c>
      <c r="T14" s="621">
        <v>0</v>
      </c>
      <c r="U14" s="553">
        <f>T14/'État des Résultats'!T$14</f>
        <v>0</v>
      </c>
      <c r="W14" s="621">
        <v>0</v>
      </c>
      <c r="X14" s="553">
        <f>W14/'État des Résultats'!W$14</f>
        <v>0</v>
      </c>
      <c r="Z14" s="621">
        <v>0</v>
      </c>
      <c r="AA14" s="553">
        <f>Z14/'État des Résultats'!Z$14</f>
        <v>0</v>
      </c>
      <c r="AC14" s="621">
        <v>0</v>
      </c>
      <c r="AD14" s="553">
        <f>AC14/'État des Résultats'!AC$14</f>
        <v>0</v>
      </c>
      <c r="AF14" s="621">
        <v>0</v>
      </c>
      <c r="AG14" s="553">
        <f>AF14/'État des Résultats'!AF$14</f>
        <v>0</v>
      </c>
      <c r="AI14" s="621">
        <v>0</v>
      </c>
      <c r="AJ14" s="553">
        <f>AI14/'État des Résultats'!AI$14</f>
        <v>0</v>
      </c>
      <c r="AL14" s="621">
        <v>0</v>
      </c>
      <c r="AM14" s="553">
        <f>AL14/'État des Résultats'!AL$14</f>
        <v>0</v>
      </c>
      <c r="AO14" s="621">
        <v>0</v>
      </c>
      <c r="AP14" s="553">
        <f>AO14/'État des Résultats'!AO$14</f>
        <v>0</v>
      </c>
      <c r="AQ14" s="717"/>
      <c r="AR14" s="1091">
        <f t="shared" ref="AR14:AR27" si="0">SUM(+AO14+$AL14+$AI14+$AF14+$AC14+$Z14+$W14+$T14+$Q14+$N14+$K14+$H14+$E14)</f>
        <v>0</v>
      </c>
      <c r="AS14" s="1087">
        <f>AR14/'État des Résultats'!AR$14</f>
        <v>0</v>
      </c>
    </row>
    <row r="15" spans="2:58" x14ac:dyDescent="0.15">
      <c r="B15" s="710">
        <v>7815</v>
      </c>
      <c r="C15" s="711" t="s">
        <v>269</v>
      </c>
      <c r="E15" s="621">
        <v>0</v>
      </c>
      <c r="F15" s="553">
        <f>E15/'État des Résultats'!E$14</f>
        <v>0</v>
      </c>
      <c r="G15" s="554" t="s">
        <v>1</v>
      </c>
      <c r="H15" s="621">
        <v>0</v>
      </c>
      <c r="I15" s="553">
        <f>H15/'État des Résultats'!H$14</f>
        <v>0</v>
      </c>
      <c r="K15" s="621">
        <v>0</v>
      </c>
      <c r="L15" s="553">
        <f>K15/'État des Résultats'!K$14</f>
        <v>0</v>
      </c>
      <c r="N15" s="621">
        <v>0</v>
      </c>
      <c r="O15" s="553">
        <f>N15/'État des Résultats'!N$14</f>
        <v>0</v>
      </c>
      <c r="Q15" s="621">
        <v>0</v>
      </c>
      <c r="R15" s="553">
        <f>Q15/'État des Résultats'!Q$14</f>
        <v>0</v>
      </c>
      <c r="T15" s="621">
        <v>0</v>
      </c>
      <c r="U15" s="553">
        <f>T15/'État des Résultats'!T$14</f>
        <v>0</v>
      </c>
      <c r="W15" s="621">
        <v>0</v>
      </c>
      <c r="X15" s="553">
        <f>W15/'État des Résultats'!W$14</f>
        <v>0</v>
      </c>
      <c r="Z15" s="621">
        <v>0</v>
      </c>
      <c r="AA15" s="553">
        <f>Z15/'État des Résultats'!Z$14</f>
        <v>0</v>
      </c>
      <c r="AC15" s="621">
        <v>0</v>
      </c>
      <c r="AD15" s="553">
        <f>AC15/'État des Résultats'!AC$14</f>
        <v>0</v>
      </c>
      <c r="AF15" s="621">
        <v>0</v>
      </c>
      <c r="AG15" s="553">
        <f>AF15/'État des Résultats'!AF$14</f>
        <v>0</v>
      </c>
      <c r="AI15" s="621">
        <v>0</v>
      </c>
      <c r="AJ15" s="553">
        <f>AI15/'État des Résultats'!AI$14</f>
        <v>0</v>
      </c>
      <c r="AL15" s="621">
        <v>0</v>
      </c>
      <c r="AM15" s="553">
        <f>AL15/'État des Résultats'!AL$14</f>
        <v>0</v>
      </c>
      <c r="AO15" s="621">
        <v>0</v>
      </c>
      <c r="AP15" s="553">
        <f>AO15/'État des Résultats'!AO$14</f>
        <v>0</v>
      </c>
      <c r="AQ15" s="717"/>
      <c r="AR15" s="1091">
        <f t="shared" si="0"/>
        <v>0</v>
      </c>
      <c r="AS15" s="1087">
        <f>AR15/'État des Résultats'!AR$14</f>
        <v>0</v>
      </c>
    </row>
    <row r="16" spans="2:58" x14ac:dyDescent="0.15">
      <c r="B16" s="370">
        <v>7820</v>
      </c>
      <c r="C16" s="414" t="s">
        <v>270</v>
      </c>
      <c r="E16" s="621">
        <v>0</v>
      </c>
      <c r="F16" s="553">
        <f>E16/'État des Résultats'!E$14</f>
        <v>0</v>
      </c>
      <c r="H16" s="621">
        <v>0</v>
      </c>
      <c r="I16" s="553">
        <f>H16/'État des Résultats'!H$14</f>
        <v>0</v>
      </c>
      <c r="K16" s="621">
        <v>0</v>
      </c>
      <c r="L16" s="553">
        <f>K16/'État des Résultats'!K$14</f>
        <v>0</v>
      </c>
      <c r="N16" s="621">
        <v>0</v>
      </c>
      <c r="O16" s="553">
        <f>N16/'État des Résultats'!N$14</f>
        <v>0</v>
      </c>
      <c r="Q16" s="621">
        <v>0</v>
      </c>
      <c r="R16" s="553">
        <f>Q16/'État des Résultats'!Q$14</f>
        <v>0</v>
      </c>
      <c r="T16" s="621">
        <v>0</v>
      </c>
      <c r="U16" s="553">
        <f>T16/'État des Résultats'!T$14</f>
        <v>0</v>
      </c>
      <c r="W16" s="621">
        <v>0</v>
      </c>
      <c r="X16" s="553">
        <f>W16/'État des Résultats'!W$14</f>
        <v>0</v>
      </c>
      <c r="Z16" s="621">
        <v>0</v>
      </c>
      <c r="AA16" s="553">
        <f>Z16/'État des Résultats'!Z$14</f>
        <v>0</v>
      </c>
      <c r="AC16" s="621">
        <v>0</v>
      </c>
      <c r="AD16" s="553">
        <f>AC16/'État des Résultats'!AC$14</f>
        <v>0</v>
      </c>
      <c r="AF16" s="621">
        <v>0</v>
      </c>
      <c r="AG16" s="553">
        <f>AF16/'État des Résultats'!AF$14</f>
        <v>0</v>
      </c>
      <c r="AI16" s="621">
        <v>0</v>
      </c>
      <c r="AJ16" s="553">
        <f>AI16/'État des Résultats'!AI$14</f>
        <v>0</v>
      </c>
      <c r="AL16" s="621">
        <v>0</v>
      </c>
      <c r="AM16" s="553">
        <f>AL16/'État des Résultats'!AL$14</f>
        <v>0</v>
      </c>
      <c r="AO16" s="621">
        <v>0</v>
      </c>
      <c r="AP16" s="553">
        <f>AO16/'État des Résultats'!AO$14</f>
        <v>0</v>
      </c>
      <c r="AQ16" s="717"/>
      <c r="AR16" s="1091">
        <f t="shared" si="0"/>
        <v>0</v>
      </c>
      <c r="AS16" s="1087">
        <f>AR16/'État des Résultats'!AR$14</f>
        <v>0</v>
      </c>
    </row>
    <row r="17" spans="2:49" x14ac:dyDescent="0.15">
      <c r="B17" s="370">
        <v>7825</v>
      </c>
      <c r="C17" s="414" t="s">
        <v>271</v>
      </c>
      <c r="E17" s="621">
        <v>0</v>
      </c>
      <c r="F17" s="553">
        <f>E17/'État des Résultats'!E$14</f>
        <v>0</v>
      </c>
      <c r="H17" s="621">
        <v>0</v>
      </c>
      <c r="I17" s="553">
        <f>H17/'État des Résultats'!H$14</f>
        <v>0</v>
      </c>
      <c r="K17" s="621">
        <v>0</v>
      </c>
      <c r="L17" s="553">
        <f>K17/'État des Résultats'!K$14</f>
        <v>0</v>
      </c>
      <c r="N17" s="621">
        <v>0</v>
      </c>
      <c r="O17" s="553">
        <f>N17/'État des Résultats'!N$14</f>
        <v>0</v>
      </c>
      <c r="Q17" s="621">
        <v>0</v>
      </c>
      <c r="R17" s="553">
        <f>Q17/'État des Résultats'!Q$14</f>
        <v>0</v>
      </c>
      <c r="T17" s="621">
        <v>0</v>
      </c>
      <c r="U17" s="553">
        <f>T17/'État des Résultats'!T$14</f>
        <v>0</v>
      </c>
      <c r="W17" s="621">
        <v>0</v>
      </c>
      <c r="X17" s="553">
        <f>W17/'État des Résultats'!W$14</f>
        <v>0</v>
      </c>
      <c r="Z17" s="621">
        <v>0</v>
      </c>
      <c r="AA17" s="553">
        <f>Z17/'État des Résultats'!Z$14</f>
        <v>0</v>
      </c>
      <c r="AC17" s="621">
        <v>0</v>
      </c>
      <c r="AD17" s="553">
        <f>AC17/'État des Résultats'!AC$14</f>
        <v>0</v>
      </c>
      <c r="AF17" s="621">
        <v>0</v>
      </c>
      <c r="AG17" s="553">
        <f>AF17/'État des Résultats'!AF$14</f>
        <v>0</v>
      </c>
      <c r="AI17" s="621">
        <v>0</v>
      </c>
      <c r="AJ17" s="553">
        <f>AI17/'État des Résultats'!AI$14</f>
        <v>0</v>
      </c>
      <c r="AL17" s="621">
        <v>0</v>
      </c>
      <c r="AM17" s="553">
        <f>AL17/'État des Résultats'!AL$14</f>
        <v>0</v>
      </c>
      <c r="AO17" s="621">
        <v>0</v>
      </c>
      <c r="AP17" s="553">
        <f>AO17/'État des Résultats'!AO$14</f>
        <v>0</v>
      </c>
      <c r="AQ17" s="717"/>
      <c r="AR17" s="1091">
        <f t="shared" si="0"/>
        <v>0</v>
      </c>
      <c r="AS17" s="1087">
        <f>AR17/'État des Résultats'!AR$14</f>
        <v>0</v>
      </c>
    </row>
    <row r="18" spans="2:49" x14ac:dyDescent="0.15">
      <c r="B18" s="370">
        <v>7830</v>
      </c>
      <c r="C18" s="414" t="s">
        <v>272</v>
      </c>
      <c r="E18" s="621">
        <v>0</v>
      </c>
      <c r="F18" s="553">
        <f>E18/'État des Résultats'!E$14</f>
        <v>0</v>
      </c>
      <c r="H18" s="621">
        <v>0</v>
      </c>
      <c r="I18" s="553">
        <f>H18/'État des Résultats'!H$14</f>
        <v>0</v>
      </c>
      <c r="K18" s="621">
        <v>0</v>
      </c>
      <c r="L18" s="553">
        <f>K18/'État des Résultats'!K$14</f>
        <v>0</v>
      </c>
      <c r="N18" s="621">
        <v>0</v>
      </c>
      <c r="O18" s="553">
        <f>N18/'État des Résultats'!N$14</f>
        <v>0</v>
      </c>
      <c r="Q18" s="621">
        <v>0</v>
      </c>
      <c r="R18" s="553">
        <f>Q18/'État des Résultats'!Q$14</f>
        <v>0</v>
      </c>
      <c r="T18" s="621">
        <v>0</v>
      </c>
      <c r="U18" s="553">
        <f>T18/'État des Résultats'!T$14</f>
        <v>0</v>
      </c>
      <c r="W18" s="621">
        <v>0</v>
      </c>
      <c r="X18" s="553">
        <f>W18/'État des Résultats'!W$14</f>
        <v>0</v>
      </c>
      <c r="Z18" s="621">
        <v>0</v>
      </c>
      <c r="AA18" s="553">
        <f>Z18/'État des Résultats'!Z$14</f>
        <v>0</v>
      </c>
      <c r="AC18" s="621">
        <v>0</v>
      </c>
      <c r="AD18" s="553">
        <f>AC18/'État des Résultats'!AC$14</f>
        <v>0</v>
      </c>
      <c r="AF18" s="621">
        <v>0</v>
      </c>
      <c r="AG18" s="553">
        <f>AF18/'État des Résultats'!AF$14</f>
        <v>0</v>
      </c>
      <c r="AI18" s="621">
        <v>0</v>
      </c>
      <c r="AJ18" s="553">
        <f>AI18/'État des Résultats'!AI$14</f>
        <v>0</v>
      </c>
      <c r="AL18" s="621">
        <v>0</v>
      </c>
      <c r="AM18" s="553">
        <f>AL18/'État des Résultats'!AL$14</f>
        <v>0</v>
      </c>
      <c r="AO18" s="621">
        <v>0</v>
      </c>
      <c r="AP18" s="553">
        <f>AO18/'État des Résultats'!AO$14</f>
        <v>0</v>
      </c>
      <c r="AQ18" s="717"/>
      <c r="AR18" s="1091">
        <f t="shared" si="0"/>
        <v>0</v>
      </c>
      <c r="AS18" s="1087">
        <f>AR18/'État des Résultats'!AR$14</f>
        <v>0</v>
      </c>
      <c r="AU18" s="139"/>
    </row>
    <row r="19" spans="2:49" x14ac:dyDescent="0.15">
      <c r="B19" s="370">
        <v>7835</v>
      </c>
      <c r="C19" s="414" t="s">
        <v>273</v>
      </c>
      <c r="E19" s="621">
        <v>0</v>
      </c>
      <c r="F19" s="553">
        <f>E19/'État des Résultats'!E$14</f>
        <v>0</v>
      </c>
      <c r="H19" s="621">
        <v>0</v>
      </c>
      <c r="I19" s="553">
        <f>H19/'État des Résultats'!H$14</f>
        <v>0</v>
      </c>
      <c r="K19" s="621">
        <v>0</v>
      </c>
      <c r="L19" s="553">
        <f>K19/'État des Résultats'!K$14</f>
        <v>0</v>
      </c>
      <c r="N19" s="621">
        <v>0</v>
      </c>
      <c r="O19" s="553">
        <f>N19/'État des Résultats'!N$14</f>
        <v>0</v>
      </c>
      <c r="Q19" s="621">
        <v>0</v>
      </c>
      <c r="R19" s="553">
        <f>Q19/'État des Résultats'!Q$14</f>
        <v>0</v>
      </c>
      <c r="T19" s="621">
        <v>0</v>
      </c>
      <c r="U19" s="553">
        <f>T19/'État des Résultats'!T$14</f>
        <v>0</v>
      </c>
      <c r="W19" s="621">
        <v>0</v>
      </c>
      <c r="X19" s="553">
        <f>W19/'État des Résultats'!W$14</f>
        <v>0</v>
      </c>
      <c r="Z19" s="621">
        <v>0</v>
      </c>
      <c r="AA19" s="553">
        <f>Z19/'État des Résultats'!Z$14</f>
        <v>0</v>
      </c>
      <c r="AC19" s="621">
        <v>0</v>
      </c>
      <c r="AD19" s="553">
        <f>AC19/'État des Résultats'!AC$14</f>
        <v>0</v>
      </c>
      <c r="AF19" s="621">
        <v>0</v>
      </c>
      <c r="AG19" s="553">
        <f>AF19/'État des Résultats'!AF$14</f>
        <v>0</v>
      </c>
      <c r="AI19" s="621">
        <v>0</v>
      </c>
      <c r="AJ19" s="553">
        <f>AI19/'État des Résultats'!AI$14</f>
        <v>0</v>
      </c>
      <c r="AL19" s="621">
        <v>0</v>
      </c>
      <c r="AM19" s="553">
        <f>AL19/'État des Résultats'!AL$14</f>
        <v>0</v>
      </c>
      <c r="AO19" s="621">
        <v>0</v>
      </c>
      <c r="AP19" s="553">
        <f>AO19/'État des Résultats'!AO$14</f>
        <v>0</v>
      </c>
      <c r="AQ19" s="717"/>
      <c r="AR19" s="1091">
        <f t="shared" si="0"/>
        <v>0</v>
      </c>
      <c r="AS19" s="1087">
        <f>AR19/'État des Résultats'!AR$14</f>
        <v>0</v>
      </c>
    </row>
    <row r="20" spans="2:49" x14ac:dyDescent="0.15">
      <c r="B20" s="370">
        <v>7840</v>
      </c>
      <c r="C20" s="414" t="s">
        <v>274</v>
      </c>
      <c r="E20" s="621">
        <f>0.025*'État des Résultats'!E14</f>
        <v>686.30500000000006</v>
      </c>
      <c r="F20" s="553">
        <f>E20/'État des Résultats'!E$14</f>
        <v>2.5000000000000001E-2</v>
      </c>
      <c r="H20" s="621">
        <f>0.025*'État des Résultats'!H14</f>
        <v>686.30500000000006</v>
      </c>
      <c r="I20" s="553">
        <f>H20/'État des Résultats'!H$14</f>
        <v>2.5000000000000001E-2</v>
      </c>
      <c r="K20" s="621">
        <f>0.025*'État des Résultats'!K14</f>
        <v>987.24</v>
      </c>
      <c r="L20" s="553">
        <f>K20/'État des Résultats'!K$14</f>
        <v>2.5000000000000001E-2</v>
      </c>
      <c r="N20" s="621">
        <f>0.025*'État des Résultats'!N14</f>
        <v>1341.5390625</v>
      </c>
      <c r="O20" s="553">
        <f>N20/'État des Résultats'!N$14</f>
        <v>2.5000000000000001E-2</v>
      </c>
      <c r="Q20" s="621">
        <f>0.025*'État des Résultats'!Q14</f>
        <v>1654.9406250000002</v>
      </c>
      <c r="R20" s="553">
        <f>Q20/'État des Résultats'!Q$14</f>
        <v>2.5000000000000001E-2</v>
      </c>
      <c r="T20" s="621">
        <f>0.025*'État des Résultats'!T14</f>
        <v>1968.3421875000004</v>
      </c>
      <c r="U20" s="553">
        <f>T20/'État des Résultats'!T$14</f>
        <v>2.5000000000000001E-2</v>
      </c>
      <c r="W20" s="621">
        <f>0.025*'État des Résultats'!W14</f>
        <v>2368.2876250000004</v>
      </c>
      <c r="X20" s="553">
        <f>W20/'État des Résultats'!W$14</f>
        <v>2.4999999999999998E-2</v>
      </c>
      <c r="Z20" s="621">
        <f>0.025*'État des Résultats'!Z14</f>
        <v>2698.3756250000006</v>
      </c>
      <c r="AA20" s="553">
        <f>Z20/'État des Résultats'!Z$14</f>
        <v>2.5000000000000001E-2</v>
      </c>
      <c r="AC20" s="621">
        <f>0.025*'État des Résultats'!AC14</f>
        <v>2698.3756250000006</v>
      </c>
      <c r="AD20" s="553">
        <f>AC20/'État des Résultats'!AC$14</f>
        <v>2.5000000000000001E-2</v>
      </c>
      <c r="AF20" s="621">
        <f>0.025*'État des Résultats'!AF14</f>
        <v>2801.6059375000004</v>
      </c>
      <c r="AG20" s="553">
        <f>AF20/'État des Résultats'!AF$14</f>
        <v>2.5000000000000005E-2</v>
      </c>
      <c r="AI20" s="621">
        <f>0.025*'État des Résultats'!AI14</f>
        <v>2801.6059375000004</v>
      </c>
      <c r="AJ20" s="553">
        <f>AI20/'État des Résultats'!AI$14</f>
        <v>2.5000000000000005E-2</v>
      </c>
      <c r="AL20" s="621">
        <f>0.025*'État des Résultats'!AL14</f>
        <v>2463.2712499999998</v>
      </c>
      <c r="AM20" s="553">
        <f>AL20/'État des Résultats'!AL$14</f>
        <v>2.5000000000000001E-2</v>
      </c>
      <c r="AO20" s="621">
        <f>0.025*'État des Résultats'!AO14</f>
        <v>2554.0349999999999</v>
      </c>
      <c r="AP20" s="553">
        <f>AO20/'État des Résultats'!AO$14</f>
        <v>2.5000000000000001E-2</v>
      </c>
      <c r="AQ20" s="717"/>
      <c r="AR20" s="1091">
        <f t="shared" si="0"/>
        <v>25710.228875000001</v>
      </c>
      <c r="AS20" s="1087">
        <f>AR20/'État des Résultats'!AR$14</f>
        <v>2.5000000000000001E-2</v>
      </c>
    </row>
    <row r="21" spans="2:49" x14ac:dyDescent="0.15">
      <c r="B21" s="370">
        <v>7845</v>
      </c>
      <c r="C21" s="414" t="s">
        <v>275</v>
      </c>
      <c r="E21" s="621">
        <v>0</v>
      </c>
      <c r="F21" s="553">
        <f>E21/'État des Résultats'!E$14</f>
        <v>0</v>
      </c>
      <c r="H21" s="621">
        <v>0</v>
      </c>
      <c r="I21" s="553">
        <f>H21/'État des Résultats'!H$14</f>
        <v>0</v>
      </c>
      <c r="K21" s="621">
        <v>0</v>
      </c>
      <c r="L21" s="553">
        <f>K21/'État des Résultats'!K$14</f>
        <v>0</v>
      </c>
      <c r="N21" s="621">
        <v>0</v>
      </c>
      <c r="O21" s="553">
        <f>N21/'État des Résultats'!N$14</f>
        <v>0</v>
      </c>
      <c r="Q21" s="621">
        <v>0</v>
      </c>
      <c r="R21" s="553">
        <f>Q21/'État des Résultats'!Q$14</f>
        <v>0</v>
      </c>
      <c r="T21" s="621">
        <v>0</v>
      </c>
      <c r="U21" s="553">
        <f>T21/'État des Résultats'!T$14</f>
        <v>0</v>
      </c>
      <c r="W21" s="621">
        <v>0</v>
      </c>
      <c r="X21" s="553">
        <f>W21/'État des Résultats'!W$14</f>
        <v>0</v>
      </c>
      <c r="Z21" s="621">
        <v>0</v>
      </c>
      <c r="AA21" s="553">
        <f>Z21/'État des Résultats'!Z$14</f>
        <v>0</v>
      </c>
      <c r="AC21" s="621">
        <v>0</v>
      </c>
      <c r="AD21" s="553">
        <f>AC21/'État des Résultats'!AC$14</f>
        <v>0</v>
      </c>
      <c r="AF21" s="621">
        <v>0</v>
      </c>
      <c r="AG21" s="553">
        <f>AF21/'État des Résultats'!AF$14</f>
        <v>0</v>
      </c>
      <c r="AI21" s="621">
        <v>0</v>
      </c>
      <c r="AJ21" s="553">
        <f>AI21/'État des Résultats'!AI$14</f>
        <v>0</v>
      </c>
      <c r="AL21" s="621">
        <v>0</v>
      </c>
      <c r="AM21" s="553">
        <f>AL21/'État des Résultats'!AL$14</f>
        <v>0</v>
      </c>
      <c r="AO21" s="621">
        <v>0</v>
      </c>
      <c r="AP21" s="553">
        <f>AO21/'État des Résultats'!AO$14</f>
        <v>0</v>
      </c>
      <c r="AQ21" s="717"/>
      <c r="AR21" s="1091">
        <f t="shared" si="0"/>
        <v>0</v>
      </c>
      <c r="AS21" s="1087">
        <f>AR21/'État des Résultats'!AR$14</f>
        <v>0</v>
      </c>
    </row>
    <row r="22" spans="2:49" x14ac:dyDescent="0.15">
      <c r="B22" s="370">
        <v>7850</v>
      </c>
      <c r="C22" s="414" t="s">
        <v>276</v>
      </c>
      <c r="E22" s="621">
        <v>0</v>
      </c>
      <c r="F22" s="553">
        <f>E22/'État des Résultats'!E$14</f>
        <v>0</v>
      </c>
      <c r="H22" s="621">
        <v>0</v>
      </c>
      <c r="I22" s="553">
        <f>H22/'État des Résultats'!H$14</f>
        <v>0</v>
      </c>
      <c r="K22" s="621">
        <v>0</v>
      </c>
      <c r="L22" s="553">
        <f>K22/'État des Résultats'!K$14</f>
        <v>0</v>
      </c>
      <c r="N22" s="621">
        <v>0</v>
      </c>
      <c r="O22" s="553">
        <f>N22/'État des Résultats'!N$14</f>
        <v>0</v>
      </c>
      <c r="Q22" s="621">
        <v>0</v>
      </c>
      <c r="R22" s="553">
        <f>Q22/'État des Résultats'!Q$14</f>
        <v>0</v>
      </c>
      <c r="T22" s="621">
        <v>0</v>
      </c>
      <c r="U22" s="553">
        <f>T22/'État des Résultats'!T$14</f>
        <v>0</v>
      </c>
      <c r="W22" s="621">
        <v>0</v>
      </c>
      <c r="X22" s="553">
        <f>W22/'État des Résultats'!W$14</f>
        <v>0</v>
      </c>
      <c r="Z22" s="621">
        <v>0</v>
      </c>
      <c r="AA22" s="553">
        <f>Z22/'État des Résultats'!Z$14</f>
        <v>0</v>
      </c>
      <c r="AC22" s="621">
        <v>0</v>
      </c>
      <c r="AD22" s="553">
        <f>AC22/'État des Résultats'!AC$14</f>
        <v>0</v>
      </c>
      <c r="AF22" s="621">
        <v>0</v>
      </c>
      <c r="AG22" s="553">
        <f>AF22/'État des Résultats'!AF$14</f>
        <v>0</v>
      </c>
      <c r="AI22" s="621">
        <v>0</v>
      </c>
      <c r="AJ22" s="553">
        <f>AI22/'État des Résultats'!AI$14</f>
        <v>0</v>
      </c>
      <c r="AL22" s="621">
        <v>0</v>
      </c>
      <c r="AM22" s="553">
        <f>AL22/'État des Résultats'!AL$14</f>
        <v>0</v>
      </c>
      <c r="AO22" s="621">
        <v>0</v>
      </c>
      <c r="AP22" s="553">
        <f>AO22/'État des Résultats'!AO$14</f>
        <v>0</v>
      </c>
      <c r="AQ22" s="717"/>
      <c r="AR22" s="1091">
        <f t="shared" si="0"/>
        <v>0</v>
      </c>
      <c r="AS22" s="1087">
        <f>AR22/'État des Résultats'!AR$14</f>
        <v>0</v>
      </c>
    </row>
    <row r="23" spans="2:49" x14ac:dyDescent="0.15">
      <c r="B23" s="710">
        <v>7855</v>
      </c>
      <c r="C23" s="711" t="s">
        <v>277</v>
      </c>
      <c r="E23" s="621">
        <v>0</v>
      </c>
      <c r="F23" s="553">
        <f>E23/'État des Résultats'!E$14</f>
        <v>0</v>
      </c>
      <c r="H23" s="621">
        <v>0</v>
      </c>
      <c r="I23" s="553">
        <f>H23/'État des Résultats'!H$14</f>
        <v>0</v>
      </c>
      <c r="K23" s="621">
        <v>0</v>
      </c>
      <c r="L23" s="553">
        <f>K23/'État des Résultats'!K$14</f>
        <v>0</v>
      </c>
      <c r="N23" s="621">
        <v>0</v>
      </c>
      <c r="O23" s="553">
        <f>N23/'État des Résultats'!N$14</f>
        <v>0</v>
      </c>
      <c r="Q23" s="621">
        <v>0</v>
      </c>
      <c r="R23" s="553">
        <f>Q23/'État des Résultats'!Q$14</f>
        <v>0</v>
      </c>
      <c r="T23" s="621">
        <v>0</v>
      </c>
      <c r="U23" s="553">
        <f>T23/'État des Résultats'!T$14</f>
        <v>0</v>
      </c>
      <c r="W23" s="621">
        <v>0</v>
      </c>
      <c r="X23" s="553">
        <f>W23/'État des Résultats'!W$14</f>
        <v>0</v>
      </c>
      <c r="Z23" s="621">
        <v>0</v>
      </c>
      <c r="AA23" s="553">
        <f>Z23/'État des Résultats'!Z$14</f>
        <v>0</v>
      </c>
      <c r="AC23" s="621">
        <v>0</v>
      </c>
      <c r="AD23" s="553">
        <f>AC23/'État des Résultats'!AC$14</f>
        <v>0</v>
      </c>
      <c r="AF23" s="621">
        <v>0</v>
      </c>
      <c r="AG23" s="553">
        <f>AF23/'État des Résultats'!AF$14</f>
        <v>0</v>
      </c>
      <c r="AI23" s="621">
        <v>0</v>
      </c>
      <c r="AJ23" s="553">
        <f>AI23/'État des Résultats'!AI$14</f>
        <v>0</v>
      </c>
      <c r="AL23" s="621">
        <v>0</v>
      </c>
      <c r="AM23" s="553">
        <f>AL23/'État des Résultats'!AL$14</f>
        <v>0</v>
      </c>
      <c r="AO23" s="621">
        <v>0</v>
      </c>
      <c r="AP23" s="553">
        <f>AO23/'État des Résultats'!AO$14</f>
        <v>0</v>
      </c>
      <c r="AQ23" s="717"/>
      <c r="AR23" s="1091">
        <f t="shared" si="0"/>
        <v>0</v>
      </c>
      <c r="AS23" s="1087">
        <f>AR23/'État des Résultats'!AR$14</f>
        <v>0</v>
      </c>
    </row>
    <row r="24" spans="2:49" x14ac:dyDescent="0.15">
      <c r="B24" s="370">
        <v>7860</v>
      </c>
      <c r="C24" s="414" t="s">
        <v>278</v>
      </c>
      <c r="E24" s="621">
        <v>0</v>
      </c>
      <c r="F24" s="553">
        <f>E24/'État des Résultats'!E$14</f>
        <v>0</v>
      </c>
      <c r="H24" s="621">
        <v>0</v>
      </c>
      <c r="I24" s="553">
        <f>H24/'État des Résultats'!H$14</f>
        <v>0</v>
      </c>
      <c r="K24" s="621">
        <v>0</v>
      </c>
      <c r="L24" s="553">
        <f>K24/'État des Résultats'!K$14</f>
        <v>0</v>
      </c>
      <c r="N24" s="621">
        <v>0</v>
      </c>
      <c r="O24" s="553">
        <f>N24/'État des Résultats'!N$14</f>
        <v>0</v>
      </c>
      <c r="Q24" s="621">
        <v>0</v>
      </c>
      <c r="R24" s="553">
        <f>Q24/'État des Résultats'!Q$14</f>
        <v>0</v>
      </c>
      <c r="T24" s="621">
        <v>0</v>
      </c>
      <c r="U24" s="553">
        <f>T24/'État des Résultats'!T$14</f>
        <v>0</v>
      </c>
      <c r="W24" s="621">
        <v>0</v>
      </c>
      <c r="X24" s="553">
        <f>W24/'État des Résultats'!W$14</f>
        <v>0</v>
      </c>
      <c r="Z24" s="621">
        <v>0</v>
      </c>
      <c r="AA24" s="553">
        <f>Z24/'État des Résultats'!Z$14</f>
        <v>0</v>
      </c>
      <c r="AC24" s="621">
        <v>0</v>
      </c>
      <c r="AD24" s="553">
        <f>AC24/'État des Résultats'!AC$14</f>
        <v>0</v>
      </c>
      <c r="AF24" s="621">
        <v>0</v>
      </c>
      <c r="AG24" s="553">
        <f>AF24/'État des Résultats'!AF$14</f>
        <v>0</v>
      </c>
      <c r="AI24" s="621">
        <v>0</v>
      </c>
      <c r="AJ24" s="553">
        <f>AI24/'État des Résultats'!AI$14</f>
        <v>0</v>
      </c>
      <c r="AL24" s="621">
        <v>0</v>
      </c>
      <c r="AM24" s="553">
        <f>AL24/'État des Résultats'!AL$14</f>
        <v>0</v>
      </c>
      <c r="AO24" s="621">
        <v>0</v>
      </c>
      <c r="AP24" s="553">
        <f>AO24/'État des Résultats'!AO$14</f>
        <v>0</v>
      </c>
      <c r="AQ24" s="717"/>
      <c r="AR24" s="1091">
        <f t="shared" si="0"/>
        <v>0</v>
      </c>
      <c r="AS24" s="1087">
        <f>AR24/'État des Résultats'!AR$14</f>
        <v>0</v>
      </c>
    </row>
    <row r="25" spans="2:49" x14ac:dyDescent="0.15">
      <c r="B25" s="370">
        <v>7865</v>
      </c>
      <c r="C25" s="414" t="s">
        <v>279</v>
      </c>
      <c r="E25" s="621">
        <v>0</v>
      </c>
      <c r="F25" s="553">
        <f>E25/'État des Résultats'!E$14</f>
        <v>0</v>
      </c>
      <c r="H25" s="621">
        <v>0</v>
      </c>
      <c r="I25" s="553">
        <f>H25/'État des Résultats'!H$14</f>
        <v>0</v>
      </c>
      <c r="K25" s="621">
        <v>0</v>
      </c>
      <c r="L25" s="553">
        <f>K25/'État des Résultats'!K$14</f>
        <v>0</v>
      </c>
      <c r="N25" s="621">
        <v>0</v>
      </c>
      <c r="O25" s="553">
        <f>N25/'État des Résultats'!N$14</f>
        <v>0</v>
      </c>
      <c r="Q25" s="621">
        <v>0</v>
      </c>
      <c r="R25" s="553">
        <f>Q25/'État des Résultats'!Q$14</f>
        <v>0</v>
      </c>
      <c r="T25" s="621">
        <v>0</v>
      </c>
      <c r="U25" s="553">
        <f>T25/'État des Résultats'!T$14</f>
        <v>0</v>
      </c>
      <c r="W25" s="621">
        <v>0</v>
      </c>
      <c r="X25" s="553">
        <f>W25/'État des Résultats'!W$14</f>
        <v>0</v>
      </c>
      <c r="Z25" s="621">
        <v>0</v>
      </c>
      <c r="AA25" s="553">
        <f>Z25/'État des Résultats'!Z$14</f>
        <v>0</v>
      </c>
      <c r="AC25" s="621">
        <v>0</v>
      </c>
      <c r="AD25" s="553">
        <f>AC25/'État des Résultats'!AC$14</f>
        <v>0</v>
      </c>
      <c r="AF25" s="621">
        <v>0</v>
      </c>
      <c r="AG25" s="553">
        <f>AF25/'État des Résultats'!AF$14</f>
        <v>0</v>
      </c>
      <c r="AI25" s="621">
        <v>0</v>
      </c>
      <c r="AJ25" s="553">
        <f>AI25/'État des Résultats'!AI$14</f>
        <v>0</v>
      </c>
      <c r="AL25" s="621">
        <v>0</v>
      </c>
      <c r="AM25" s="553">
        <f>AL25/'État des Résultats'!AL$14</f>
        <v>0</v>
      </c>
      <c r="AO25" s="621">
        <v>0</v>
      </c>
      <c r="AP25" s="553">
        <f>AO25/'État des Résultats'!AO$14</f>
        <v>0</v>
      </c>
      <c r="AQ25" s="717"/>
      <c r="AR25" s="1091">
        <f t="shared" si="0"/>
        <v>0</v>
      </c>
      <c r="AS25" s="1087">
        <f>AR25/'État des Résultats'!AR$14</f>
        <v>0</v>
      </c>
    </row>
    <row r="26" spans="2:49" x14ac:dyDescent="0.15">
      <c r="B26" s="370">
        <v>7880</v>
      </c>
      <c r="C26" s="414" t="s">
        <v>280</v>
      </c>
      <c r="E26" s="621">
        <v>0</v>
      </c>
      <c r="F26" s="553">
        <f>E26/'État des Résultats'!E$14</f>
        <v>0</v>
      </c>
      <c r="H26" s="621">
        <v>0</v>
      </c>
      <c r="I26" s="553">
        <f>H26/'État des Résultats'!H$14</f>
        <v>0</v>
      </c>
      <c r="K26" s="621">
        <v>0</v>
      </c>
      <c r="L26" s="553">
        <f>K26/'État des Résultats'!K$14</f>
        <v>0</v>
      </c>
      <c r="N26" s="621">
        <v>0</v>
      </c>
      <c r="O26" s="553">
        <f>N26/'État des Résultats'!N$14</f>
        <v>0</v>
      </c>
      <c r="Q26" s="621">
        <v>0</v>
      </c>
      <c r="R26" s="553">
        <f>Q26/'État des Résultats'!Q$14</f>
        <v>0</v>
      </c>
      <c r="T26" s="621">
        <v>0</v>
      </c>
      <c r="U26" s="553">
        <f>T26/'État des Résultats'!T$14</f>
        <v>0</v>
      </c>
      <c r="W26" s="621">
        <v>0</v>
      </c>
      <c r="X26" s="553">
        <f>W26/'État des Résultats'!W$14</f>
        <v>0</v>
      </c>
      <c r="Z26" s="621">
        <v>0</v>
      </c>
      <c r="AA26" s="553">
        <f>Z26/'État des Résultats'!Z$14</f>
        <v>0</v>
      </c>
      <c r="AC26" s="621">
        <v>0</v>
      </c>
      <c r="AD26" s="553">
        <f>AC26/'État des Résultats'!AC$14</f>
        <v>0</v>
      </c>
      <c r="AF26" s="621">
        <v>0</v>
      </c>
      <c r="AG26" s="553">
        <f>AF26/'État des Résultats'!AF$14</f>
        <v>0</v>
      </c>
      <c r="AI26" s="621">
        <v>0</v>
      </c>
      <c r="AJ26" s="553">
        <f>AI26/'État des Résultats'!AI$14</f>
        <v>0</v>
      </c>
      <c r="AL26" s="621">
        <v>0</v>
      </c>
      <c r="AM26" s="553">
        <f>AL26/'État des Résultats'!AL$14</f>
        <v>0</v>
      </c>
      <c r="AO26" s="621">
        <v>0</v>
      </c>
      <c r="AP26" s="553">
        <f>AO26/'État des Résultats'!AO$14</f>
        <v>0</v>
      </c>
      <c r="AQ26" s="717"/>
      <c r="AR26" s="1091">
        <f t="shared" si="0"/>
        <v>0</v>
      </c>
      <c r="AS26" s="1087">
        <f>AR26/'État des Résultats'!AR$14</f>
        <v>0</v>
      </c>
    </row>
    <row r="27" spans="2:49" x14ac:dyDescent="0.15">
      <c r="B27" s="370">
        <v>7899</v>
      </c>
      <c r="C27" s="414" t="s">
        <v>281</v>
      </c>
      <c r="E27" s="621">
        <v>0</v>
      </c>
      <c r="F27" s="553">
        <f>E27/'État des Résultats'!E$14</f>
        <v>0</v>
      </c>
      <c r="H27" s="621">
        <v>0</v>
      </c>
      <c r="I27" s="553">
        <f>H27/'État des Résultats'!H$14</f>
        <v>0</v>
      </c>
      <c r="K27" s="621">
        <v>0</v>
      </c>
      <c r="L27" s="553">
        <f>K27/'État des Résultats'!K$14</f>
        <v>0</v>
      </c>
      <c r="N27" s="621">
        <v>0</v>
      </c>
      <c r="O27" s="553">
        <f>N27/'État des Résultats'!N$14</f>
        <v>0</v>
      </c>
      <c r="Q27" s="621">
        <v>0</v>
      </c>
      <c r="R27" s="553">
        <f>Q27/'État des Résultats'!Q$14</f>
        <v>0</v>
      </c>
      <c r="T27" s="621">
        <v>0</v>
      </c>
      <c r="U27" s="553">
        <f>T27/'État des Résultats'!T$14</f>
        <v>0</v>
      </c>
      <c r="W27" s="621">
        <v>0</v>
      </c>
      <c r="X27" s="553">
        <f>W27/'État des Résultats'!W$14</f>
        <v>0</v>
      </c>
      <c r="Z27" s="621">
        <v>0</v>
      </c>
      <c r="AA27" s="553">
        <f>Z27/'État des Résultats'!Z$14</f>
        <v>0</v>
      </c>
      <c r="AC27" s="621">
        <v>0</v>
      </c>
      <c r="AD27" s="553">
        <f>AC27/'État des Résultats'!AC$14</f>
        <v>0</v>
      </c>
      <c r="AF27" s="621">
        <v>0</v>
      </c>
      <c r="AG27" s="553">
        <f>AF27/'État des Résultats'!AF$14</f>
        <v>0</v>
      </c>
      <c r="AI27" s="621">
        <v>0</v>
      </c>
      <c r="AJ27" s="553">
        <f>AI27/'État des Résultats'!AI$14</f>
        <v>0</v>
      </c>
      <c r="AL27" s="621">
        <v>0</v>
      </c>
      <c r="AM27" s="553">
        <f>AL27/'État des Résultats'!AL$14</f>
        <v>0</v>
      </c>
      <c r="AO27" s="621">
        <v>0</v>
      </c>
      <c r="AP27" s="553">
        <f>AO27/'État des Résultats'!AO$14</f>
        <v>0</v>
      </c>
      <c r="AQ27" s="717"/>
      <c r="AR27" s="1091">
        <f t="shared" si="0"/>
        <v>0</v>
      </c>
      <c r="AS27" s="1087">
        <f>AR27/'État des Résultats'!AR$14</f>
        <v>0</v>
      </c>
    </row>
    <row r="28" spans="2:49" ht="14" thickBot="1" x14ac:dyDescent="0.2">
      <c r="B28" s="551"/>
      <c r="C28" s="414"/>
      <c r="E28" s="622"/>
      <c r="F28" s="623"/>
      <c r="H28" s="622"/>
      <c r="I28" s="623"/>
      <c r="K28" s="622"/>
      <c r="L28" s="623"/>
      <c r="N28" s="622"/>
      <c r="O28" s="623"/>
      <c r="Q28" s="622"/>
      <c r="R28" s="623"/>
      <c r="T28" s="622"/>
      <c r="U28" s="623"/>
      <c r="W28" s="622"/>
      <c r="X28" s="623"/>
      <c r="Z28" s="622"/>
      <c r="AA28" s="623"/>
      <c r="AC28" s="622"/>
      <c r="AD28" s="623"/>
      <c r="AF28" s="622"/>
      <c r="AG28" s="623"/>
      <c r="AI28" s="622"/>
      <c r="AJ28" s="623"/>
      <c r="AL28" s="622"/>
      <c r="AM28" s="623"/>
      <c r="AO28" s="636"/>
      <c r="AP28" s="637"/>
      <c r="AQ28" s="717"/>
      <c r="AR28" s="1091"/>
      <c r="AS28" s="1092"/>
    </row>
    <row r="29" spans="2:49" ht="15" thickTop="1" thickBot="1" x14ac:dyDescent="0.2">
      <c r="B29" s="560">
        <v>7800</v>
      </c>
      <c r="C29" s="561" t="s">
        <v>282</v>
      </c>
      <c r="D29" s="381"/>
      <c r="E29" s="624">
        <f>SUM(E13:E27)</f>
        <v>686.30500000000006</v>
      </c>
      <c r="F29" s="563">
        <f>SUM(F13:F27)</f>
        <v>2.5000000000000001E-2</v>
      </c>
      <c r="G29" s="381"/>
      <c r="H29" s="624">
        <f>SUM(H13:H27)</f>
        <v>686.30500000000006</v>
      </c>
      <c r="I29" s="563">
        <f>SUM(I13:I27)</f>
        <v>2.5000000000000001E-2</v>
      </c>
      <c r="J29" s="381"/>
      <c r="K29" s="624">
        <f>SUM(K13:K27)</f>
        <v>987.24</v>
      </c>
      <c r="L29" s="563">
        <f>SUM(L13:L27)</f>
        <v>2.5000000000000001E-2</v>
      </c>
      <c r="M29" s="381"/>
      <c r="N29" s="624">
        <f>SUM(N13:N27)</f>
        <v>1341.5390625</v>
      </c>
      <c r="O29" s="563">
        <f>SUM(O13:O27)</f>
        <v>2.5000000000000001E-2</v>
      </c>
      <c r="P29" s="381"/>
      <c r="Q29" s="624">
        <f>SUM(Q13:Q27)</f>
        <v>1654.9406250000002</v>
      </c>
      <c r="R29" s="563">
        <f>SUM(R13:R27)</f>
        <v>2.5000000000000001E-2</v>
      </c>
      <c r="S29" s="381"/>
      <c r="T29" s="624">
        <f>SUM(T13:T27)</f>
        <v>1968.3421875000004</v>
      </c>
      <c r="U29" s="563">
        <f>SUM(U13:U27)</f>
        <v>2.5000000000000001E-2</v>
      </c>
      <c r="V29" s="381"/>
      <c r="W29" s="624">
        <f>SUM(W13:W27)</f>
        <v>2368.2876250000004</v>
      </c>
      <c r="X29" s="563">
        <f>SUM(X13:X27)</f>
        <v>2.4999999999999998E-2</v>
      </c>
      <c r="Y29" s="381"/>
      <c r="Z29" s="624">
        <f>SUM(Z13:Z27)</f>
        <v>2698.3756250000006</v>
      </c>
      <c r="AA29" s="563">
        <f>SUM(AA13:AA27)</f>
        <v>2.5000000000000001E-2</v>
      </c>
      <c r="AB29" s="381"/>
      <c r="AC29" s="624">
        <f>SUM(AC13:AC27)</f>
        <v>2698.3756250000006</v>
      </c>
      <c r="AD29" s="563">
        <f>SUM(AD13:AD27)</f>
        <v>2.5000000000000001E-2</v>
      </c>
      <c r="AE29" s="381"/>
      <c r="AF29" s="624">
        <f>SUM(AF13:AF27)</f>
        <v>2801.6059375000004</v>
      </c>
      <c r="AG29" s="563">
        <f>SUM(AG13:AG27)</f>
        <v>2.5000000000000005E-2</v>
      </c>
      <c r="AH29" s="381"/>
      <c r="AI29" s="624">
        <f>SUM(AI13:AI27)</f>
        <v>2801.6059375000004</v>
      </c>
      <c r="AJ29" s="563">
        <f>SUM(AJ13:AJ27)</f>
        <v>2.5000000000000005E-2</v>
      </c>
      <c r="AK29" s="381"/>
      <c r="AL29" s="624">
        <f>SUM(AL13:AL27)</f>
        <v>2463.2712499999998</v>
      </c>
      <c r="AM29" s="563">
        <f>SUM(AM13:AM27)</f>
        <v>2.5000000000000001E-2</v>
      </c>
      <c r="AN29" s="381"/>
      <c r="AO29" s="624">
        <f>SUM(AO13:AO27)</f>
        <v>2554.0349999999999</v>
      </c>
      <c r="AP29" s="563">
        <f>SUM(AP13:AP27)</f>
        <v>2.5000000000000001E-2</v>
      </c>
      <c r="AQ29" s="718"/>
      <c r="AR29" s="624">
        <f>SUM(AR13:AR27)</f>
        <v>25710.228875000001</v>
      </c>
      <c r="AS29" s="563">
        <f>SUM(AS13:AS27)</f>
        <v>2.5000000000000001E-2</v>
      </c>
      <c r="AT29" s="381"/>
      <c r="AU29" s="381"/>
      <c r="AV29" s="381"/>
      <c r="AW29" s="545"/>
    </row>
    <row r="30" spans="2:49" ht="14" thickTop="1" x14ac:dyDescent="0.15">
      <c r="L30" s="279"/>
      <c r="O30" s="279"/>
      <c r="R30" s="279"/>
      <c r="U30" s="279"/>
      <c r="X30" s="279"/>
      <c r="AA30" s="279"/>
      <c r="AD30" s="279"/>
      <c r="AG30" s="279"/>
      <c r="AJ30" s="279"/>
      <c r="AM30" s="279"/>
      <c r="AP30" s="279"/>
      <c r="AQ30" s="719"/>
      <c r="AR30" s="719"/>
      <c r="AS30" s="719"/>
    </row>
    <row r="31" spans="2:49" x14ac:dyDescent="0.15">
      <c r="R31" s="279"/>
      <c r="U31" s="279"/>
      <c r="X31" s="279"/>
      <c r="AD31" s="279"/>
      <c r="AG31" s="279"/>
      <c r="AJ31" s="279"/>
      <c r="AM31" s="279"/>
    </row>
    <row r="32" spans="2:49" x14ac:dyDescent="0.15">
      <c r="U32" s="279"/>
      <c r="AG32" s="279"/>
      <c r="AJ32" s="279"/>
      <c r="AM32" s="279"/>
    </row>
    <row r="33" spans="3:71" x14ac:dyDescent="0.15">
      <c r="C33" s="138" t="s">
        <v>1</v>
      </c>
      <c r="E33" s="138" t="s">
        <v>1</v>
      </c>
      <c r="G33" s="138" t="s">
        <v>1</v>
      </c>
      <c r="H33" s="138" t="s">
        <v>1</v>
      </c>
      <c r="U33" s="279"/>
      <c r="AG33" s="279"/>
      <c r="AJ33" s="279"/>
      <c r="AM33" s="279"/>
    </row>
    <row r="34" spans="3:71" x14ac:dyDescent="0.15">
      <c r="H34" s="138" t="s">
        <v>1</v>
      </c>
      <c r="AG34" s="279"/>
      <c r="AJ34" s="279"/>
      <c r="AM34" s="279"/>
    </row>
    <row r="35" spans="3:71" x14ac:dyDescent="0.15">
      <c r="H35" s="138" t="s">
        <v>1</v>
      </c>
      <c r="AM35" s="279"/>
    </row>
    <row r="36" spans="3:71" x14ac:dyDescent="0.15">
      <c r="H36" s="138" t="s">
        <v>1</v>
      </c>
      <c r="BD36" s="336"/>
      <c r="BE36" s="336"/>
      <c r="BF36" s="336"/>
      <c r="BG36" s="336"/>
      <c r="BH36" s="336"/>
      <c r="BI36" s="336"/>
      <c r="BJ36" s="336"/>
      <c r="BK36" s="336"/>
      <c r="BL36" s="336"/>
      <c r="BM36" s="336"/>
      <c r="BN36" s="336"/>
      <c r="BO36" s="336"/>
      <c r="BP36" s="336"/>
      <c r="BQ36" s="336"/>
      <c r="BR36" s="336"/>
      <c r="BS36" s="336"/>
    </row>
    <row r="37" spans="3:71" x14ac:dyDescent="0.15">
      <c r="H37" s="138" t="s">
        <v>1</v>
      </c>
    </row>
    <row r="38" spans="3:71" x14ac:dyDescent="0.15">
      <c r="H38" s="138" t="s">
        <v>1</v>
      </c>
    </row>
    <row r="48" spans="3:71" x14ac:dyDescent="0.15">
      <c r="H48" s="625"/>
    </row>
  </sheetData>
  <sheetProtection algorithmName="SHA-512" hashValue="TsTDccBhuZQy22XNkAZa23vjaJp2eyx7RwSb6wdIskUiCRRl4AElaW2l9JH41ZqaiW3+uNnuI0aujjHlTsc0QA==" saltValue="g4M39cwciGaoD5jU2MyCng==" spinCount="100000" sheet="1" objects="1" scenarios="1"/>
  <mergeCells count="9">
    <mergeCell ref="B9:C9"/>
    <mergeCell ref="B2:C2"/>
    <mergeCell ref="AU2:AU8"/>
    <mergeCell ref="BE2:BE8"/>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40BFE-91A1-E64A-8E25-F72C794ABA65}">
  <sheetPr codeName="Feuil14">
    <tabColor theme="1"/>
    <pageSetUpPr fitToPage="1"/>
  </sheetPr>
  <dimension ref="B1:BS50"/>
  <sheetViews>
    <sheetView topLeftCell="A2" zoomScale="113" zoomScaleNormal="113" zoomScalePageLayoutView="125" workbookViewId="0">
      <selection activeCell="X50" sqref="X50"/>
    </sheetView>
  </sheetViews>
  <sheetFormatPr baseColWidth="10" defaultRowHeight="13" x14ac:dyDescent="0.15"/>
  <cols>
    <col min="1" max="1" width="2.1640625" style="138" customWidth="1"/>
    <col min="2" max="2" width="5.1640625" style="138" customWidth="1"/>
    <col min="3" max="3" width="42.5" style="138" customWidth="1"/>
    <col min="4" max="4" width="0.83203125" style="138" customWidth="1"/>
    <col min="5" max="5" width="14.33203125" style="138" customWidth="1"/>
    <col min="6" max="6" width="7.83203125" style="138" customWidth="1"/>
    <col min="7" max="7" width="0.83203125" style="138" customWidth="1"/>
    <col min="8" max="8" width="14.33203125" style="138" customWidth="1"/>
    <col min="9" max="9" width="7.83203125" style="138" customWidth="1"/>
    <col min="10" max="10" width="0.83203125" style="138" customWidth="1"/>
    <col min="11" max="11" width="14.33203125" style="138" customWidth="1"/>
    <col min="12" max="12" width="7.83203125" style="138" customWidth="1"/>
    <col min="13" max="13" width="0.83203125" style="138" customWidth="1"/>
    <col min="14" max="14" width="14.33203125" style="138" customWidth="1"/>
    <col min="15" max="15" width="7.83203125" style="138" customWidth="1"/>
    <col min="16" max="16" width="0.83203125" style="138" customWidth="1"/>
    <col min="17" max="17" width="14.33203125" style="138" customWidth="1"/>
    <col min="18" max="18" width="7.83203125" style="138" customWidth="1"/>
    <col min="19" max="19" width="0.83203125" style="138" customWidth="1"/>
    <col min="20" max="20" width="14.33203125" style="138" customWidth="1"/>
    <col min="21" max="21" width="7.83203125" style="138" customWidth="1"/>
    <col min="22" max="22" width="0.83203125" style="138" customWidth="1"/>
    <col min="23" max="23" width="14.33203125" style="138" customWidth="1"/>
    <col min="24" max="24" width="7.83203125" style="138" customWidth="1"/>
    <col min="25" max="25" width="0.83203125" style="138" customWidth="1"/>
    <col min="26" max="26" width="14.33203125" style="138" customWidth="1"/>
    <col min="27" max="27" width="7.83203125" style="138" customWidth="1"/>
    <col min="28" max="28" width="0.83203125" style="138" customWidth="1"/>
    <col min="29" max="29" width="14.33203125" style="138" customWidth="1"/>
    <col min="30" max="30" width="7.83203125" style="138" customWidth="1"/>
    <col min="31" max="31" width="0.83203125" style="138" customWidth="1"/>
    <col min="32" max="32" width="14.33203125" style="138" customWidth="1"/>
    <col min="33" max="33" width="7.83203125" style="138" customWidth="1"/>
    <col min="34" max="34" width="0.83203125" style="138" customWidth="1"/>
    <col min="35" max="35" width="14.33203125" style="138" customWidth="1"/>
    <col min="36" max="36" width="7.83203125" style="138" customWidth="1"/>
    <col min="37" max="37" width="0.83203125" style="138" customWidth="1"/>
    <col min="38" max="38" width="14.33203125" style="138" customWidth="1"/>
    <col min="39" max="39" width="7.83203125" style="138" customWidth="1"/>
    <col min="40" max="40" width="0.83203125" style="138" customWidth="1"/>
    <col min="41" max="41" width="14.33203125" style="138" customWidth="1"/>
    <col min="42" max="42" width="8.1640625" style="138" customWidth="1"/>
    <col min="43" max="43" width="2.5" style="138" customWidth="1"/>
    <col min="44" max="44" width="12.83203125" style="138" customWidth="1"/>
    <col min="45" max="45" width="11" style="138" customWidth="1"/>
    <col min="46" max="46" width="2.6640625" style="138" customWidth="1"/>
    <col min="47" max="47" width="10.83203125" style="138"/>
    <col min="48" max="48" width="14.6640625" style="138" bestFit="1" customWidth="1"/>
    <col min="49" max="49" width="2.5" style="138" bestFit="1" customWidth="1"/>
    <col min="50" max="50" width="26.83203125" style="138" bestFit="1" customWidth="1"/>
    <col min="51" max="51" width="2.5" style="138" bestFit="1" customWidth="1"/>
    <col min="52" max="52" width="2" style="138" bestFit="1" customWidth="1"/>
    <col min="53" max="53" width="10.83203125" style="138"/>
    <col min="54" max="54" width="2.5" style="138" bestFit="1" customWidth="1"/>
    <col min="55" max="55" width="10.83203125" style="138"/>
    <col min="56" max="56" width="2" style="138" bestFit="1" customWidth="1"/>
    <col min="57" max="16384" width="10.83203125" style="138"/>
  </cols>
  <sheetData>
    <row r="1" spans="2:58" ht="14" thickBot="1" x14ac:dyDescent="0.2"/>
    <row r="2" spans="2:58" ht="20" customHeight="1" thickTop="1" x14ac:dyDescent="0.2">
      <c r="B2" s="1546" t="str">
        <f>'État des Résultats'!C2</f>
        <v>Votre entreprise inc.</v>
      </c>
      <c r="C2" s="1547"/>
      <c r="AU2" s="1572" t="s">
        <v>45</v>
      </c>
      <c r="AV2" s="701"/>
      <c r="AW2" s="701"/>
      <c r="AX2" s="701"/>
      <c r="AY2" s="701"/>
      <c r="AZ2" s="701"/>
      <c r="BA2" s="701"/>
      <c r="BB2" s="701"/>
      <c r="BC2" s="701"/>
      <c r="BD2" s="701"/>
      <c r="BE2" s="1575" t="s">
        <v>46</v>
      </c>
    </row>
    <row r="3" spans="2:58" ht="20" customHeight="1" x14ac:dyDescent="0.2">
      <c r="B3" s="1554" t="str">
        <f>'État des Résultats'!C3</f>
        <v xml:space="preserve">États des résultats </v>
      </c>
      <c r="C3" s="1555"/>
      <c r="AU3" s="1573"/>
      <c r="AV3" s="702"/>
      <c r="AW3" s="702"/>
      <c r="AX3" s="702"/>
      <c r="AY3" s="702"/>
      <c r="AZ3" s="702"/>
      <c r="BA3" s="702"/>
      <c r="BB3" s="702"/>
      <c r="BC3" s="702"/>
      <c r="BD3" s="702"/>
      <c r="BE3" s="1576"/>
    </row>
    <row r="4" spans="2:58" ht="20" customHeight="1" thickBot="1" x14ac:dyDescent="0.3">
      <c r="B4" s="1556" t="str">
        <f>'État des Résultats'!C4</f>
        <v>Pour la période du 2 janvier 2023 au 31 décembre 2023</v>
      </c>
      <c r="C4" s="1557"/>
      <c r="AU4" s="1573"/>
      <c r="AV4" s="703" t="str">
        <f>'[1]Formule pour le calcul D'!BA103</f>
        <v>Coût annuel</v>
      </c>
      <c r="AW4" s="703" t="s">
        <v>48</v>
      </c>
      <c r="AX4" s="703" t="str">
        <f>'[1]Formule pour le calcul D'!BC103</f>
        <v>Achalandage annuelle</v>
      </c>
      <c r="AY4" s="703" t="s">
        <v>50</v>
      </c>
      <c r="AZ4" s="703" t="s">
        <v>51</v>
      </c>
      <c r="BA4" s="703" t="str">
        <f>'[1]Formule pour le calcul D'!BF103</f>
        <v>Um/A</v>
      </c>
      <c r="BB4" s="703" t="s">
        <v>50</v>
      </c>
      <c r="BC4" s="703" t="str">
        <f>'[1]Formule pour le calcul D'!BH103</f>
        <v>CmO</v>
      </c>
      <c r="BD4" s="703" t="s">
        <v>54</v>
      </c>
      <c r="BE4" s="1576"/>
    </row>
    <row r="5" spans="2:58" ht="21" thickTop="1" thickBot="1" x14ac:dyDescent="0.3">
      <c r="AU5" s="1573"/>
      <c r="AV5" s="704" t="s">
        <v>1</v>
      </c>
      <c r="AW5" s="184"/>
      <c r="AX5" s="704"/>
      <c r="AY5" s="184"/>
      <c r="AZ5" s="184"/>
      <c r="BA5" s="184"/>
      <c r="BB5" s="184"/>
      <c r="BC5" s="184"/>
      <c r="BD5" s="184"/>
      <c r="BE5" s="1576"/>
    </row>
    <row r="6" spans="2:58" ht="27" thickTop="1" x14ac:dyDescent="0.3">
      <c r="B6" s="1489" t="str">
        <f>'État des Résultats'!C6</f>
        <v>Nb de places</v>
      </c>
      <c r="C6" s="1537"/>
      <c r="E6" s="530" t="str">
        <f>'Administration &amp; Frais généraux'!E6</f>
        <v>Coût / place / jour</v>
      </c>
      <c r="F6" s="531">
        <f>E31/B7/'Calendrier 2023'!D7</f>
        <v>0.92204999999999993</v>
      </c>
      <c r="G6" s="336"/>
      <c r="H6" s="530" t="str">
        <f>+E6</f>
        <v>Coût / place / jour</v>
      </c>
      <c r="I6" s="531">
        <f>H31/B7/'Calendrier 2023'!E7</f>
        <v>0.92204999999999993</v>
      </c>
      <c r="J6" s="336"/>
      <c r="K6" s="530" t="str">
        <f>+H6</f>
        <v>Coût / place / jour</v>
      </c>
      <c r="L6" s="531">
        <f>K31/B7/'Calendrier 2023'!F7</f>
        <v>1.0653523809523808</v>
      </c>
      <c r="M6" s="336"/>
      <c r="N6" s="530" t="str">
        <f>+K6</f>
        <v>Coût / place / jour</v>
      </c>
      <c r="O6" s="531">
        <f>N31/B7/'Calendrier 2023'!G7</f>
        <v>1.234066220238095</v>
      </c>
      <c r="P6" s="532"/>
      <c r="Q6" s="530" t="str">
        <f>+N6</f>
        <v>Coût / place / jour</v>
      </c>
      <c r="R6" s="531">
        <f>Q31/'Calendrier 2023'!H7</f>
        <v>41.49915178571429</v>
      </c>
      <c r="S6" s="532"/>
      <c r="T6" s="530" t="str">
        <f>+Q6</f>
        <v>Coût / place / jour</v>
      </c>
      <c r="U6" s="531">
        <f>T31/'Calendrier 2023'!I7</f>
        <v>45.976316964285722</v>
      </c>
      <c r="V6" s="336"/>
      <c r="W6" s="530" t="str">
        <f>+T6</f>
        <v>Coût / place / jour</v>
      </c>
      <c r="X6" s="531">
        <f>W31/B7/'Calendrier 2023'!J7</f>
        <v>1.7229941071428574</v>
      </c>
      <c r="Y6" s="336"/>
      <c r="Z6" s="530" t="str">
        <f>+W6</f>
        <v>Coût / place / jour</v>
      </c>
      <c r="AA6" s="531">
        <f>Z31/B7/'Calendrier 2023'!K7</f>
        <v>1.8801788690476191</v>
      </c>
      <c r="AB6" s="336"/>
      <c r="AC6" s="530" t="str">
        <f>+Z6</f>
        <v>Coût / place / jour</v>
      </c>
      <c r="AD6" s="531">
        <f>AC31/B7/'Calendrier 2023'!L7</f>
        <v>1.8801788690476191</v>
      </c>
      <c r="AE6" s="336"/>
      <c r="AF6" s="530" t="str">
        <f>+AC6</f>
        <v>Coût / place / jour</v>
      </c>
      <c r="AG6" s="531">
        <f>AF31/B7/'Calendrier 2023'!M7</f>
        <v>1.9293361607142858</v>
      </c>
      <c r="AH6" s="336"/>
      <c r="AI6" s="530" t="str">
        <f>+AF6</f>
        <v>Coût / place / jour</v>
      </c>
      <c r="AJ6" s="531">
        <f>AI31/B7/'Calendrier 2023'!N7</f>
        <v>1.9293361607142858</v>
      </c>
      <c r="AK6" s="336"/>
      <c r="AL6" s="530" t="str">
        <f>+AI6</f>
        <v>Coût / place / jour</v>
      </c>
      <c r="AM6" s="531">
        <f>AL31/B7/'Calendrier 2023'!O7</f>
        <v>1.7682244047619047</v>
      </c>
      <c r="AN6" s="336"/>
      <c r="AO6" s="606" t="str">
        <f>+AL6</f>
        <v>Coût / place / jour</v>
      </c>
      <c r="AP6" s="607">
        <f>AO31/B7/'Calendrier 2023'!P7</f>
        <v>1.8114452380952382</v>
      </c>
      <c r="AQ6" s="712"/>
      <c r="AR6" s="606" t="str">
        <f>+AO6</f>
        <v>Coût / place / jour</v>
      </c>
      <c r="AS6" s="607">
        <f>AR31/B7/'Calendrier 2023'!R7</f>
        <v>1.5370047206959712</v>
      </c>
      <c r="AT6" s="712"/>
      <c r="AU6" s="1573"/>
      <c r="AV6" s="705" t="str">
        <f>'[1]Formule pour le calcul D'!BA105</f>
        <v xml:space="preserve">C </v>
      </c>
      <c r="AW6" s="706"/>
      <c r="AX6" s="705" t="str">
        <f>'[1]Formule pour le calcul D'!BC105</f>
        <v>A</v>
      </c>
      <c r="AY6" s="706"/>
      <c r="AZ6" s="706"/>
      <c r="BA6" s="705" t="str">
        <f>BA4</f>
        <v>Um/A</v>
      </c>
      <c r="BB6" s="706"/>
      <c r="BC6" s="705" t="str">
        <f>BC4</f>
        <v>CmO</v>
      </c>
      <c r="BD6" s="706"/>
      <c r="BE6" s="1576"/>
    </row>
    <row r="7" spans="2:58" ht="21" x14ac:dyDescent="0.25">
      <c r="B7" s="1538">
        <f>'État des Résultats'!C7</f>
        <v>30</v>
      </c>
      <c r="C7" s="1539"/>
      <c r="E7" s="535">
        <f>+E31/$AR31</f>
        <v>4.6146197290016552E-2</v>
      </c>
      <c r="F7" s="536"/>
      <c r="H7" s="535">
        <f>+H31/$AR31</f>
        <v>4.6146197290016552E-2</v>
      </c>
      <c r="I7" s="536"/>
      <c r="K7" s="535">
        <f>+K31/$AR31</f>
        <v>5.3318107645808195E-2</v>
      </c>
      <c r="L7" s="537"/>
      <c r="N7" s="535">
        <f>+N31/$AR31</f>
        <v>6.1761795204221204E-2</v>
      </c>
      <c r="O7" s="537"/>
      <c r="P7" s="538"/>
      <c r="Q7" s="535">
        <f>+Q31/$AR31</f>
        <v>6.9230809814070621E-2</v>
      </c>
      <c r="R7" s="537"/>
      <c r="S7" s="538"/>
      <c r="T7" s="535">
        <f>+T31/$AR31</f>
        <v>7.6699824423920038E-2</v>
      </c>
      <c r="U7" s="537"/>
      <c r="W7" s="535">
        <f>+W31/$AR31</f>
        <v>8.6231360552844444E-2</v>
      </c>
      <c r="X7" s="537"/>
      <c r="Z7" s="535">
        <f>+Z31/$AR31</f>
        <v>9.4098047862471279E-2</v>
      </c>
      <c r="AA7" s="537"/>
      <c r="AC7" s="535">
        <f>+AC31/$AR31</f>
        <v>9.4098047862471279E-2</v>
      </c>
      <c r="AD7" s="537"/>
      <c r="AF7" s="535">
        <f>+AF31/$AR31</f>
        <v>9.6558242081323714E-2</v>
      </c>
      <c r="AG7" s="537"/>
      <c r="AI7" s="535">
        <f>+AI31/$AR31</f>
        <v>9.6558242081323714E-2</v>
      </c>
      <c r="AJ7" s="537"/>
      <c r="AL7" s="535">
        <f>+AL31/$AR31</f>
        <v>8.8495018963358776E-2</v>
      </c>
      <c r="AM7" s="537"/>
      <c r="AO7" s="535">
        <f>+AO31/$AR31</f>
        <v>9.065810892815343E-2</v>
      </c>
      <c r="AP7" s="611" t="s">
        <v>151</v>
      </c>
      <c r="AQ7" s="713"/>
      <c r="AR7" s="610">
        <f>+E7+H7+K7+N7+Q7+T7+W7+Z7+AC7+AF7+AI7+AL7+AO7</f>
        <v>0.99999999999999978</v>
      </c>
      <c r="AS7" s="611" t="str">
        <f>AP7</f>
        <v>364 jours</v>
      </c>
      <c r="AT7" s="713"/>
      <c r="AU7" s="1573"/>
      <c r="AV7" s="720">
        <f>AR31</f>
        <v>16784.091550000005</v>
      </c>
      <c r="AW7" s="703" t="s">
        <v>48</v>
      </c>
      <c r="AX7" s="721">
        <f>'Formule pour le calcul D'!G114</f>
        <v>54651</v>
      </c>
      <c r="AY7" s="703" t="s">
        <v>50</v>
      </c>
      <c r="AZ7" s="703" t="s">
        <v>51</v>
      </c>
      <c r="BA7" s="722">
        <f>'Formule pour le calcul D'!J114</f>
        <v>2.2692307692307692</v>
      </c>
      <c r="BB7" s="703" t="s">
        <v>50</v>
      </c>
      <c r="BC7" s="720">
        <f>AV7/AX7/BA7</f>
        <v>0.13533840784466242</v>
      </c>
      <c r="BD7" s="703" t="s">
        <v>54</v>
      </c>
      <c r="BE7" s="1576"/>
    </row>
    <row r="8" spans="2:58" ht="17" thickBot="1" x14ac:dyDescent="0.25">
      <c r="B8" s="1493" t="s">
        <v>175</v>
      </c>
      <c r="C8" s="1539"/>
      <c r="E8" s="539" t="str">
        <f>'Calendrier 2023'!D5</f>
        <v>Pér.01</v>
      </c>
      <c r="F8" s="652" t="str">
        <f>'Administration &amp; Frais généraux'!F8</f>
        <v>(%)</v>
      </c>
      <c r="G8" s="541"/>
      <c r="H8" s="539" t="str">
        <f>'Calendrier 2023'!E5</f>
        <v>Pér.02</v>
      </c>
      <c r="I8" s="652" t="str">
        <f>F8</f>
        <v>(%)</v>
      </c>
      <c r="J8" s="541"/>
      <c r="K8" s="539" t="str">
        <f>'Calendrier 2023'!F5</f>
        <v>Pér.03</v>
      </c>
      <c r="L8" s="652" t="str">
        <f>I8</f>
        <v>(%)</v>
      </c>
      <c r="M8" s="541"/>
      <c r="N8" s="539" t="str">
        <f>'Calendrier 2023'!G5</f>
        <v>Pér.04</v>
      </c>
      <c r="O8" s="652" t="str">
        <f>L8</f>
        <v>(%)</v>
      </c>
      <c r="P8" s="542"/>
      <c r="Q8" s="539" t="str">
        <f>'Calendrier 2023'!H5</f>
        <v>Pér.05</v>
      </c>
      <c r="R8" s="652" t="str">
        <f>O8</f>
        <v>(%)</v>
      </c>
      <c r="S8" s="542"/>
      <c r="T8" s="539" t="str">
        <f>'Calendrier 2023'!I5</f>
        <v>Pér.06</v>
      </c>
      <c r="U8" s="652" t="str">
        <f>R8</f>
        <v>(%)</v>
      </c>
      <c r="V8" s="541"/>
      <c r="W8" s="539" t="str">
        <f>'Calendrier 2023'!J5</f>
        <v>Pér.07</v>
      </c>
      <c r="X8" s="652" t="str">
        <f>U8</f>
        <v>(%)</v>
      </c>
      <c r="Y8" s="541"/>
      <c r="Z8" s="539" t="str">
        <f>'Calendrier 2023'!K5</f>
        <v>Pér.08</v>
      </c>
      <c r="AA8" s="652" t="str">
        <f>X8</f>
        <v>(%)</v>
      </c>
      <c r="AB8" s="541"/>
      <c r="AC8" s="539" t="str">
        <f>'Calendrier 2023'!L5</f>
        <v>Pér.09</v>
      </c>
      <c r="AD8" s="652" t="str">
        <f>AA8</f>
        <v>(%)</v>
      </c>
      <c r="AE8" s="541"/>
      <c r="AF8" s="539" t="str">
        <f>'Calendrier 2023'!M5</f>
        <v>Pér.10</v>
      </c>
      <c r="AG8" s="652" t="str">
        <f>AD8</f>
        <v>(%)</v>
      </c>
      <c r="AH8" s="541"/>
      <c r="AI8" s="539" t="str">
        <f>'Calendrier 2023'!N5</f>
        <v>Pér.11</v>
      </c>
      <c r="AJ8" s="652" t="str">
        <f>AG8</f>
        <v>(%)</v>
      </c>
      <c r="AK8" s="541"/>
      <c r="AL8" s="539" t="str">
        <f>'Calendrier 2023'!O5</f>
        <v>Pér.12</v>
      </c>
      <c r="AM8" s="652" t="str">
        <f>AJ8</f>
        <v>(%)</v>
      </c>
      <c r="AN8" s="543" t="s">
        <v>1</v>
      </c>
      <c r="AO8" s="615" t="str">
        <f>'Calendrier 2023'!P5</f>
        <v>Pér.13</v>
      </c>
      <c r="AP8" s="652" t="str">
        <f>AM8</f>
        <v>(%)</v>
      </c>
      <c r="AQ8" s="724"/>
      <c r="AR8" s="615" t="str">
        <f>'Achalandage journalier'!Q5</f>
        <v>Année</v>
      </c>
      <c r="AS8" s="652" t="str">
        <f>AP8</f>
        <v>(%)</v>
      </c>
      <c r="AT8" s="724"/>
      <c r="AU8" s="1574"/>
      <c r="AV8" s="707"/>
      <c r="AW8" s="707"/>
      <c r="AX8" s="707"/>
      <c r="AY8" s="707"/>
      <c r="AZ8" s="707"/>
      <c r="BA8" s="707"/>
      <c r="BB8" s="707"/>
      <c r="BC8" s="707"/>
      <c r="BD8" s="707"/>
      <c r="BE8" s="1577"/>
    </row>
    <row r="9" spans="2:58" ht="15" thickTop="1" thickBot="1" x14ac:dyDescent="0.2">
      <c r="B9" s="1495">
        <f>AO31/$B$7</f>
        <v>50.720466666666667</v>
      </c>
      <c r="C9" s="1524"/>
      <c r="E9" s="574">
        <f>'Achalandage journalier'!D6</f>
        <v>44928</v>
      </c>
      <c r="F9" s="575"/>
      <c r="G9" s="576"/>
      <c r="H9" s="577">
        <f>'Achalandage journalier'!E6</f>
        <v>44956</v>
      </c>
      <c r="I9" s="578"/>
      <c r="J9" s="576"/>
      <c r="K9" s="577">
        <f>'Achalandage journalier'!F6</f>
        <v>44984</v>
      </c>
      <c r="L9" s="578"/>
      <c r="M9" s="576"/>
      <c r="N9" s="574">
        <f>'Achalandage journalier'!G6</f>
        <v>45012</v>
      </c>
      <c r="O9" s="575"/>
      <c r="P9" s="579"/>
      <c r="Q9" s="574">
        <f>'Achalandage journalier'!H6</f>
        <v>45040</v>
      </c>
      <c r="R9" s="575"/>
      <c r="S9" s="579"/>
      <c r="T9" s="577">
        <f>'Achalandage journalier'!I6</f>
        <v>45068</v>
      </c>
      <c r="U9" s="578"/>
      <c r="V9" s="576"/>
      <c r="W9" s="577">
        <f>'Achalandage journalier'!J6</f>
        <v>45096</v>
      </c>
      <c r="X9" s="578"/>
      <c r="Y9" s="576"/>
      <c r="Z9" s="577">
        <f>'Achalandage journalier'!K6</f>
        <v>45124</v>
      </c>
      <c r="AA9" s="578"/>
      <c r="AB9" s="576"/>
      <c r="AC9" s="577">
        <f>'Achalandage journalier'!L6</f>
        <v>45152</v>
      </c>
      <c r="AD9" s="578"/>
      <c r="AE9" s="576"/>
      <c r="AF9" s="577">
        <f>'Achalandage journalier'!M6</f>
        <v>45180</v>
      </c>
      <c r="AG9" s="578"/>
      <c r="AH9" s="576"/>
      <c r="AI9" s="577">
        <f>'Achalandage journalier'!N6</f>
        <v>45208</v>
      </c>
      <c r="AJ9" s="578"/>
      <c r="AK9" s="576"/>
      <c r="AL9" s="577">
        <f>'Achalandage journalier'!O6</f>
        <v>45236</v>
      </c>
      <c r="AM9" s="578"/>
      <c r="AN9" s="708"/>
      <c r="AO9" s="638">
        <f>'Achalandage journalier'!P6</f>
        <v>45264</v>
      </c>
      <c r="AP9" s="618"/>
      <c r="AQ9" s="715"/>
      <c r="AR9" s="617" t="str">
        <f>'Achalandage journalier'!Q6</f>
        <v>Total</v>
      </c>
      <c r="AS9" s="618"/>
      <c r="AT9" s="715"/>
      <c r="AU9" s="640"/>
      <c r="AV9" s="398"/>
      <c r="AW9" s="398"/>
      <c r="AX9" s="398"/>
      <c r="AY9" s="398"/>
      <c r="AZ9" s="398"/>
      <c r="BA9" s="398"/>
      <c r="BB9" s="398"/>
    </row>
    <row r="10" spans="2:58" ht="15" thickTop="1" thickBot="1" x14ac:dyDescent="0.2">
      <c r="D10" s="545"/>
      <c r="G10" s="546"/>
      <c r="J10" s="546"/>
      <c r="M10" s="546"/>
      <c r="P10" s="547"/>
      <c r="S10" s="547"/>
      <c r="V10" s="546"/>
      <c r="Y10" s="366"/>
      <c r="AB10" s="546"/>
      <c r="AE10" s="546"/>
      <c r="AH10" s="546"/>
      <c r="AK10" s="546"/>
      <c r="AN10" s="546"/>
      <c r="AQ10" s="194"/>
      <c r="AT10" s="194"/>
      <c r="AU10" s="336"/>
      <c r="AV10" s="336"/>
    </row>
    <row r="11" spans="2:58" ht="17" thickTop="1" x14ac:dyDescent="0.2">
      <c r="B11" s="404"/>
      <c r="C11" s="645" t="str">
        <f>'État des Résultats'!C33</f>
        <v> Entretien &amp; Réparations </v>
      </c>
      <c r="E11" s="404"/>
      <c r="F11" s="549"/>
      <c r="H11" s="404"/>
      <c r="I11" s="549"/>
      <c r="K11" s="404"/>
      <c r="L11" s="549"/>
      <c r="N11" s="404"/>
      <c r="O11" s="549"/>
      <c r="Q11" s="404"/>
      <c r="R11" s="549"/>
      <c r="T11" s="404"/>
      <c r="U11" s="549"/>
      <c r="W11" s="404"/>
      <c r="X11" s="549"/>
      <c r="Z11" s="404"/>
      <c r="AA11" s="549"/>
      <c r="AC11" s="404"/>
      <c r="AD11" s="549"/>
      <c r="AF11" s="404"/>
      <c r="AG11" s="549"/>
      <c r="AI11" s="404"/>
      <c r="AJ11" s="549"/>
      <c r="AL11" s="404"/>
      <c r="AM11" s="549"/>
      <c r="AO11" s="631"/>
      <c r="AP11" s="632"/>
      <c r="AQ11" s="716"/>
      <c r="AR11" s="626"/>
      <c r="AS11" s="650"/>
      <c r="AT11" s="716"/>
      <c r="AU11" s="366"/>
      <c r="AV11" s="366"/>
      <c r="AW11" s="366"/>
      <c r="AX11" s="366"/>
      <c r="AY11" s="366"/>
      <c r="AZ11" s="366"/>
      <c r="BA11" s="366"/>
      <c r="BB11" s="366"/>
      <c r="BC11" s="366"/>
      <c r="BD11" s="366"/>
      <c r="BE11" s="366"/>
      <c r="BF11" s="366"/>
    </row>
    <row r="12" spans="2:58" x14ac:dyDescent="0.15">
      <c r="B12" s="370"/>
      <c r="C12" s="550"/>
      <c r="E12" s="370"/>
      <c r="F12" s="414"/>
      <c r="H12" s="370"/>
      <c r="I12" s="414"/>
      <c r="K12" s="370"/>
      <c r="L12" s="414"/>
      <c r="N12" s="370"/>
      <c r="O12" s="414"/>
      <c r="Q12" s="370"/>
      <c r="R12" s="414"/>
      <c r="T12" s="370"/>
      <c r="U12" s="414"/>
      <c r="W12" s="370"/>
      <c r="X12" s="414"/>
      <c r="Z12" s="370"/>
      <c r="AA12" s="414"/>
      <c r="AC12" s="370"/>
      <c r="AD12" s="414"/>
      <c r="AF12" s="370"/>
      <c r="AG12" s="414"/>
      <c r="AI12" s="370"/>
      <c r="AJ12" s="414"/>
      <c r="AL12" s="370"/>
      <c r="AM12" s="371"/>
      <c r="AO12" s="633"/>
      <c r="AP12" s="634"/>
      <c r="AQ12" s="716"/>
      <c r="AR12" s="627"/>
      <c r="AS12" s="651"/>
      <c r="AT12" s="716"/>
      <c r="AU12" s="366"/>
      <c r="AV12" s="366"/>
      <c r="AW12" s="366"/>
      <c r="AX12" s="366"/>
      <c r="AY12" s="366"/>
      <c r="AZ12" s="366"/>
      <c r="BA12" s="366"/>
      <c r="BB12" s="366"/>
      <c r="BC12" s="366"/>
      <c r="BD12" s="366"/>
      <c r="BE12" s="366"/>
      <c r="BF12" s="366"/>
    </row>
    <row r="13" spans="2:58" x14ac:dyDescent="0.15">
      <c r="B13" s="723">
        <v>7902</v>
      </c>
      <c r="C13" s="414" t="s">
        <v>285</v>
      </c>
      <c r="E13" s="621">
        <v>0</v>
      </c>
      <c r="F13" s="553">
        <f>E13/'État des Résultats'!E$14</f>
        <v>0</v>
      </c>
      <c r="H13" s="621">
        <v>0</v>
      </c>
      <c r="I13" s="553">
        <f>H13/'État des Résultats'!H$14</f>
        <v>0</v>
      </c>
      <c r="K13" s="621">
        <v>0</v>
      </c>
      <c r="L13" s="553">
        <f>K13/'État des Résultats'!K$14</f>
        <v>0</v>
      </c>
      <c r="N13" s="621">
        <v>0</v>
      </c>
      <c r="O13" s="553">
        <f>N13/'État des Résultats'!N$14</f>
        <v>0</v>
      </c>
      <c r="Q13" s="621">
        <v>0</v>
      </c>
      <c r="R13" s="553">
        <f>Q13/'État des Résultats'!Q$14</f>
        <v>0</v>
      </c>
      <c r="T13" s="621">
        <v>0</v>
      </c>
      <c r="U13" s="553">
        <f>T13/'État des Résultats'!T$14</f>
        <v>0</v>
      </c>
      <c r="W13" s="621">
        <v>0</v>
      </c>
      <c r="X13" s="553">
        <f>W13/'État des Résultats'!W$14</f>
        <v>0</v>
      </c>
      <c r="Z13" s="621">
        <v>0</v>
      </c>
      <c r="AA13" s="553">
        <f>Z13/'État des Résultats'!Z$14</f>
        <v>0</v>
      </c>
      <c r="AC13" s="621">
        <v>0</v>
      </c>
      <c r="AD13" s="553">
        <f>AC13/'État des Résultats'!AC$14</f>
        <v>0</v>
      </c>
      <c r="AF13" s="621">
        <v>0</v>
      </c>
      <c r="AG13" s="553">
        <f>AF13/'État des Résultats'!AF$14</f>
        <v>0</v>
      </c>
      <c r="AI13" s="621">
        <v>0</v>
      </c>
      <c r="AJ13" s="553">
        <f>AI13/'État des Résultats'!AI$14</f>
        <v>0</v>
      </c>
      <c r="AL13" s="621">
        <v>0</v>
      </c>
      <c r="AM13" s="553">
        <f>AL13/'État des Résultats'!AL$14</f>
        <v>0</v>
      </c>
      <c r="AO13" s="621">
        <v>0</v>
      </c>
      <c r="AP13" s="553">
        <f>AO13/'État des Résultats'!AO$14</f>
        <v>0</v>
      </c>
      <c r="AQ13" s="717"/>
      <c r="AR13" s="628">
        <f>SUM(+AO13+$AL13+$AI13+$AF13+$AC13+$Z13+$W13+$T13+$Q13+$N13+$K13+$H13+$E13)</f>
        <v>0</v>
      </c>
      <c r="AS13" s="629">
        <f>AR13/'État des Résultats'!AR$14</f>
        <v>0</v>
      </c>
      <c r="AT13" s="717"/>
    </row>
    <row r="14" spans="2:58" x14ac:dyDescent="0.15">
      <c r="B14" s="551">
        <v>7904</v>
      </c>
      <c r="C14" s="414" t="s">
        <v>286</v>
      </c>
      <c r="E14" s="621">
        <v>500</v>
      </c>
      <c r="F14" s="553">
        <f>E14/'État des Résultats'!E$14</f>
        <v>1.8213476515543382E-2</v>
      </c>
      <c r="H14" s="621">
        <v>500</v>
      </c>
      <c r="I14" s="553">
        <f>H14/'État des Résultats'!H$14</f>
        <v>1.8213476515543382E-2</v>
      </c>
      <c r="K14" s="621">
        <v>500</v>
      </c>
      <c r="L14" s="553">
        <f>K14/'État des Résultats'!K$14</f>
        <v>1.2661561525059763E-2</v>
      </c>
      <c r="N14" s="621">
        <v>500</v>
      </c>
      <c r="O14" s="553">
        <f>N14/'État des Résultats'!N$14</f>
        <v>9.3176563764799051E-3</v>
      </c>
      <c r="Q14" s="621">
        <v>500</v>
      </c>
      <c r="R14" s="553">
        <f>Q14/'État des Résultats'!Q$14</f>
        <v>7.553141068127444E-3</v>
      </c>
      <c r="T14" s="621">
        <v>500</v>
      </c>
      <c r="U14" s="553">
        <f>T14/'État des Résultats'!T$14</f>
        <v>6.3505218144393394E-3</v>
      </c>
      <c r="W14" s="621">
        <v>500</v>
      </c>
      <c r="X14" s="553">
        <f>W14/'État des Résultats'!W$14</f>
        <v>5.2780751240044154E-3</v>
      </c>
      <c r="Z14" s="621">
        <v>500</v>
      </c>
      <c r="AA14" s="553">
        <f>Z14/'État des Résultats'!Z$14</f>
        <v>4.6324165858116946E-3</v>
      </c>
      <c r="AC14" s="621">
        <v>500</v>
      </c>
      <c r="AD14" s="553">
        <f>AC14/'État des Résultats'!AC$14</f>
        <v>4.6324165858116946E-3</v>
      </c>
      <c r="AF14" s="621">
        <v>500</v>
      </c>
      <c r="AG14" s="553">
        <f>AF14/'État des Résultats'!AF$14</f>
        <v>4.461726694923525E-3</v>
      </c>
      <c r="AI14" s="621">
        <v>500</v>
      </c>
      <c r="AJ14" s="553">
        <f>AI14/'État des Résultats'!AI$14</f>
        <v>4.461726694923525E-3</v>
      </c>
      <c r="AL14" s="621">
        <v>500</v>
      </c>
      <c r="AM14" s="553">
        <f>AL14/'État des Résultats'!AL$14</f>
        <v>5.0745527923487929E-3</v>
      </c>
      <c r="AO14" s="621">
        <v>500</v>
      </c>
      <c r="AP14" s="553">
        <f>AO14/'État des Résultats'!AO$14</f>
        <v>4.894216406588007E-3</v>
      </c>
      <c r="AQ14" s="717"/>
      <c r="AR14" s="628">
        <f t="shared" ref="AR14:AR29" si="0">SUM(+AO14+$AL14+$AI14+$AF14+$AC14+$Z14+$W14+$T14+$Q14+$N14+$K14+$H14+$E14)</f>
        <v>6500</v>
      </c>
      <c r="AS14" s="629">
        <f>AR14/'État des Résultats'!AR$14</f>
        <v>6.3204415950575627E-3</v>
      </c>
      <c r="AT14" s="717"/>
    </row>
    <row r="15" spans="2:58" x14ac:dyDescent="0.15">
      <c r="B15" s="551">
        <v>7906</v>
      </c>
      <c r="C15" s="414" t="s">
        <v>287</v>
      </c>
      <c r="E15" s="621">
        <v>0</v>
      </c>
      <c r="F15" s="553">
        <f>E15/'État des Résultats'!E$14</f>
        <v>0</v>
      </c>
      <c r="G15" s="554" t="s">
        <v>1</v>
      </c>
      <c r="H15" s="621">
        <v>0</v>
      </c>
      <c r="I15" s="553">
        <f>H15/'État des Résultats'!H$14</f>
        <v>0</v>
      </c>
      <c r="K15" s="621">
        <v>0</v>
      </c>
      <c r="L15" s="553">
        <f>K15/'État des Résultats'!K$14</f>
        <v>0</v>
      </c>
      <c r="N15" s="621">
        <v>0</v>
      </c>
      <c r="O15" s="553">
        <f>N15/'État des Résultats'!N$14</f>
        <v>0</v>
      </c>
      <c r="Q15" s="621">
        <v>0</v>
      </c>
      <c r="R15" s="553">
        <f>Q15/'État des Résultats'!Q$14</f>
        <v>0</v>
      </c>
      <c r="T15" s="621">
        <v>0</v>
      </c>
      <c r="U15" s="553">
        <f>T15/'État des Résultats'!T$14</f>
        <v>0</v>
      </c>
      <c r="W15" s="621">
        <v>0</v>
      </c>
      <c r="X15" s="553">
        <f>W15/'État des Résultats'!W$14</f>
        <v>0</v>
      </c>
      <c r="Z15" s="621">
        <v>0</v>
      </c>
      <c r="AA15" s="553">
        <f>Z15/'État des Résultats'!Z$14</f>
        <v>0</v>
      </c>
      <c r="AC15" s="621">
        <v>0</v>
      </c>
      <c r="AD15" s="553">
        <f>AC15/'État des Résultats'!AC$14</f>
        <v>0</v>
      </c>
      <c r="AF15" s="621">
        <v>0</v>
      </c>
      <c r="AG15" s="553">
        <f>AF15/'État des Résultats'!AF$14</f>
        <v>0</v>
      </c>
      <c r="AI15" s="621">
        <v>0</v>
      </c>
      <c r="AJ15" s="553">
        <f>AI15/'État des Résultats'!AI$14</f>
        <v>0</v>
      </c>
      <c r="AL15" s="621">
        <v>0</v>
      </c>
      <c r="AM15" s="553">
        <f>AL15/'État des Résultats'!AL$14</f>
        <v>0</v>
      </c>
      <c r="AO15" s="621">
        <v>0</v>
      </c>
      <c r="AP15" s="553">
        <f>AO15/'État des Résultats'!AO$14</f>
        <v>0</v>
      </c>
      <c r="AQ15" s="717"/>
      <c r="AR15" s="628">
        <f t="shared" si="0"/>
        <v>0</v>
      </c>
      <c r="AS15" s="629">
        <f>AR15/'État des Résultats'!AR$14</f>
        <v>0</v>
      </c>
      <c r="AT15" s="717"/>
    </row>
    <row r="16" spans="2:58" x14ac:dyDescent="0.15">
      <c r="B16" s="551">
        <v>7908</v>
      </c>
      <c r="C16" s="414" t="s">
        <v>288</v>
      </c>
      <c r="E16" s="621">
        <v>0</v>
      </c>
      <c r="F16" s="553">
        <f>E16/'État des Résultats'!E$14</f>
        <v>0</v>
      </c>
      <c r="H16" s="621">
        <v>0</v>
      </c>
      <c r="I16" s="553">
        <f>H16/'État des Résultats'!H$14</f>
        <v>0</v>
      </c>
      <c r="K16" s="621">
        <v>0</v>
      </c>
      <c r="L16" s="553">
        <f>K16/'État des Résultats'!K$14</f>
        <v>0</v>
      </c>
      <c r="N16" s="621">
        <v>0</v>
      </c>
      <c r="O16" s="553">
        <f>N16/'État des Résultats'!N$14</f>
        <v>0</v>
      </c>
      <c r="Q16" s="621">
        <v>0</v>
      </c>
      <c r="R16" s="553">
        <f>Q16/'État des Résultats'!Q$14</f>
        <v>0</v>
      </c>
      <c r="T16" s="621">
        <v>0</v>
      </c>
      <c r="U16" s="553">
        <f>T16/'État des Résultats'!T$14</f>
        <v>0</v>
      </c>
      <c r="W16" s="621">
        <v>0</v>
      </c>
      <c r="X16" s="553">
        <f>W16/'État des Résultats'!W$14</f>
        <v>0</v>
      </c>
      <c r="Z16" s="621">
        <v>0</v>
      </c>
      <c r="AA16" s="553">
        <f>Z16/'État des Résultats'!Z$14</f>
        <v>0</v>
      </c>
      <c r="AC16" s="621">
        <v>0</v>
      </c>
      <c r="AD16" s="553">
        <f>AC16/'État des Résultats'!AC$14</f>
        <v>0</v>
      </c>
      <c r="AF16" s="621">
        <v>0</v>
      </c>
      <c r="AG16" s="553">
        <f>AF16/'État des Résultats'!AF$14</f>
        <v>0</v>
      </c>
      <c r="AI16" s="621">
        <v>0</v>
      </c>
      <c r="AJ16" s="553">
        <f>AI16/'État des Résultats'!AI$14</f>
        <v>0</v>
      </c>
      <c r="AL16" s="621">
        <v>0</v>
      </c>
      <c r="AM16" s="553">
        <f>AL16/'État des Résultats'!AL$14</f>
        <v>0</v>
      </c>
      <c r="AO16" s="621">
        <v>0</v>
      </c>
      <c r="AP16" s="553">
        <f>AO16/'État des Résultats'!AO$14</f>
        <v>0</v>
      </c>
      <c r="AQ16" s="717"/>
      <c r="AR16" s="628">
        <f t="shared" si="0"/>
        <v>0</v>
      </c>
      <c r="AS16" s="629">
        <f>AR16/'État des Résultats'!AR$14</f>
        <v>0</v>
      </c>
      <c r="AT16" s="717"/>
    </row>
    <row r="17" spans="2:49" x14ac:dyDescent="0.15">
      <c r="B17" s="551">
        <v>7910</v>
      </c>
      <c r="C17" s="414" t="s">
        <v>289</v>
      </c>
      <c r="E17" s="621">
        <v>0</v>
      </c>
      <c r="F17" s="553">
        <f>E17/'État des Résultats'!E$14</f>
        <v>0</v>
      </c>
      <c r="H17" s="621">
        <v>0</v>
      </c>
      <c r="I17" s="553">
        <f>H17/'État des Résultats'!H$14</f>
        <v>0</v>
      </c>
      <c r="K17" s="621">
        <v>0</v>
      </c>
      <c r="L17" s="553">
        <f>K17/'État des Résultats'!K$14</f>
        <v>0</v>
      </c>
      <c r="N17" s="621">
        <v>0</v>
      </c>
      <c r="O17" s="553">
        <f>N17/'État des Résultats'!N$14</f>
        <v>0</v>
      </c>
      <c r="Q17" s="621">
        <v>0</v>
      </c>
      <c r="R17" s="553">
        <f>Q17/'État des Résultats'!Q$14</f>
        <v>0</v>
      </c>
      <c r="T17" s="621">
        <v>0</v>
      </c>
      <c r="U17" s="553">
        <f>T17/'État des Résultats'!T$14</f>
        <v>0</v>
      </c>
      <c r="W17" s="621">
        <v>0</v>
      </c>
      <c r="X17" s="553">
        <f>W17/'État des Résultats'!W$14</f>
        <v>0</v>
      </c>
      <c r="Z17" s="621">
        <v>0</v>
      </c>
      <c r="AA17" s="553">
        <f>Z17/'État des Résultats'!Z$14</f>
        <v>0</v>
      </c>
      <c r="AC17" s="621">
        <v>0</v>
      </c>
      <c r="AD17" s="553">
        <f>AC17/'État des Résultats'!AC$14</f>
        <v>0</v>
      </c>
      <c r="AF17" s="621">
        <v>0</v>
      </c>
      <c r="AG17" s="553">
        <f>AF17/'État des Résultats'!AF$14</f>
        <v>0</v>
      </c>
      <c r="AI17" s="621">
        <v>0</v>
      </c>
      <c r="AJ17" s="553">
        <f>AI17/'État des Résultats'!AI$14</f>
        <v>0</v>
      </c>
      <c r="AL17" s="621">
        <v>0</v>
      </c>
      <c r="AM17" s="553">
        <f>AL17/'État des Résultats'!AL$14</f>
        <v>0</v>
      </c>
      <c r="AO17" s="621">
        <v>0</v>
      </c>
      <c r="AP17" s="553">
        <f>AO17/'État des Résultats'!AO$14</f>
        <v>0</v>
      </c>
      <c r="AQ17" s="717"/>
      <c r="AR17" s="628">
        <f t="shared" si="0"/>
        <v>0</v>
      </c>
      <c r="AS17" s="629">
        <f>AR17/'État des Résultats'!AR$14</f>
        <v>0</v>
      </c>
      <c r="AT17" s="717"/>
    </row>
    <row r="18" spans="2:49" x14ac:dyDescent="0.15">
      <c r="B18" s="551">
        <v>7912</v>
      </c>
      <c r="C18" s="414" t="s">
        <v>290</v>
      </c>
      <c r="E18" s="621">
        <v>0</v>
      </c>
      <c r="F18" s="553">
        <f>E18/'État des Résultats'!E$14</f>
        <v>0</v>
      </c>
      <c r="H18" s="621">
        <v>0</v>
      </c>
      <c r="I18" s="553">
        <f>H18/'État des Résultats'!H$14</f>
        <v>0</v>
      </c>
      <c r="K18" s="621">
        <v>0</v>
      </c>
      <c r="L18" s="553">
        <f>K18/'État des Résultats'!K$14</f>
        <v>0</v>
      </c>
      <c r="N18" s="621">
        <v>0</v>
      </c>
      <c r="O18" s="553">
        <f>N18/'État des Résultats'!N$14</f>
        <v>0</v>
      </c>
      <c r="Q18" s="621">
        <v>0</v>
      </c>
      <c r="R18" s="553">
        <f>Q18/'État des Résultats'!Q$14</f>
        <v>0</v>
      </c>
      <c r="T18" s="621">
        <v>0</v>
      </c>
      <c r="U18" s="553">
        <f>T18/'État des Résultats'!T$14</f>
        <v>0</v>
      </c>
      <c r="W18" s="621">
        <v>0</v>
      </c>
      <c r="X18" s="553">
        <f>W18/'État des Résultats'!W$14</f>
        <v>0</v>
      </c>
      <c r="Z18" s="621">
        <v>0</v>
      </c>
      <c r="AA18" s="553">
        <f>Z18/'État des Résultats'!Z$14</f>
        <v>0</v>
      </c>
      <c r="AC18" s="621">
        <v>0</v>
      </c>
      <c r="AD18" s="553">
        <f>AC18/'État des Résultats'!AC$14</f>
        <v>0</v>
      </c>
      <c r="AF18" s="621">
        <v>0</v>
      </c>
      <c r="AG18" s="553">
        <f>AF18/'État des Résultats'!AF$14</f>
        <v>0</v>
      </c>
      <c r="AI18" s="621">
        <v>0</v>
      </c>
      <c r="AJ18" s="553">
        <f>AI18/'État des Résultats'!AI$14</f>
        <v>0</v>
      </c>
      <c r="AL18" s="621">
        <v>0</v>
      </c>
      <c r="AM18" s="553">
        <f>AL18/'État des Résultats'!AL$14</f>
        <v>0</v>
      </c>
      <c r="AO18" s="621">
        <v>0</v>
      </c>
      <c r="AP18" s="553">
        <f>AO18/'État des Résultats'!AO$14</f>
        <v>0</v>
      </c>
      <c r="AQ18" s="717"/>
      <c r="AR18" s="628">
        <f t="shared" si="0"/>
        <v>0</v>
      </c>
      <c r="AS18" s="629">
        <f>AR18/'État des Résultats'!AR$14</f>
        <v>0</v>
      </c>
      <c r="AT18" s="717"/>
      <c r="AU18" s="139"/>
    </row>
    <row r="19" spans="2:49" x14ac:dyDescent="0.15">
      <c r="B19" s="551">
        <v>7914</v>
      </c>
      <c r="C19" s="414" t="s">
        <v>291</v>
      </c>
      <c r="E19" s="621">
        <v>0</v>
      </c>
      <c r="F19" s="553">
        <f>E19/'État des Résultats'!E$14</f>
        <v>0</v>
      </c>
      <c r="H19" s="621">
        <v>0</v>
      </c>
      <c r="I19" s="553">
        <f>H19/'État des Résultats'!H$14</f>
        <v>0</v>
      </c>
      <c r="K19" s="621">
        <v>0</v>
      </c>
      <c r="L19" s="553">
        <f>K19/'État des Résultats'!K$14</f>
        <v>0</v>
      </c>
      <c r="N19" s="621">
        <v>0</v>
      </c>
      <c r="O19" s="553">
        <f>N19/'État des Résultats'!N$14</f>
        <v>0</v>
      </c>
      <c r="Q19" s="621">
        <v>0</v>
      </c>
      <c r="R19" s="553">
        <f>Q19/'État des Résultats'!Q$14</f>
        <v>0</v>
      </c>
      <c r="T19" s="621">
        <v>0</v>
      </c>
      <c r="U19" s="553">
        <f>T19/'État des Résultats'!T$14</f>
        <v>0</v>
      </c>
      <c r="W19" s="621">
        <v>0</v>
      </c>
      <c r="X19" s="553">
        <f>W19/'État des Résultats'!W$14</f>
        <v>0</v>
      </c>
      <c r="Z19" s="621">
        <v>0</v>
      </c>
      <c r="AA19" s="553">
        <f>Z19/'État des Résultats'!Z$14</f>
        <v>0</v>
      </c>
      <c r="AC19" s="621">
        <v>0</v>
      </c>
      <c r="AD19" s="553">
        <f>AC19/'État des Résultats'!AC$14</f>
        <v>0</v>
      </c>
      <c r="AF19" s="621">
        <v>0</v>
      </c>
      <c r="AG19" s="553">
        <f>AF19/'État des Résultats'!AF$14</f>
        <v>0</v>
      </c>
      <c r="AI19" s="621">
        <v>0</v>
      </c>
      <c r="AJ19" s="553">
        <f>AI19/'État des Résultats'!AI$14</f>
        <v>0</v>
      </c>
      <c r="AL19" s="621">
        <v>0</v>
      </c>
      <c r="AM19" s="553">
        <f>AL19/'État des Résultats'!AL$14</f>
        <v>0</v>
      </c>
      <c r="AO19" s="621">
        <v>0</v>
      </c>
      <c r="AP19" s="553">
        <f>AO19/'État des Résultats'!AO$14</f>
        <v>0</v>
      </c>
      <c r="AQ19" s="717"/>
      <c r="AR19" s="628">
        <f t="shared" si="0"/>
        <v>0</v>
      </c>
      <c r="AS19" s="629">
        <f>AR19/'État des Résultats'!AR$14</f>
        <v>0</v>
      </c>
      <c r="AT19" s="717"/>
    </row>
    <row r="20" spans="2:49" x14ac:dyDescent="0.15">
      <c r="B20" s="723">
        <v>7916</v>
      </c>
      <c r="C20" s="414" t="s">
        <v>292</v>
      </c>
      <c r="E20" s="621">
        <v>0</v>
      </c>
      <c r="F20" s="553">
        <f>E20/'État des Résultats'!E$14</f>
        <v>0</v>
      </c>
      <c r="H20" s="621">
        <v>0</v>
      </c>
      <c r="I20" s="553">
        <f>H20/'État des Résultats'!H$14</f>
        <v>0</v>
      </c>
      <c r="K20" s="621">
        <v>0</v>
      </c>
      <c r="L20" s="553">
        <f>K20/'État des Résultats'!K$14</f>
        <v>0</v>
      </c>
      <c r="N20" s="621">
        <v>0</v>
      </c>
      <c r="O20" s="553">
        <f>N20/'État des Résultats'!N$14</f>
        <v>0</v>
      </c>
      <c r="Q20" s="621">
        <v>0</v>
      </c>
      <c r="R20" s="553">
        <f>Q20/'État des Résultats'!Q$14</f>
        <v>0</v>
      </c>
      <c r="T20" s="621">
        <v>0</v>
      </c>
      <c r="U20" s="553">
        <f>T20/'État des Résultats'!T$14</f>
        <v>0</v>
      </c>
      <c r="W20" s="621">
        <v>0</v>
      </c>
      <c r="X20" s="553">
        <f>W20/'État des Résultats'!W$14</f>
        <v>0</v>
      </c>
      <c r="Z20" s="621">
        <v>0</v>
      </c>
      <c r="AA20" s="553">
        <f>Z20/'État des Résultats'!Z$14</f>
        <v>0</v>
      </c>
      <c r="AC20" s="621">
        <v>0</v>
      </c>
      <c r="AD20" s="553">
        <f>AC20/'État des Résultats'!AC$14</f>
        <v>0</v>
      </c>
      <c r="AF20" s="621">
        <v>0</v>
      </c>
      <c r="AG20" s="553">
        <f>AF20/'État des Résultats'!AF$14</f>
        <v>0</v>
      </c>
      <c r="AI20" s="621">
        <v>0</v>
      </c>
      <c r="AJ20" s="553">
        <f>AI20/'État des Résultats'!AI$14</f>
        <v>0</v>
      </c>
      <c r="AL20" s="621">
        <v>0</v>
      </c>
      <c r="AM20" s="553">
        <f>AL20/'État des Résultats'!AL$14</f>
        <v>0</v>
      </c>
      <c r="AO20" s="621">
        <v>0</v>
      </c>
      <c r="AP20" s="553">
        <f>AO20/'État des Résultats'!AO$14</f>
        <v>0</v>
      </c>
      <c r="AQ20" s="717"/>
      <c r="AR20" s="628">
        <f t="shared" si="0"/>
        <v>0</v>
      </c>
      <c r="AS20" s="629">
        <f>AR20/'État des Résultats'!AR$14</f>
        <v>0</v>
      </c>
      <c r="AT20" s="717"/>
    </row>
    <row r="21" spans="2:49" x14ac:dyDescent="0.15">
      <c r="B21" s="551">
        <v>7918</v>
      </c>
      <c r="C21" s="414" t="s">
        <v>293</v>
      </c>
      <c r="E21" s="621">
        <v>0</v>
      </c>
      <c r="F21" s="553">
        <f>E21/'État des Résultats'!E$14</f>
        <v>0</v>
      </c>
      <c r="H21" s="621">
        <v>0</v>
      </c>
      <c r="I21" s="553">
        <f>H21/'État des Résultats'!H$14</f>
        <v>0</v>
      </c>
      <c r="K21" s="621">
        <v>0</v>
      </c>
      <c r="L21" s="553">
        <f>K21/'État des Résultats'!K$14</f>
        <v>0</v>
      </c>
      <c r="N21" s="621">
        <v>0</v>
      </c>
      <c r="O21" s="553">
        <f>N21/'État des Résultats'!N$14</f>
        <v>0</v>
      </c>
      <c r="Q21" s="621">
        <v>0</v>
      </c>
      <c r="R21" s="553">
        <f>Q21/'État des Résultats'!Q$14</f>
        <v>0</v>
      </c>
      <c r="T21" s="621">
        <v>0</v>
      </c>
      <c r="U21" s="553">
        <f>T21/'État des Résultats'!T$14</f>
        <v>0</v>
      </c>
      <c r="W21" s="621">
        <v>0</v>
      </c>
      <c r="X21" s="553">
        <f>W21/'État des Résultats'!W$14</f>
        <v>0</v>
      </c>
      <c r="Z21" s="621">
        <v>0</v>
      </c>
      <c r="AA21" s="553">
        <f>Z21/'État des Résultats'!Z$14</f>
        <v>0</v>
      </c>
      <c r="AC21" s="621">
        <v>0</v>
      </c>
      <c r="AD21" s="553">
        <f>AC21/'État des Résultats'!AC$14</f>
        <v>0</v>
      </c>
      <c r="AF21" s="621">
        <v>0</v>
      </c>
      <c r="AG21" s="553">
        <f>AF21/'État des Résultats'!AF$14</f>
        <v>0</v>
      </c>
      <c r="AI21" s="621">
        <v>0</v>
      </c>
      <c r="AJ21" s="553">
        <f>AI21/'État des Résultats'!AI$14</f>
        <v>0</v>
      </c>
      <c r="AL21" s="621">
        <v>0</v>
      </c>
      <c r="AM21" s="553">
        <f>AL21/'État des Résultats'!AL$14</f>
        <v>0</v>
      </c>
      <c r="AO21" s="621">
        <v>0</v>
      </c>
      <c r="AP21" s="553">
        <f>AO21/'État des Résultats'!AO$14</f>
        <v>0</v>
      </c>
      <c r="AQ21" s="717"/>
      <c r="AR21" s="628">
        <f t="shared" si="0"/>
        <v>0</v>
      </c>
      <c r="AS21" s="629">
        <f>AR21/'État des Résultats'!AR$14</f>
        <v>0</v>
      </c>
      <c r="AT21" s="717"/>
    </row>
    <row r="22" spans="2:49" x14ac:dyDescent="0.15">
      <c r="B22" s="551">
        <v>7920</v>
      </c>
      <c r="C22" s="414" t="s">
        <v>294</v>
      </c>
      <c r="E22" s="621">
        <v>0</v>
      </c>
      <c r="F22" s="553">
        <f>E22/'État des Résultats'!E$14</f>
        <v>0</v>
      </c>
      <c r="H22" s="621">
        <v>0</v>
      </c>
      <c r="I22" s="553">
        <f>H22/'État des Résultats'!H$14</f>
        <v>0</v>
      </c>
      <c r="K22" s="621">
        <v>0</v>
      </c>
      <c r="L22" s="553">
        <f>K22/'État des Résultats'!K$14</f>
        <v>0</v>
      </c>
      <c r="N22" s="621">
        <v>0</v>
      </c>
      <c r="O22" s="553">
        <f>N22/'État des Résultats'!N$14</f>
        <v>0</v>
      </c>
      <c r="Q22" s="621">
        <v>0</v>
      </c>
      <c r="R22" s="553">
        <f>Q22/'État des Résultats'!Q$14</f>
        <v>0</v>
      </c>
      <c r="T22" s="621">
        <v>0</v>
      </c>
      <c r="U22" s="553">
        <f>T22/'État des Résultats'!T$14</f>
        <v>0</v>
      </c>
      <c r="W22" s="621">
        <v>0</v>
      </c>
      <c r="X22" s="553">
        <f>W22/'État des Résultats'!W$14</f>
        <v>0</v>
      </c>
      <c r="Z22" s="621">
        <v>0</v>
      </c>
      <c r="AA22" s="553">
        <f>Z22/'État des Résultats'!Z$14</f>
        <v>0</v>
      </c>
      <c r="AC22" s="621">
        <v>0</v>
      </c>
      <c r="AD22" s="553">
        <f>AC22/'État des Résultats'!AC$14</f>
        <v>0</v>
      </c>
      <c r="AF22" s="621">
        <v>0</v>
      </c>
      <c r="AG22" s="553">
        <f>AF22/'État des Résultats'!AF$14</f>
        <v>0</v>
      </c>
      <c r="AI22" s="621">
        <v>0</v>
      </c>
      <c r="AJ22" s="553">
        <f>AI22/'État des Résultats'!AI$14</f>
        <v>0</v>
      </c>
      <c r="AL22" s="621">
        <v>0</v>
      </c>
      <c r="AM22" s="553">
        <f>AL22/'État des Résultats'!AL$14</f>
        <v>0</v>
      </c>
      <c r="AO22" s="621">
        <v>0</v>
      </c>
      <c r="AP22" s="553">
        <f>AO22/'État des Résultats'!AO$14</f>
        <v>0</v>
      </c>
      <c r="AQ22" s="717"/>
      <c r="AR22" s="628">
        <f t="shared" si="0"/>
        <v>0</v>
      </c>
      <c r="AS22" s="629">
        <f>AR22/'État des Résultats'!AR$14</f>
        <v>0</v>
      </c>
      <c r="AT22" s="717"/>
    </row>
    <row r="23" spans="2:49" x14ac:dyDescent="0.15">
      <c r="B23" s="551">
        <v>7922</v>
      </c>
      <c r="C23" s="414" t="s">
        <v>295</v>
      </c>
      <c r="E23" s="621">
        <v>0</v>
      </c>
      <c r="F23" s="553">
        <f>E23/'État des Résultats'!E$14</f>
        <v>0</v>
      </c>
      <c r="H23" s="621">
        <v>0</v>
      </c>
      <c r="I23" s="553">
        <f>H23/'État des Résultats'!H$14</f>
        <v>0</v>
      </c>
      <c r="K23" s="621">
        <v>0</v>
      </c>
      <c r="L23" s="553">
        <f>K23/'État des Résultats'!K$14</f>
        <v>0</v>
      </c>
      <c r="N23" s="621">
        <v>0</v>
      </c>
      <c r="O23" s="553">
        <f>N23/'État des Résultats'!N$14</f>
        <v>0</v>
      </c>
      <c r="Q23" s="621">
        <v>0</v>
      </c>
      <c r="R23" s="553">
        <f>Q23/'État des Résultats'!Q$14</f>
        <v>0</v>
      </c>
      <c r="T23" s="621">
        <v>0</v>
      </c>
      <c r="U23" s="553">
        <f>T23/'État des Résultats'!T$14</f>
        <v>0</v>
      </c>
      <c r="W23" s="621">
        <v>0</v>
      </c>
      <c r="X23" s="553">
        <f>W23/'État des Résultats'!W$14</f>
        <v>0</v>
      </c>
      <c r="Z23" s="621">
        <v>0</v>
      </c>
      <c r="AA23" s="553">
        <f>Z23/'État des Résultats'!Z$14</f>
        <v>0</v>
      </c>
      <c r="AC23" s="621">
        <v>0</v>
      </c>
      <c r="AD23" s="553">
        <f>AC23/'État des Résultats'!AC$14</f>
        <v>0</v>
      </c>
      <c r="AF23" s="621">
        <v>0</v>
      </c>
      <c r="AG23" s="553">
        <f>AF23/'État des Résultats'!AF$14</f>
        <v>0</v>
      </c>
      <c r="AI23" s="621">
        <v>0</v>
      </c>
      <c r="AJ23" s="553">
        <f>AI23/'État des Résultats'!AI$14</f>
        <v>0</v>
      </c>
      <c r="AL23" s="621">
        <v>0</v>
      </c>
      <c r="AM23" s="553">
        <f>AL23/'État des Résultats'!AL$14</f>
        <v>0</v>
      </c>
      <c r="AO23" s="621">
        <v>0</v>
      </c>
      <c r="AP23" s="553">
        <f>AO23/'État des Résultats'!AO$14</f>
        <v>0</v>
      </c>
      <c r="AQ23" s="717"/>
      <c r="AR23" s="628">
        <f t="shared" si="0"/>
        <v>0</v>
      </c>
      <c r="AS23" s="629">
        <f>AR23/'État des Résultats'!AR$14</f>
        <v>0</v>
      </c>
      <c r="AT23" s="717"/>
    </row>
    <row r="24" spans="2:49" x14ac:dyDescent="0.15">
      <c r="B24" s="551">
        <v>7924</v>
      </c>
      <c r="C24" s="414" t="s">
        <v>296</v>
      </c>
      <c r="E24" s="621">
        <v>0</v>
      </c>
      <c r="F24" s="553">
        <f>E24/'État des Résultats'!E$14</f>
        <v>0</v>
      </c>
      <c r="H24" s="621">
        <v>0</v>
      </c>
      <c r="I24" s="553">
        <f>H24/'État des Résultats'!H$14</f>
        <v>0</v>
      </c>
      <c r="K24" s="621">
        <v>0</v>
      </c>
      <c r="L24" s="553">
        <f>K24/'État des Résultats'!K$14</f>
        <v>0</v>
      </c>
      <c r="N24" s="621">
        <v>0</v>
      </c>
      <c r="O24" s="553">
        <f>N24/'État des Résultats'!N$14</f>
        <v>0</v>
      </c>
      <c r="Q24" s="621">
        <v>0</v>
      </c>
      <c r="R24" s="553">
        <f>Q24/'État des Résultats'!Q$14</f>
        <v>0</v>
      </c>
      <c r="T24" s="621">
        <v>0</v>
      </c>
      <c r="U24" s="553">
        <f>T24/'État des Résultats'!T$14</f>
        <v>0</v>
      </c>
      <c r="W24" s="621">
        <v>0</v>
      </c>
      <c r="X24" s="553">
        <f>W24/'État des Résultats'!W$14</f>
        <v>0</v>
      </c>
      <c r="Z24" s="621">
        <v>0</v>
      </c>
      <c r="AA24" s="553">
        <f>Z24/'État des Résultats'!Z$14</f>
        <v>0</v>
      </c>
      <c r="AC24" s="621">
        <v>0</v>
      </c>
      <c r="AD24" s="553">
        <f>AC24/'État des Résultats'!AC$14</f>
        <v>0</v>
      </c>
      <c r="AF24" s="621">
        <v>0</v>
      </c>
      <c r="AG24" s="553">
        <f>AF24/'État des Résultats'!AF$14</f>
        <v>0</v>
      </c>
      <c r="AI24" s="621">
        <v>0</v>
      </c>
      <c r="AJ24" s="553">
        <f>AI24/'État des Résultats'!AI$14</f>
        <v>0</v>
      </c>
      <c r="AL24" s="621">
        <v>0</v>
      </c>
      <c r="AM24" s="553">
        <f>AL24/'État des Résultats'!AL$14</f>
        <v>0</v>
      </c>
      <c r="AO24" s="621">
        <v>0</v>
      </c>
      <c r="AP24" s="553">
        <f>AO24/'État des Résultats'!AO$14</f>
        <v>0</v>
      </c>
      <c r="AQ24" s="717"/>
      <c r="AR24" s="628">
        <f t="shared" si="0"/>
        <v>0</v>
      </c>
      <c r="AS24" s="629">
        <f>AR24/'État des Résultats'!AR$14</f>
        <v>0</v>
      </c>
      <c r="AT24" s="717"/>
    </row>
    <row r="25" spans="2:49" x14ac:dyDescent="0.15">
      <c r="B25" s="551">
        <v>7928</v>
      </c>
      <c r="C25" s="414" t="s">
        <v>297</v>
      </c>
      <c r="E25" s="621">
        <v>0</v>
      </c>
      <c r="F25" s="553">
        <f>E25/'État des Résultats'!E$14</f>
        <v>0</v>
      </c>
      <c r="H25" s="621">
        <v>0</v>
      </c>
      <c r="I25" s="553">
        <f>H25/'État des Résultats'!H$14</f>
        <v>0</v>
      </c>
      <c r="K25" s="621">
        <v>0</v>
      </c>
      <c r="L25" s="553">
        <f>K25/'État des Résultats'!K$14</f>
        <v>0</v>
      </c>
      <c r="N25" s="621">
        <v>0</v>
      </c>
      <c r="O25" s="553">
        <f>N25/'État des Résultats'!N$14</f>
        <v>0</v>
      </c>
      <c r="Q25" s="621">
        <v>0</v>
      </c>
      <c r="R25" s="553">
        <f>Q25/'État des Résultats'!Q$14</f>
        <v>0</v>
      </c>
      <c r="T25" s="621">
        <v>0</v>
      </c>
      <c r="U25" s="553">
        <f>T25/'État des Résultats'!T$14</f>
        <v>0</v>
      </c>
      <c r="W25" s="621">
        <v>0</v>
      </c>
      <c r="X25" s="553">
        <f>W25/'État des Résultats'!W$14</f>
        <v>0</v>
      </c>
      <c r="Z25" s="621">
        <v>0</v>
      </c>
      <c r="AA25" s="553">
        <f>Z25/'État des Résultats'!Z$14</f>
        <v>0</v>
      </c>
      <c r="AC25" s="621">
        <v>0</v>
      </c>
      <c r="AD25" s="553">
        <f>AC25/'État des Résultats'!AC$14</f>
        <v>0</v>
      </c>
      <c r="AF25" s="621">
        <v>0</v>
      </c>
      <c r="AG25" s="553">
        <f>AF25/'État des Résultats'!AF$14</f>
        <v>0</v>
      </c>
      <c r="AI25" s="621">
        <v>0</v>
      </c>
      <c r="AJ25" s="553">
        <f>AI25/'État des Résultats'!AI$14</f>
        <v>0</v>
      </c>
      <c r="AL25" s="621">
        <v>0</v>
      </c>
      <c r="AM25" s="553">
        <f>AL25/'État des Résultats'!AL$14</f>
        <v>0</v>
      </c>
      <c r="AO25" s="621">
        <v>0</v>
      </c>
      <c r="AP25" s="553">
        <f>AO25/'État des Résultats'!AO$14</f>
        <v>0</v>
      </c>
      <c r="AQ25" s="717"/>
      <c r="AR25" s="628">
        <f t="shared" si="0"/>
        <v>0</v>
      </c>
      <c r="AS25" s="629">
        <f>AR25/'État des Résultats'!AR$14</f>
        <v>0</v>
      </c>
      <c r="AT25" s="717"/>
    </row>
    <row r="26" spans="2:49" x14ac:dyDescent="0.15">
      <c r="B26" s="551">
        <v>7990</v>
      </c>
      <c r="C26" s="414" t="s">
        <v>298</v>
      </c>
      <c r="E26" s="621">
        <v>0</v>
      </c>
      <c r="F26" s="553">
        <f>E26/'État des Résultats'!E$14</f>
        <v>0</v>
      </c>
      <c r="H26" s="621">
        <v>0</v>
      </c>
      <c r="I26" s="553">
        <f>H26/'État des Résultats'!H$14</f>
        <v>0</v>
      </c>
      <c r="K26" s="621">
        <v>0</v>
      </c>
      <c r="L26" s="553">
        <f>K26/'État des Résultats'!K$14</f>
        <v>0</v>
      </c>
      <c r="N26" s="621">
        <v>0</v>
      </c>
      <c r="O26" s="553">
        <f>N26/'État des Résultats'!N$14</f>
        <v>0</v>
      </c>
      <c r="Q26" s="621">
        <v>0</v>
      </c>
      <c r="R26" s="553">
        <f>Q26/'État des Résultats'!Q$14</f>
        <v>0</v>
      </c>
      <c r="T26" s="621">
        <v>0</v>
      </c>
      <c r="U26" s="553">
        <f>T26/'État des Résultats'!T$14</f>
        <v>0</v>
      </c>
      <c r="W26" s="621">
        <v>0</v>
      </c>
      <c r="X26" s="553">
        <f>W26/'État des Résultats'!W$14</f>
        <v>0</v>
      </c>
      <c r="Z26" s="621">
        <v>0</v>
      </c>
      <c r="AA26" s="553">
        <f>Z26/'État des Résultats'!Z$14</f>
        <v>0</v>
      </c>
      <c r="AC26" s="621">
        <v>0</v>
      </c>
      <c r="AD26" s="553">
        <f>AC26/'État des Résultats'!AC$14</f>
        <v>0</v>
      </c>
      <c r="AF26" s="621">
        <v>0</v>
      </c>
      <c r="AG26" s="553">
        <f>AF26/'État des Résultats'!AF$14</f>
        <v>0</v>
      </c>
      <c r="AI26" s="621">
        <v>0</v>
      </c>
      <c r="AJ26" s="553">
        <f>AI26/'État des Résultats'!AI$14</f>
        <v>0</v>
      </c>
      <c r="AL26" s="621">
        <v>0</v>
      </c>
      <c r="AM26" s="553">
        <f>AL26/'État des Résultats'!AL$14</f>
        <v>0</v>
      </c>
      <c r="AO26" s="621">
        <v>0</v>
      </c>
      <c r="AP26" s="553">
        <f>AO26/'État des Résultats'!AO$14</f>
        <v>0</v>
      </c>
      <c r="AQ26" s="717"/>
      <c r="AR26" s="628">
        <f t="shared" si="0"/>
        <v>0</v>
      </c>
      <c r="AS26" s="629">
        <f>AR26/'État des Résultats'!AR$14</f>
        <v>0</v>
      </c>
      <c r="AT26" s="717"/>
    </row>
    <row r="27" spans="2:49" x14ac:dyDescent="0.15">
      <c r="B27" s="723">
        <v>7996</v>
      </c>
      <c r="C27" s="414" t="s">
        <v>299</v>
      </c>
      <c r="E27" s="621">
        <v>0</v>
      </c>
      <c r="F27" s="553">
        <f>E27/'État des Résultats'!E$14</f>
        <v>0</v>
      </c>
      <c r="H27" s="621">
        <v>0</v>
      </c>
      <c r="I27" s="553">
        <f>H27/'État des Résultats'!H$14</f>
        <v>0</v>
      </c>
      <c r="K27" s="621">
        <v>0</v>
      </c>
      <c r="L27" s="553">
        <f>K27/'État des Résultats'!K$14</f>
        <v>0</v>
      </c>
      <c r="N27" s="621">
        <v>0</v>
      </c>
      <c r="O27" s="553">
        <f>N27/'État des Résultats'!N$14</f>
        <v>0</v>
      </c>
      <c r="Q27" s="621">
        <v>0</v>
      </c>
      <c r="R27" s="553">
        <f>Q27/'État des Résultats'!Q$14</f>
        <v>0</v>
      </c>
      <c r="T27" s="621">
        <v>0</v>
      </c>
      <c r="U27" s="553">
        <f>T27/'État des Résultats'!T$14</f>
        <v>0</v>
      </c>
      <c r="W27" s="621">
        <v>0</v>
      </c>
      <c r="X27" s="553">
        <f>W27/'État des Résultats'!W$14</f>
        <v>0</v>
      </c>
      <c r="Z27" s="621">
        <v>0</v>
      </c>
      <c r="AA27" s="553">
        <f>Z27/'État des Résultats'!Z$14</f>
        <v>0</v>
      </c>
      <c r="AC27" s="621">
        <v>0</v>
      </c>
      <c r="AD27" s="553">
        <f>AC27/'État des Résultats'!AC$14</f>
        <v>0</v>
      </c>
      <c r="AF27" s="621">
        <v>0</v>
      </c>
      <c r="AG27" s="553">
        <f>AF27/'État des Résultats'!AF$14</f>
        <v>0</v>
      </c>
      <c r="AI27" s="621">
        <v>0</v>
      </c>
      <c r="AJ27" s="553">
        <f>AI27/'État des Résultats'!AI$14</f>
        <v>0</v>
      </c>
      <c r="AL27" s="621">
        <v>0</v>
      </c>
      <c r="AM27" s="553">
        <f>AL27/'État des Résultats'!AL$14</f>
        <v>0</v>
      </c>
      <c r="AO27" s="621">
        <v>0</v>
      </c>
      <c r="AP27" s="553">
        <f>AO27/'État des Résultats'!AO$14</f>
        <v>0</v>
      </c>
      <c r="AQ27" s="717"/>
      <c r="AR27" s="628">
        <f t="shared" si="0"/>
        <v>0</v>
      </c>
      <c r="AS27" s="629">
        <f>AR27/'État des Résultats'!AR$14</f>
        <v>0</v>
      </c>
      <c r="AT27" s="717"/>
    </row>
    <row r="28" spans="2:49" x14ac:dyDescent="0.15">
      <c r="B28" s="551">
        <v>7998</v>
      </c>
      <c r="C28" s="414" t="s">
        <v>300</v>
      </c>
      <c r="E28" s="621">
        <v>0</v>
      </c>
      <c r="F28" s="553">
        <f>E28/'État des Résultats'!E$14</f>
        <v>0</v>
      </c>
      <c r="H28" s="621">
        <v>0</v>
      </c>
      <c r="I28" s="553">
        <f>H28/'État des Résultats'!H$14</f>
        <v>0</v>
      </c>
      <c r="K28" s="621">
        <v>0</v>
      </c>
      <c r="L28" s="553">
        <f>K28/'État des Résultats'!K$14</f>
        <v>0</v>
      </c>
      <c r="N28" s="621">
        <v>0</v>
      </c>
      <c r="O28" s="553">
        <f>N28/'État des Résultats'!N$14</f>
        <v>0</v>
      </c>
      <c r="Q28" s="621">
        <v>0</v>
      </c>
      <c r="R28" s="553">
        <f>Q28/'État des Résultats'!Q$14</f>
        <v>0</v>
      </c>
      <c r="T28" s="621">
        <v>0</v>
      </c>
      <c r="U28" s="553">
        <f>T28/'État des Résultats'!T$14</f>
        <v>0</v>
      </c>
      <c r="W28" s="621">
        <v>0</v>
      </c>
      <c r="X28" s="553">
        <f>W28/'État des Résultats'!W$14</f>
        <v>0</v>
      </c>
      <c r="Z28" s="621">
        <v>0</v>
      </c>
      <c r="AA28" s="553">
        <f>Z28/'État des Résultats'!Z$14</f>
        <v>0</v>
      </c>
      <c r="AC28" s="621">
        <v>0</v>
      </c>
      <c r="AD28" s="553">
        <f>AC28/'État des Résultats'!AC$14</f>
        <v>0</v>
      </c>
      <c r="AF28" s="621">
        <v>0</v>
      </c>
      <c r="AG28" s="553">
        <f>AF28/'État des Résultats'!AF$14</f>
        <v>0</v>
      </c>
      <c r="AI28" s="621">
        <v>0</v>
      </c>
      <c r="AJ28" s="553">
        <f>AI28/'État des Résultats'!AI$14</f>
        <v>0</v>
      </c>
      <c r="AL28" s="621">
        <v>0</v>
      </c>
      <c r="AM28" s="553">
        <f>AL28/'État des Résultats'!AL$14</f>
        <v>0</v>
      </c>
      <c r="AO28" s="621">
        <v>0</v>
      </c>
      <c r="AP28" s="553">
        <f>AO28/'État des Résultats'!AO$14</f>
        <v>0</v>
      </c>
      <c r="AQ28" s="717"/>
      <c r="AR28" s="628">
        <f t="shared" si="0"/>
        <v>0</v>
      </c>
      <c r="AS28" s="629">
        <f>AR28/'État des Résultats'!AR$14</f>
        <v>0</v>
      </c>
      <c r="AT28" s="717"/>
    </row>
    <row r="29" spans="2:49" x14ac:dyDescent="0.15">
      <c r="B29" s="551">
        <v>7999</v>
      </c>
      <c r="C29" s="414" t="s">
        <v>301</v>
      </c>
      <c r="E29" s="621">
        <f>0.01*'État des Résultats'!E14</f>
        <v>274.52199999999999</v>
      </c>
      <c r="F29" s="553">
        <f>E29/'État des Résultats'!E$14</f>
        <v>0.01</v>
      </c>
      <c r="H29" s="621">
        <f>0.01*'État des Résultats'!H14</f>
        <v>274.52199999999999</v>
      </c>
      <c r="I29" s="553">
        <f>H29/'État des Résultats'!H$14</f>
        <v>0.01</v>
      </c>
      <c r="K29" s="621">
        <f>0.01*'État des Résultats'!K14</f>
        <v>394.89600000000002</v>
      </c>
      <c r="L29" s="553">
        <f>K29/'État des Résultats'!K$14</f>
        <v>0.01</v>
      </c>
      <c r="N29" s="621">
        <f>0.01*'État des Résultats'!N14</f>
        <v>536.61562500000002</v>
      </c>
      <c r="O29" s="553">
        <f>N29/'État des Résultats'!N$14</f>
        <v>0.01</v>
      </c>
      <c r="Q29" s="621">
        <f>0.01*'État des Résultats'!Q14</f>
        <v>661.97625000000005</v>
      </c>
      <c r="R29" s="553">
        <f>Q29/'État des Résultats'!Q$14</f>
        <v>0.01</v>
      </c>
      <c r="T29" s="621">
        <f>0.01*'État des Résultats'!T14</f>
        <v>787.33687500000019</v>
      </c>
      <c r="U29" s="553">
        <f>T29/'État des Résultats'!T$14</f>
        <v>0.01</v>
      </c>
      <c r="W29" s="621">
        <f>0.01*'État des Résultats'!W14</f>
        <v>947.31505000000016</v>
      </c>
      <c r="X29" s="553">
        <f>W29/'État des Résultats'!W$14</f>
        <v>0.01</v>
      </c>
      <c r="Z29" s="621">
        <f>0.01*'État des Résultats'!Z14</f>
        <v>1079.3502500000002</v>
      </c>
      <c r="AA29" s="553">
        <f>Z29/'État des Résultats'!Z$14</f>
        <v>0.01</v>
      </c>
      <c r="AC29" s="621">
        <f>0.01*'État des Résultats'!AC14</f>
        <v>1079.3502500000002</v>
      </c>
      <c r="AD29" s="553">
        <f>AC29/'État des Résultats'!AC$14</f>
        <v>0.01</v>
      </c>
      <c r="AF29" s="621">
        <f>0.01*'État des Résultats'!AF14</f>
        <v>1120.6423750000001</v>
      </c>
      <c r="AG29" s="553">
        <f>AF29/'État des Résultats'!AF$14</f>
        <v>0.01</v>
      </c>
      <c r="AI29" s="621">
        <f>0.01*'État des Résultats'!AI14</f>
        <v>1120.6423750000001</v>
      </c>
      <c r="AJ29" s="553">
        <f>AI29/'État des Résultats'!AI$14</f>
        <v>0.01</v>
      </c>
      <c r="AL29" s="621">
        <f>0.01*'État des Résultats'!AL14</f>
        <v>985.30849999999998</v>
      </c>
      <c r="AM29" s="553">
        <f>AL29/'État des Résultats'!AL$14</f>
        <v>0.01</v>
      </c>
      <c r="AO29" s="621">
        <f>0.01*'État des Résultats'!AO14</f>
        <v>1021.6139999999999</v>
      </c>
      <c r="AP29" s="553">
        <f>AO29/'État des Résultats'!AO$14</f>
        <v>0.01</v>
      </c>
      <c r="AQ29" s="717"/>
      <c r="AR29" s="628">
        <f t="shared" si="0"/>
        <v>10284.091550000005</v>
      </c>
      <c r="AS29" s="629">
        <f>AR29/'État des Résultats'!AR$14</f>
        <v>1.0000000000000005E-2</v>
      </c>
      <c r="AT29" s="717"/>
    </row>
    <row r="30" spans="2:49" ht="14" thickBot="1" x14ac:dyDescent="0.2">
      <c r="B30" s="551"/>
      <c r="C30" s="414"/>
      <c r="E30" s="622"/>
      <c r="F30" s="623"/>
      <c r="H30" s="622"/>
      <c r="I30" s="623"/>
      <c r="K30" s="622"/>
      <c r="L30" s="623"/>
      <c r="N30" s="622"/>
      <c r="O30" s="623"/>
      <c r="Q30" s="622"/>
      <c r="R30" s="623"/>
      <c r="T30" s="622"/>
      <c r="U30" s="623"/>
      <c r="W30" s="622"/>
      <c r="X30" s="623"/>
      <c r="Z30" s="622"/>
      <c r="AA30" s="623"/>
      <c r="AC30" s="622"/>
      <c r="AD30" s="623"/>
      <c r="AF30" s="622"/>
      <c r="AG30" s="623"/>
      <c r="AI30" s="622"/>
      <c r="AJ30" s="623"/>
      <c r="AL30" s="622"/>
      <c r="AM30" s="623"/>
      <c r="AO30" s="636"/>
      <c r="AP30" s="637"/>
      <c r="AQ30" s="717"/>
      <c r="AR30" s="628"/>
      <c r="AS30" s="630"/>
      <c r="AT30" s="717"/>
    </row>
    <row r="31" spans="2:49" ht="15" thickTop="1" thickBot="1" x14ac:dyDescent="0.2">
      <c r="B31" s="560">
        <v>7900</v>
      </c>
      <c r="C31" s="561" t="s">
        <v>302</v>
      </c>
      <c r="D31" s="381"/>
      <c r="E31" s="624">
        <f>SUM(E13:E29)</f>
        <v>774.52199999999993</v>
      </c>
      <c r="F31" s="563">
        <f>+SUM(F13:F29)</f>
        <v>2.821347651554338E-2</v>
      </c>
      <c r="G31" s="381"/>
      <c r="H31" s="624">
        <f>SUM(H13:H29)</f>
        <v>774.52199999999993</v>
      </c>
      <c r="I31" s="563">
        <f>+SUM(I13:I29)</f>
        <v>2.821347651554338E-2</v>
      </c>
      <c r="J31" s="381"/>
      <c r="K31" s="624">
        <f>SUM(K13:K29)</f>
        <v>894.89599999999996</v>
      </c>
      <c r="L31" s="563">
        <f>+SUM(L13:L29)</f>
        <v>2.2661561525059763E-2</v>
      </c>
      <c r="M31" s="381"/>
      <c r="N31" s="624">
        <f>SUM(N13:N29)</f>
        <v>1036.6156249999999</v>
      </c>
      <c r="O31" s="563">
        <f>+SUM(O13:O29)</f>
        <v>1.9317656376479905E-2</v>
      </c>
      <c r="P31" s="381"/>
      <c r="Q31" s="624">
        <f>SUM(Q13:Q29)</f>
        <v>1161.9762500000002</v>
      </c>
      <c r="R31" s="563">
        <f>+SUM(R13:R29)</f>
        <v>1.7553141068127442E-2</v>
      </c>
      <c r="S31" s="381"/>
      <c r="T31" s="624">
        <f>SUM(T13:T29)</f>
        <v>1287.3368750000002</v>
      </c>
      <c r="U31" s="563">
        <f>+SUM(U13:U29)</f>
        <v>1.6350521814439339E-2</v>
      </c>
      <c r="V31" s="381"/>
      <c r="W31" s="624">
        <f>SUM(W13:W29)</f>
        <v>1447.3150500000002</v>
      </c>
      <c r="X31" s="563">
        <f>+SUM(X13:X29)</f>
        <v>1.5278075124004416E-2</v>
      </c>
      <c r="Y31" s="381"/>
      <c r="Z31" s="624">
        <f>SUM(Z13:Z29)</f>
        <v>1579.3502500000002</v>
      </c>
      <c r="AA31" s="563">
        <f>+SUM(AA13:AA29)</f>
        <v>1.4632416585811695E-2</v>
      </c>
      <c r="AB31" s="381"/>
      <c r="AC31" s="624">
        <f>SUM(AC13:AC29)</f>
        <v>1579.3502500000002</v>
      </c>
      <c r="AD31" s="563">
        <f>+SUM(AD13:AD29)</f>
        <v>1.4632416585811695E-2</v>
      </c>
      <c r="AE31" s="381"/>
      <c r="AF31" s="624">
        <f>SUM(AF13:AF29)</f>
        <v>1620.6423750000001</v>
      </c>
      <c r="AG31" s="563">
        <f>+SUM(AG13:AG29)</f>
        <v>1.4461726694923526E-2</v>
      </c>
      <c r="AH31" s="381"/>
      <c r="AI31" s="624">
        <f>SUM(AI13:AI29)</f>
        <v>1620.6423750000001</v>
      </c>
      <c r="AJ31" s="563">
        <f>+SUM(AJ13:AJ29)</f>
        <v>1.4461726694923526E-2</v>
      </c>
      <c r="AK31" s="381"/>
      <c r="AL31" s="624">
        <f>SUM(AL13:AL29)</f>
        <v>1485.3085000000001</v>
      </c>
      <c r="AM31" s="563">
        <f>+SUM(AM13:AM29)</f>
        <v>1.5074552792348792E-2</v>
      </c>
      <c r="AN31" s="381"/>
      <c r="AO31" s="624">
        <f>SUM(AO13:AO29)</f>
        <v>1521.614</v>
      </c>
      <c r="AP31" s="563">
        <f>+SUM(AP13:AP29)</f>
        <v>1.4894216406588008E-2</v>
      </c>
      <c r="AQ31" s="718"/>
      <c r="AR31" s="624">
        <f>SUM(AR13:AR29)</f>
        <v>16784.091550000005</v>
      </c>
      <c r="AS31" s="563">
        <f>+SUM(AS13:AS29)</f>
        <v>1.6320441595057567E-2</v>
      </c>
      <c r="AT31" s="718"/>
      <c r="AU31" s="381"/>
      <c r="AV31" s="381"/>
      <c r="AW31" s="545"/>
    </row>
    <row r="32" spans="2:49" ht="14" thickTop="1" x14ac:dyDescent="0.15">
      <c r="L32" s="279"/>
      <c r="O32" s="279"/>
      <c r="R32" s="279"/>
      <c r="U32" s="279"/>
      <c r="X32" s="279"/>
      <c r="AA32" s="279"/>
      <c r="AD32" s="279"/>
      <c r="AG32" s="279"/>
      <c r="AJ32" s="279"/>
      <c r="AM32" s="279"/>
      <c r="AP32" s="279"/>
      <c r="AQ32" s="279"/>
      <c r="AR32" s="279"/>
      <c r="AT32" s="194"/>
    </row>
    <row r="33" spans="3:71" x14ac:dyDescent="0.15">
      <c r="R33" s="279"/>
      <c r="U33" s="279"/>
      <c r="X33" s="279"/>
      <c r="AD33" s="279"/>
      <c r="AG33" s="279"/>
      <c r="AJ33" s="279"/>
      <c r="AM33" s="279"/>
    </row>
    <row r="34" spans="3:71" x14ac:dyDescent="0.15">
      <c r="U34" s="279"/>
      <c r="AG34" s="279"/>
      <c r="AJ34" s="279"/>
      <c r="AM34" s="279"/>
    </row>
    <row r="35" spans="3:71" x14ac:dyDescent="0.15">
      <c r="C35" s="138" t="s">
        <v>1</v>
      </c>
      <c r="E35" s="138" t="s">
        <v>1</v>
      </c>
      <c r="G35" s="138" t="s">
        <v>1</v>
      </c>
      <c r="H35" s="138" t="s">
        <v>1</v>
      </c>
      <c r="U35" s="279"/>
      <c r="AG35" s="279"/>
      <c r="AJ35" s="279"/>
      <c r="AM35" s="279"/>
    </row>
    <row r="36" spans="3:71" x14ac:dyDescent="0.15">
      <c r="H36" s="138" t="s">
        <v>1</v>
      </c>
      <c r="AG36" s="279"/>
      <c r="AJ36" s="279"/>
      <c r="AM36" s="279"/>
    </row>
    <row r="37" spans="3:71" x14ac:dyDescent="0.15">
      <c r="H37" s="138" t="s">
        <v>1</v>
      </c>
      <c r="AM37" s="279"/>
    </row>
    <row r="38" spans="3:71" x14ac:dyDescent="0.15">
      <c r="H38" s="138" t="s">
        <v>1</v>
      </c>
      <c r="BD38" s="336"/>
      <c r="BE38" s="336"/>
      <c r="BF38" s="336"/>
      <c r="BG38" s="336"/>
      <c r="BH38" s="336"/>
      <c r="BI38" s="336"/>
      <c r="BJ38" s="336"/>
      <c r="BK38" s="336"/>
      <c r="BL38" s="336"/>
      <c r="BM38" s="336"/>
      <c r="BN38" s="336"/>
      <c r="BO38" s="336"/>
      <c r="BP38" s="336"/>
      <c r="BQ38" s="336"/>
      <c r="BR38" s="336"/>
      <c r="BS38" s="336"/>
    </row>
    <row r="39" spans="3:71" x14ac:dyDescent="0.15">
      <c r="H39" s="138" t="s">
        <v>1</v>
      </c>
    </row>
    <row r="40" spans="3:71" x14ac:dyDescent="0.15">
      <c r="H40" s="138" t="s">
        <v>1</v>
      </c>
    </row>
    <row r="50" spans="8:8" x14ac:dyDescent="0.15">
      <c r="H50" s="625"/>
    </row>
  </sheetData>
  <sheetProtection algorithmName="SHA-512" hashValue="aBcVtKmISCP4f77ZWBxK81BVy019SK/l9ek1d5V5uxViSBndPRo/1adl7hyws22bno2AXKZzgLhlm1Td5xgMUg==" saltValue="5aecWonbwqXc19J6nZnB4A==" spinCount="100000" sheet="1" objects="1" scenarios="1"/>
  <mergeCells count="9">
    <mergeCell ref="B9:C9"/>
    <mergeCell ref="B2:C2"/>
    <mergeCell ref="AU2:AU8"/>
    <mergeCell ref="BE2:BE8"/>
    <mergeCell ref="B3:C3"/>
    <mergeCell ref="B4:C4"/>
    <mergeCell ref="B6:C6"/>
    <mergeCell ref="B7:C7"/>
    <mergeCell ref="B8:C8"/>
  </mergeCells>
  <hyperlinks>
    <hyperlink ref="C11" r:id="rId1" display="Coût d’entretien et réparations" xr:uid="{E9BCF6C7-B3C3-EE4A-9376-E89756A103DE}"/>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46799-9EB6-9E47-87A4-7013AD13A7BA}">
  <sheetPr codeName="Feuil2">
    <tabColor theme="1"/>
  </sheetPr>
  <dimension ref="B1:Y342"/>
  <sheetViews>
    <sheetView zoomScale="126" zoomScaleNormal="126" zoomScalePageLayoutView="125" workbookViewId="0">
      <pane xSplit="3" ySplit="8" topLeftCell="D9" activePane="bottomRight" state="frozen"/>
      <selection pane="topRight" activeCell="D1" sqref="D1"/>
      <selection pane="bottomLeft" activeCell="A9" sqref="A9"/>
      <selection pane="bottomRight" activeCell="E1" sqref="E1"/>
    </sheetView>
  </sheetViews>
  <sheetFormatPr baseColWidth="10" defaultRowHeight="13" x14ac:dyDescent="0.15"/>
  <cols>
    <col min="1" max="1" width="1.5" customWidth="1"/>
    <col min="2" max="2" width="2.1640625" customWidth="1"/>
    <col min="3" max="3" width="16.33203125" bestFit="1" customWidth="1"/>
    <col min="4" max="17" width="15.83203125" customWidth="1"/>
    <col min="18" max="18" width="2.33203125" customWidth="1"/>
    <col min="19" max="20" width="15.83203125" customWidth="1"/>
    <col min="21" max="21" width="5.1640625" customWidth="1"/>
    <col min="22" max="22" width="14.6640625" customWidth="1"/>
    <col min="24" max="24" width="12.5" bestFit="1" customWidth="1"/>
    <col min="26" max="27" width="12.33203125" bestFit="1" customWidth="1"/>
  </cols>
  <sheetData>
    <row r="1" spans="2:22" ht="14" thickBot="1" x14ac:dyDescent="0.2"/>
    <row r="2" spans="2:22" ht="32" customHeight="1" thickTop="1" x14ac:dyDescent="0.15">
      <c r="B2" s="1285" t="s">
        <v>35</v>
      </c>
      <c r="C2" s="1286"/>
      <c r="D2" s="1286"/>
      <c r="E2" s="1286"/>
      <c r="F2" s="1286"/>
      <c r="G2" s="1286"/>
      <c r="H2" s="1286"/>
      <c r="I2" s="1286"/>
      <c r="J2" s="1286"/>
      <c r="K2" s="1286"/>
      <c r="L2" s="1286"/>
      <c r="M2" s="1286"/>
      <c r="N2" s="1286"/>
      <c r="O2" s="1286"/>
      <c r="P2" s="1287"/>
      <c r="Q2" s="1288"/>
      <c r="R2" s="56"/>
      <c r="S2" s="666"/>
      <c r="T2" s="667"/>
      <c r="U2" s="44"/>
    </row>
    <row r="3" spans="2:22" ht="20" customHeight="1" x14ac:dyDescent="0.15">
      <c r="B3" s="1289" t="s">
        <v>34</v>
      </c>
      <c r="C3" s="1290"/>
      <c r="D3" s="1290"/>
      <c r="E3" s="1290"/>
      <c r="F3" s="1290"/>
      <c r="G3" s="1290"/>
      <c r="H3" s="1290"/>
      <c r="I3" s="1290"/>
      <c r="J3" s="1290"/>
      <c r="K3" s="1290"/>
      <c r="L3" s="1290"/>
      <c r="M3" s="1290"/>
      <c r="N3" s="1290"/>
      <c r="O3" s="1290"/>
      <c r="P3" s="1291"/>
      <c r="Q3" s="1292"/>
      <c r="R3" s="56"/>
      <c r="S3" s="668"/>
      <c r="T3" s="669"/>
      <c r="U3" s="44"/>
    </row>
    <row r="4" spans="2:22" ht="13" customHeight="1" thickBot="1" x14ac:dyDescent="0.2">
      <c r="B4" s="1293" t="s">
        <v>266</v>
      </c>
      <c r="C4" s="1294"/>
      <c r="D4" s="1294"/>
      <c r="E4" s="1294"/>
      <c r="F4" s="1294"/>
      <c r="G4" s="1294"/>
      <c r="H4" s="1294"/>
      <c r="I4" s="1294"/>
      <c r="J4" s="1294"/>
      <c r="K4" s="1294"/>
      <c r="L4" s="1294"/>
      <c r="M4" s="1294"/>
      <c r="N4" s="1294"/>
      <c r="O4" s="1294"/>
      <c r="P4" s="1271"/>
      <c r="Q4" s="1295"/>
      <c r="R4" s="56"/>
      <c r="S4" s="670" t="s">
        <v>1</v>
      </c>
      <c r="T4" s="671"/>
      <c r="U4" s="44"/>
    </row>
    <row r="5" spans="2:22" ht="14" thickTop="1" x14ac:dyDescent="0.15">
      <c r="B5" s="656"/>
      <c r="C5" s="657"/>
      <c r="D5" s="659" t="str">
        <f>'Calendrier 2023'!D5</f>
        <v>Pér.01</v>
      </c>
      <c r="E5" s="659" t="str">
        <f>'Calendrier 2023'!E5</f>
        <v>Pér.02</v>
      </c>
      <c r="F5" s="659" t="str">
        <f>'Calendrier 2023'!F5</f>
        <v>Pér.03</v>
      </c>
      <c r="G5" s="659" t="str">
        <f>'Calendrier 2023'!G5</f>
        <v>Pér.04</v>
      </c>
      <c r="H5" s="659" t="str">
        <f>'Calendrier 2023'!H5</f>
        <v>Pér.05</v>
      </c>
      <c r="I5" s="659" t="str">
        <f>'Calendrier 2023'!I5</f>
        <v>Pér.06</v>
      </c>
      <c r="J5" s="659" t="str">
        <f>'Calendrier 2023'!J5</f>
        <v>Pér.07</v>
      </c>
      <c r="K5" s="659" t="str">
        <f>'Calendrier 2023'!K5</f>
        <v>Pér.08</v>
      </c>
      <c r="L5" s="659" t="str">
        <f>'Calendrier 2023'!L5</f>
        <v>Pér.09</v>
      </c>
      <c r="M5" s="659" t="str">
        <f>'Calendrier 2023'!M5</f>
        <v>Pér.10</v>
      </c>
      <c r="N5" s="659" t="str">
        <f>'Calendrier 2023'!N5</f>
        <v>Pér.11</v>
      </c>
      <c r="O5" s="659" t="str">
        <f>'Calendrier 2023'!O5</f>
        <v>Pér.12</v>
      </c>
      <c r="P5" s="672" t="str">
        <f>'Calendrier 2023'!P5</f>
        <v>Pér.13</v>
      </c>
      <c r="Q5" s="673" t="s">
        <v>36</v>
      </c>
      <c r="R5" s="48"/>
      <c r="S5" s="99"/>
      <c r="T5" s="100"/>
      <c r="U5" s="48"/>
    </row>
    <row r="6" spans="2:22" ht="14" thickBot="1" x14ac:dyDescent="0.2">
      <c r="B6" s="674"/>
      <c r="C6" s="675"/>
      <c r="D6" s="523">
        <f>'Calendrier 2023'!D8</f>
        <v>44928</v>
      </c>
      <c r="E6" s="523">
        <f>'Calendrier 2023'!E8</f>
        <v>44956</v>
      </c>
      <c r="F6" s="523">
        <f>'Calendrier 2023'!F8</f>
        <v>44984</v>
      </c>
      <c r="G6" s="523">
        <f>'Calendrier 2023'!G8</f>
        <v>45012</v>
      </c>
      <c r="H6" s="523">
        <f>'Calendrier 2023'!H8</f>
        <v>45040</v>
      </c>
      <c r="I6" s="523">
        <f>'Calendrier 2023'!I8</f>
        <v>45068</v>
      </c>
      <c r="J6" s="523">
        <f>'Calendrier 2023'!J8</f>
        <v>45096</v>
      </c>
      <c r="K6" s="523">
        <f>'Calendrier 2023'!K8</f>
        <v>45124</v>
      </c>
      <c r="L6" s="523">
        <f>'Calendrier 2023'!L8</f>
        <v>45152</v>
      </c>
      <c r="M6" s="523">
        <f>'Calendrier 2023'!M8</f>
        <v>45180</v>
      </c>
      <c r="N6" s="523">
        <f>'Calendrier 2023'!N8</f>
        <v>45208</v>
      </c>
      <c r="O6" s="523">
        <f>'Calendrier 2023'!O8</f>
        <v>45236</v>
      </c>
      <c r="P6" s="525">
        <f>'Calendrier 2023'!P8</f>
        <v>45264</v>
      </c>
      <c r="Q6" s="676" t="s">
        <v>9</v>
      </c>
      <c r="R6" s="519"/>
      <c r="S6" s="520"/>
      <c r="T6" s="521"/>
      <c r="U6" s="522"/>
      <c r="V6" s="490"/>
    </row>
    <row r="7" spans="2:22" ht="15" thickTop="1" thickBot="1" x14ac:dyDescent="0.2">
      <c r="B7" s="1281" t="s">
        <v>26</v>
      </c>
      <c r="C7" s="1282"/>
      <c r="D7" s="681">
        <f>'Calendrier 2023'!D6</f>
        <v>30</v>
      </c>
      <c r="E7" s="677">
        <f>+D7</f>
        <v>30</v>
      </c>
      <c r="F7" s="677">
        <f>+E7</f>
        <v>30</v>
      </c>
      <c r="G7" s="677">
        <f t="shared" ref="G7:O7" si="0">+F7</f>
        <v>30</v>
      </c>
      <c r="H7" s="677">
        <f t="shared" si="0"/>
        <v>30</v>
      </c>
      <c r="I7" s="677">
        <f t="shared" si="0"/>
        <v>30</v>
      </c>
      <c r="J7" s="677">
        <f t="shared" si="0"/>
        <v>30</v>
      </c>
      <c r="K7" s="677">
        <f t="shared" si="0"/>
        <v>30</v>
      </c>
      <c r="L7" s="677">
        <f t="shared" si="0"/>
        <v>30</v>
      </c>
      <c r="M7" s="677">
        <f t="shared" si="0"/>
        <v>30</v>
      </c>
      <c r="N7" s="677">
        <f t="shared" si="0"/>
        <v>30</v>
      </c>
      <c r="O7" s="677">
        <f t="shared" si="0"/>
        <v>30</v>
      </c>
      <c r="P7" s="732">
        <f>O7</f>
        <v>30</v>
      </c>
      <c r="Q7" s="678">
        <f>P7</f>
        <v>30</v>
      </c>
      <c r="R7" s="49"/>
      <c r="S7" s="1310"/>
      <c r="T7" s="1311"/>
      <c r="U7" s="49"/>
    </row>
    <row r="8" spans="2:22" ht="15" thickTop="1" thickBot="1" x14ac:dyDescent="0.2">
      <c r="B8" s="1283" t="s">
        <v>25</v>
      </c>
      <c r="C8" s="1284"/>
      <c r="D8" s="679">
        <v>28</v>
      </c>
      <c r="E8" s="679">
        <f t="shared" ref="E8:P8" si="1">+D8</f>
        <v>28</v>
      </c>
      <c r="F8" s="679">
        <f t="shared" si="1"/>
        <v>28</v>
      </c>
      <c r="G8" s="679">
        <f t="shared" si="1"/>
        <v>28</v>
      </c>
      <c r="H8" s="679">
        <f t="shared" si="1"/>
        <v>28</v>
      </c>
      <c r="I8" s="679">
        <f t="shared" si="1"/>
        <v>28</v>
      </c>
      <c r="J8" s="679">
        <f t="shared" si="1"/>
        <v>28</v>
      </c>
      <c r="K8" s="679">
        <f t="shared" si="1"/>
        <v>28</v>
      </c>
      <c r="L8" s="679">
        <f t="shared" si="1"/>
        <v>28</v>
      </c>
      <c r="M8" s="679">
        <f t="shared" si="1"/>
        <v>28</v>
      </c>
      <c r="N8" s="679">
        <f t="shared" si="1"/>
        <v>28</v>
      </c>
      <c r="O8" s="679">
        <f t="shared" si="1"/>
        <v>28</v>
      </c>
      <c r="P8" s="678">
        <f t="shared" si="1"/>
        <v>28</v>
      </c>
      <c r="Q8" s="680">
        <f>+SUM(D8:P8)</f>
        <v>364</v>
      </c>
      <c r="R8" s="49"/>
      <c r="S8" s="62" t="s">
        <v>1</v>
      </c>
      <c r="T8" s="63" t="s">
        <v>1</v>
      </c>
      <c r="U8" s="49"/>
    </row>
    <row r="9" spans="2:22" ht="15" thickTop="1" thickBot="1" x14ac:dyDescent="0.2">
      <c r="B9" s="1277" t="s">
        <v>0</v>
      </c>
      <c r="C9" s="1278"/>
      <c r="D9" s="1278"/>
      <c r="E9" s="1278"/>
      <c r="F9" s="1278"/>
      <c r="G9" s="1278"/>
      <c r="H9" s="1278"/>
      <c r="I9" s="1278"/>
      <c r="J9" s="1278"/>
      <c r="K9" s="1278"/>
      <c r="L9" s="1278"/>
      <c r="M9" s="1278"/>
      <c r="N9" s="1278"/>
      <c r="O9" s="1278"/>
      <c r="P9" s="1279"/>
      <c r="Q9" s="1280"/>
      <c r="R9" s="50"/>
      <c r="S9" s="1310" t="s">
        <v>0</v>
      </c>
      <c r="T9" s="1311"/>
      <c r="U9" s="50"/>
    </row>
    <row r="10" spans="2:22" ht="14" customHeight="1" thickTop="1" thickBot="1" x14ac:dyDescent="0.2">
      <c r="B10" s="682">
        <v>1</v>
      </c>
      <c r="C10" s="103" t="s">
        <v>27</v>
      </c>
      <c r="D10" s="104" t="s">
        <v>1</v>
      </c>
      <c r="E10" s="104">
        <f>'Calendrier 2023'!E8</f>
        <v>44956</v>
      </c>
      <c r="F10" s="104" t="s">
        <v>1</v>
      </c>
      <c r="G10" s="104" t="s">
        <v>1</v>
      </c>
      <c r="H10" s="104" t="s">
        <v>1</v>
      </c>
      <c r="I10" s="104" t="s">
        <v>1</v>
      </c>
      <c r="J10" s="104" t="s">
        <v>1</v>
      </c>
      <c r="K10" s="104" t="s">
        <v>1</v>
      </c>
      <c r="L10" s="104" t="s">
        <v>1</v>
      </c>
      <c r="M10" s="104" t="s">
        <v>1</v>
      </c>
      <c r="N10" s="104" t="s">
        <v>1</v>
      </c>
      <c r="O10" s="104" t="s">
        <v>1</v>
      </c>
      <c r="P10" s="7" t="s">
        <v>1</v>
      </c>
      <c r="Q10" s="8"/>
      <c r="R10" s="51"/>
      <c r="S10" s="69" t="s">
        <v>1</v>
      </c>
      <c r="T10" s="8" t="s">
        <v>1</v>
      </c>
      <c r="U10" s="51"/>
    </row>
    <row r="11" spans="2:22" ht="14" customHeight="1" thickTop="1" x14ac:dyDescent="0.15">
      <c r="B11" s="9">
        <v>1</v>
      </c>
      <c r="C11" s="10" t="s">
        <v>2</v>
      </c>
      <c r="D11" s="11">
        <v>3</v>
      </c>
      <c r="E11" s="11">
        <v>3</v>
      </c>
      <c r="F11" s="11">
        <v>4</v>
      </c>
      <c r="G11" s="11">
        <v>5</v>
      </c>
      <c r="H11" s="11">
        <v>6</v>
      </c>
      <c r="I11" s="11">
        <v>7</v>
      </c>
      <c r="J11" s="11">
        <v>8</v>
      </c>
      <c r="K11" s="11">
        <v>9</v>
      </c>
      <c r="L11" s="11">
        <v>9</v>
      </c>
      <c r="M11" s="11">
        <v>9</v>
      </c>
      <c r="N11" s="11">
        <v>9</v>
      </c>
      <c r="O11" s="11">
        <v>8</v>
      </c>
      <c r="P11" s="11">
        <v>8</v>
      </c>
      <c r="Q11" s="118">
        <f>+SUM(D11:P11)</f>
        <v>88</v>
      </c>
      <c r="R11" s="57"/>
      <c r="S11" s="122">
        <f t="shared" ref="S11:S17" si="2">SUM(D11:P11)/$Q$267</f>
        <v>1.6102175623501857E-3</v>
      </c>
      <c r="T11" s="123"/>
      <c r="U11" s="45"/>
    </row>
    <row r="12" spans="2:22" ht="14" customHeight="1" x14ac:dyDescent="0.15">
      <c r="B12" s="12">
        <v>2</v>
      </c>
      <c r="C12" s="13" t="s">
        <v>3</v>
      </c>
      <c r="D12" s="14">
        <v>3</v>
      </c>
      <c r="E12" s="14">
        <v>3</v>
      </c>
      <c r="F12" s="14">
        <v>4</v>
      </c>
      <c r="G12" s="14">
        <v>5</v>
      </c>
      <c r="H12" s="14">
        <v>6</v>
      </c>
      <c r="I12" s="14">
        <v>7</v>
      </c>
      <c r="J12" s="14">
        <v>8</v>
      </c>
      <c r="K12" s="14">
        <v>9</v>
      </c>
      <c r="L12" s="14">
        <v>9</v>
      </c>
      <c r="M12" s="14">
        <v>9</v>
      </c>
      <c r="N12" s="14">
        <v>9</v>
      </c>
      <c r="O12" s="14">
        <v>8</v>
      </c>
      <c r="P12" s="14">
        <v>8</v>
      </c>
      <c r="Q12" s="119">
        <f>+SUM(D12:P12)</f>
        <v>88</v>
      </c>
      <c r="R12" s="57"/>
      <c r="S12" s="124">
        <f t="shared" si="2"/>
        <v>1.6102175623501857E-3</v>
      </c>
      <c r="T12" s="125"/>
      <c r="U12" s="45"/>
    </row>
    <row r="13" spans="2:22" ht="14" customHeight="1" x14ac:dyDescent="0.15">
      <c r="B13" s="12">
        <v>3</v>
      </c>
      <c r="C13" s="13" t="s">
        <v>4</v>
      </c>
      <c r="D13" s="14">
        <v>3</v>
      </c>
      <c r="E13" s="14">
        <v>3</v>
      </c>
      <c r="F13" s="14">
        <v>4</v>
      </c>
      <c r="G13" s="14">
        <v>5</v>
      </c>
      <c r="H13" s="14">
        <v>6</v>
      </c>
      <c r="I13" s="14">
        <v>7</v>
      </c>
      <c r="J13" s="14">
        <v>8</v>
      </c>
      <c r="K13" s="14">
        <v>9</v>
      </c>
      <c r="L13" s="14">
        <v>9</v>
      </c>
      <c r="M13" s="14">
        <v>9</v>
      </c>
      <c r="N13" s="14">
        <v>9</v>
      </c>
      <c r="O13" s="14">
        <v>8</v>
      </c>
      <c r="P13" s="14">
        <v>8</v>
      </c>
      <c r="Q13" s="119">
        <f t="shared" ref="Q13:Q17" si="3">+SUM(D13:P13)</f>
        <v>88</v>
      </c>
      <c r="R13" s="57"/>
      <c r="S13" s="124">
        <f t="shared" si="2"/>
        <v>1.6102175623501857E-3</v>
      </c>
      <c r="T13" s="125"/>
      <c r="U13" s="45"/>
    </row>
    <row r="14" spans="2:22" ht="14" customHeight="1" x14ac:dyDescent="0.15">
      <c r="B14" s="12">
        <v>4</v>
      </c>
      <c r="C14" s="13" t="s">
        <v>5</v>
      </c>
      <c r="D14" s="14">
        <v>3</v>
      </c>
      <c r="E14" s="14">
        <v>3</v>
      </c>
      <c r="F14" s="14">
        <v>4</v>
      </c>
      <c r="G14" s="14">
        <v>5</v>
      </c>
      <c r="H14" s="14">
        <v>6</v>
      </c>
      <c r="I14" s="14">
        <v>7</v>
      </c>
      <c r="J14" s="14">
        <v>8</v>
      </c>
      <c r="K14" s="14">
        <v>9</v>
      </c>
      <c r="L14" s="14">
        <v>9</v>
      </c>
      <c r="M14" s="14">
        <v>9</v>
      </c>
      <c r="N14" s="14">
        <v>9</v>
      </c>
      <c r="O14" s="14">
        <v>8</v>
      </c>
      <c r="P14" s="14">
        <v>8</v>
      </c>
      <c r="Q14" s="119">
        <f t="shared" si="3"/>
        <v>88</v>
      </c>
      <c r="R14" s="57"/>
      <c r="S14" s="124">
        <f t="shared" si="2"/>
        <v>1.6102175623501857E-3</v>
      </c>
      <c r="T14" s="125"/>
      <c r="U14" s="45"/>
    </row>
    <row r="15" spans="2:22" ht="14" customHeight="1" x14ac:dyDescent="0.15">
      <c r="B15" s="12">
        <v>5</v>
      </c>
      <c r="C15" s="13" t="s">
        <v>6</v>
      </c>
      <c r="D15" s="14">
        <v>3</v>
      </c>
      <c r="E15" s="14">
        <v>3</v>
      </c>
      <c r="F15" s="14">
        <v>4</v>
      </c>
      <c r="G15" s="14">
        <v>5</v>
      </c>
      <c r="H15" s="14">
        <v>6</v>
      </c>
      <c r="I15" s="14">
        <v>7</v>
      </c>
      <c r="J15" s="14">
        <v>8</v>
      </c>
      <c r="K15" s="14">
        <v>9</v>
      </c>
      <c r="L15" s="14">
        <v>9</v>
      </c>
      <c r="M15" s="14">
        <v>9</v>
      </c>
      <c r="N15" s="14">
        <v>9</v>
      </c>
      <c r="O15" s="14">
        <v>8</v>
      </c>
      <c r="P15" s="14">
        <v>8</v>
      </c>
      <c r="Q15" s="119">
        <f t="shared" si="3"/>
        <v>88</v>
      </c>
      <c r="R15" s="57"/>
      <c r="S15" s="124">
        <f t="shared" si="2"/>
        <v>1.6102175623501857E-3</v>
      </c>
      <c r="T15" s="125"/>
      <c r="U15" s="45"/>
    </row>
    <row r="16" spans="2:22" ht="14" customHeight="1" x14ac:dyDescent="0.15">
      <c r="B16" s="12">
        <v>6</v>
      </c>
      <c r="C16" s="13" t="s">
        <v>7</v>
      </c>
      <c r="D16" s="14">
        <v>3</v>
      </c>
      <c r="E16" s="14">
        <v>3</v>
      </c>
      <c r="F16" s="14">
        <v>4</v>
      </c>
      <c r="G16" s="14">
        <v>5</v>
      </c>
      <c r="H16" s="14">
        <v>6</v>
      </c>
      <c r="I16" s="14">
        <v>7</v>
      </c>
      <c r="J16" s="14">
        <v>8</v>
      </c>
      <c r="K16" s="14">
        <v>9</v>
      </c>
      <c r="L16" s="14">
        <v>9</v>
      </c>
      <c r="M16" s="14">
        <v>9</v>
      </c>
      <c r="N16" s="14">
        <v>9</v>
      </c>
      <c r="O16" s="14">
        <v>8</v>
      </c>
      <c r="P16" s="14">
        <v>8</v>
      </c>
      <c r="Q16" s="119">
        <f t="shared" si="3"/>
        <v>88</v>
      </c>
      <c r="R16" s="57"/>
      <c r="S16" s="124">
        <f t="shared" si="2"/>
        <v>1.6102175623501857E-3</v>
      </c>
      <c r="T16" s="125"/>
      <c r="U16" s="45"/>
    </row>
    <row r="17" spans="2:21" ht="14" customHeight="1" x14ac:dyDescent="0.15">
      <c r="B17" s="12">
        <v>7</v>
      </c>
      <c r="C17" s="13" t="s">
        <v>8</v>
      </c>
      <c r="D17" s="14">
        <v>3</v>
      </c>
      <c r="E17" s="14">
        <v>3</v>
      </c>
      <c r="F17" s="14">
        <v>4</v>
      </c>
      <c r="G17" s="14">
        <v>5</v>
      </c>
      <c r="H17" s="14">
        <v>6</v>
      </c>
      <c r="I17" s="14">
        <v>7</v>
      </c>
      <c r="J17" s="14">
        <v>8</v>
      </c>
      <c r="K17" s="14">
        <v>9</v>
      </c>
      <c r="L17" s="14">
        <v>9</v>
      </c>
      <c r="M17" s="14">
        <v>9</v>
      </c>
      <c r="N17" s="14">
        <v>9</v>
      </c>
      <c r="O17" s="14">
        <v>8</v>
      </c>
      <c r="P17" s="14">
        <v>8</v>
      </c>
      <c r="Q17" s="119">
        <f t="shared" si="3"/>
        <v>88</v>
      </c>
      <c r="R17" s="57"/>
      <c r="S17" s="124">
        <f t="shared" si="2"/>
        <v>1.6102175623501857E-3</v>
      </c>
      <c r="T17" s="125"/>
      <c r="U17" s="45"/>
    </row>
    <row r="18" spans="2:21" ht="14" customHeight="1" thickBot="1" x14ac:dyDescent="0.2">
      <c r="B18" s="15"/>
      <c r="C18" s="16" t="s">
        <v>9</v>
      </c>
      <c r="D18" s="17">
        <f t="shared" ref="D18:P18" si="4">+D11+D12+D13+D14+D15+D16+D17</f>
        <v>21</v>
      </c>
      <c r="E18" s="17">
        <f t="shared" si="4"/>
        <v>21</v>
      </c>
      <c r="F18" s="17">
        <f t="shared" si="4"/>
        <v>28</v>
      </c>
      <c r="G18" s="17">
        <f t="shared" si="4"/>
        <v>35</v>
      </c>
      <c r="H18" s="18">
        <f t="shared" si="4"/>
        <v>42</v>
      </c>
      <c r="I18" s="17">
        <f t="shared" si="4"/>
        <v>49</v>
      </c>
      <c r="J18" s="17">
        <f t="shared" si="4"/>
        <v>56</v>
      </c>
      <c r="K18" s="17">
        <f t="shared" si="4"/>
        <v>63</v>
      </c>
      <c r="L18" s="17">
        <f t="shared" si="4"/>
        <v>63</v>
      </c>
      <c r="M18" s="17">
        <f t="shared" si="4"/>
        <v>63</v>
      </c>
      <c r="N18" s="17">
        <f t="shared" si="4"/>
        <v>63</v>
      </c>
      <c r="O18" s="17">
        <f t="shared" si="4"/>
        <v>56</v>
      </c>
      <c r="P18" s="17">
        <f t="shared" si="4"/>
        <v>56</v>
      </c>
      <c r="Q18" s="105">
        <f>+SUM(D18:P18)</f>
        <v>616</v>
      </c>
      <c r="R18" s="58"/>
      <c r="S18" s="126" t="s">
        <v>1</v>
      </c>
      <c r="T18" s="127">
        <f>SUM(S11:S17)</f>
        <v>1.1271522936451301E-2</v>
      </c>
      <c r="U18" s="46"/>
    </row>
    <row r="19" spans="2:21" ht="14" customHeight="1" thickTop="1" thickBot="1" x14ac:dyDescent="0.2">
      <c r="B19" s="19" t="s">
        <v>1</v>
      </c>
      <c r="C19" s="20" t="s">
        <v>28</v>
      </c>
      <c r="D19" s="21" t="s">
        <v>1</v>
      </c>
      <c r="E19" s="21">
        <f>'Calendrier 2023'!E9</f>
        <v>44957</v>
      </c>
      <c r="F19" s="21" t="s">
        <v>1</v>
      </c>
      <c r="G19" s="21" t="s">
        <v>1</v>
      </c>
      <c r="H19" s="21" t="s">
        <v>1</v>
      </c>
      <c r="I19" s="21" t="s">
        <v>1</v>
      </c>
      <c r="J19" s="21" t="s">
        <v>1</v>
      </c>
      <c r="K19" s="21" t="s">
        <v>1</v>
      </c>
      <c r="L19" s="21" t="s">
        <v>1</v>
      </c>
      <c r="M19" s="21" t="s">
        <v>1</v>
      </c>
      <c r="N19" s="21" t="s">
        <v>1</v>
      </c>
      <c r="O19" s="21" t="s">
        <v>1</v>
      </c>
      <c r="P19" s="21" t="s">
        <v>1</v>
      </c>
      <c r="Q19" s="22" t="s">
        <v>1</v>
      </c>
      <c r="R19" s="51"/>
      <c r="S19" s="19" t="s">
        <v>1</v>
      </c>
      <c r="T19" s="22" t="s">
        <v>1</v>
      </c>
      <c r="U19" s="51"/>
    </row>
    <row r="20" spans="2:21" ht="14" customHeight="1" thickTop="1" thickBot="1" x14ac:dyDescent="0.2">
      <c r="B20" s="23">
        <v>1</v>
      </c>
      <c r="C20" s="10" t="str">
        <f t="shared" ref="C20:C26" si="5">C11</f>
        <v>6 h à 9 h 30</v>
      </c>
      <c r="D20" s="11">
        <v>3</v>
      </c>
      <c r="E20" s="11">
        <v>3</v>
      </c>
      <c r="F20" s="11">
        <v>4</v>
      </c>
      <c r="G20" s="11">
        <v>5</v>
      </c>
      <c r="H20" s="11">
        <v>6</v>
      </c>
      <c r="I20" s="11">
        <v>7</v>
      </c>
      <c r="J20" s="11">
        <v>8</v>
      </c>
      <c r="K20" s="11">
        <v>9</v>
      </c>
      <c r="L20" s="11">
        <v>9</v>
      </c>
      <c r="M20" s="11">
        <v>9</v>
      </c>
      <c r="N20" s="11">
        <v>9</v>
      </c>
      <c r="O20" s="11">
        <v>8</v>
      </c>
      <c r="P20" s="11">
        <v>8</v>
      </c>
      <c r="Q20" s="118">
        <f>+SUM(D20:P20)</f>
        <v>88</v>
      </c>
      <c r="R20" s="57"/>
      <c r="S20" s="122">
        <f t="shared" ref="S20:S26" si="6">SUM(D20:P20)/$Q$267</f>
        <v>1.6102175623501857E-3</v>
      </c>
      <c r="T20" s="128"/>
      <c r="U20" s="45"/>
    </row>
    <row r="21" spans="2:21" ht="14" customHeight="1" thickTop="1" thickBot="1" x14ac:dyDescent="0.2">
      <c r="B21" s="24">
        <v>2</v>
      </c>
      <c r="C21" s="13" t="str">
        <f t="shared" si="5"/>
        <v>9 h 30 à 11 h 30</v>
      </c>
      <c r="D21" s="14">
        <v>3</v>
      </c>
      <c r="E21" s="14">
        <v>3</v>
      </c>
      <c r="F21" s="14">
        <v>4</v>
      </c>
      <c r="G21" s="14">
        <v>5</v>
      </c>
      <c r="H21" s="14">
        <v>6</v>
      </c>
      <c r="I21" s="14">
        <v>7</v>
      </c>
      <c r="J21" s="14">
        <v>8</v>
      </c>
      <c r="K21" s="14">
        <v>9</v>
      </c>
      <c r="L21" s="14">
        <v>9</v>
      </c>
      <c r="M21" s="14">
        <v>9</v>
      </c>
      <c r="N21" s="14">
        <v>9</v>
      </c>
      <c r="O21" s="14">
        <v>8</v>
      </c>
      <c r="P21" s="14">
        <v>8</v>
      </c>
      <c r="Q21" s="119">
        <f>+SUM(D21:P21)</f>
        <v>88</v>
      </c>
      <c r="R21" s="57"/>
      <c r="S21" s="124">
        <f t="shared" si="6"/>
        <v>1.6102175623501857E-3</v>
      </c>
      <c r="T21" s="129"/>
      <c r="U21" s="45"/>
    </row>
    <row r="22" spans="2:21" ht="14" customHeight="1" thickTop="1" thickBot="1" x14ac:dyDescent="0.2">
      <c r="B22" s="24">
        <v>3</v>
      </c>
      <c r="C22" s="13" t="str">
        <f t="shared" si="5"/>
        <v>11 h 30 à 14 h 30</v>
      </c>
      <c r="D22" s="14">
        <v>3</v>
      </c>
      <c r="E22" s="14">
        <v>3</v>
      </c>
      <c r="F22" s="14">
        <v>4</v>
      </c>
      <c r="G22" s="14">
        <v>5</v>
      </c>
      <c r="H22" s="14">
        <v>6</v>
      </c>
      <c r="I22" s="14">
        <v>7</v>
      </c>
      <c r="J22" s="14">
        <v>8</v>
      </c>
      <c r="K22" s="14">
        <v>9</v>
      </c>
      <c r="L22" s="14">
        <v>9</v>
      </c>
      <c r="M22" s="14">
        <v>9</v>
      </c>
      <c r="N22" s="14">
        <v>9</v>
      </c>
      <c r="O22" s="14">
        <v>8</v>
      </c>
      <c r="P22" s="14">
        <v>8</v>
      </c>
      <c r="Q22" s="119">
        <f t="shared" ref="Q22:Q26" si="7">+SUM(D22:P22)</f>
        <v>88</v>
      </c>
      <c r="R22" s="57"/>
      <c r="S22" s="124">
        <f t="shared" si="6"/>
        <v>1.6102175623501857E-3</v>
      </c>
      <c r="T22" s="129"/>
      <c r="U22" s="45"/>
    </row>
    <row r="23" spans="2:21" ht="14" customHeight="1" thickTop="1" thickBot="1" x14ac:dyDescent="0.2">
      <c r="B23" s="24">
        <v>4</v>
      </c>
      <c r="C23" s="13" t="str">
        <f t="shared" si="5"/>
        <v>14 h 30 à 17 h</v>
      </c>
      <c r="D23" s="14">
        <v>3</v>
      </c>
      <c r="E23" s="14">
        <v>3</v>
      </c>
      <c r="F23" s="14">
        <v>4</v>
      </c>
      <c r="G23" s="14">
        <v>5</v>
      </c>
      <c r="H23" s="14">
        <v>6</v>
      </c>
      <c r="I23" s="14">
        <v>7</v>
      </c>
      <c r="J23" s="14">
        <v>8</v>
      </c>
      <c r="K23" s="14">
        <v>9</v>
      </c>
      <c r="L23" s="14">
        <v>9</v>
      </c>
      <c r="M23" s="14">
        <v>9</v>
      </c>
      <c r="N23" s="14">
        <v>9</v>
      </c>
      <c r="O23" s="14">
        <v>8</v>
      </c>
      <c r="P23" s="14">
        <v>8</v>
      </c>
      <c r="Q23" s="119">
        <f t="shared" si="7"/>
        <v>88</v>
      </c>
      <c r="R23" s="57"/>
      <c r="S23" s="124">
        <f t="shared" si="6"/>
        <v>1.6102175623501857E-3</v>
      </c>
      <c r="T23" s="129"/>
      <c r="U23" s="45"/>
    </row>
    <row r="24" spans="2:21" ht="14" customHeight="1" thickTop="1" thickBot="1" x14ac:dyDescent="0.2">
      <c r="B24" s="24">
        <v>5</v>
      </c>
      <c r="C24" s="13" t="str">
        <f t="shared" si="5"/>
        <v>17 h à 19 h</v>
      </c>
      <c r="D24" s="14">
        <v>3</v>
      </c>
      <c r="E24" s="14">
        <v>3</v>
      </c>
      <c r="F24" s="14">
        <v>4</v>
      </c>
      <c r="G24" s="14">
        <v>5</v>
      </c>
      <c r="H24" s="14">
        <v>6</v>
      </c>
      <c r="I24" s="14">
        <v>7</v>
      </c>
      <c r="J24" s="14">
        <v>8</v>
      </c>
      <c r="K24" s="14">
        <v>9</v>
      </c>
      <c r="L24" s="14">
        <v>9</v>
      </c>
      <c r="M24" s="14">
        <v>9</v>
      </c>
      <c r="N24" s="14">
        <v>9</v>
      </c>
      <c r="O24" s="14">
        <v>8</v>
      </c>
      <c r="P24" s="14">
        <v>8</v>
      </c>
      <c r="Q24" s="119">
        <f t="shared" si="7"/>
        <v>88</v>
      </c>
      <c r="R24" s="57"/>
      <c r="S24" s="124">
        <f t="shared" si="6"/>
        <v>1.6102175623501857E-3</v>
      </c>
      <c r="T24" s="129"/>
      <c r="U24" s="45"/>
    </row>
    <row r="25" spans="2:21" ht="14" customHeight="1" thickTop="1" thickBot="1" x14ac:dyDescent="0.2">
      <c r="B25" s="24">
        <v>6</v>
      </c>
      <c r="C25" s="13" t="str">
        <f t="shared" si="5"/>
        <v>19 h à 23 h</v>
      </c>
      <c r="D25" s="14">
        <v>3</v>
      </c>
      <c r="E25" s="14">
        <v>3</v>
      </c>
      <c r="F25" s="14">
        <v>4</v>
      </c>
      <c r="G25" s="14">
        <v>5</v>
      </c>
      <c r="H25" s="14">
        <v>6</v>
      </c>
      <c r="I25" s="14">
        <v>7</v>
      </c>
      <c r="J25" s="14">
        <v>8</v>
      </c>
      <c r="K25" s="14">
        <v>9</v>
      </c>
      <c r="L25" s="14">
        <v>9</v>
      </c>
      <c r="M25" s="14">
        <v>9</v>
      </c>
      <c r="N25" s="14">
        <v>9</v>
      </c>
      <c r="O25" s="14">
        <v>8</v>
      </c>
      <c r="P25" s="14">
        <v>8</v>
      </c>
      <c r="Q25" s="119">
        <f t="shared" si="7"/>
        <v>88</v>
      </c>
      <c r="R25" s="57"/>
      <c r="S25" s="124">
        <f t="shared" si="6"/>
        <v>1.6102175623501857E-3</v>
      </c>
      <c r="T25" s="129"/>
      <c r="U25" s="45"/>
    </row>
    <row r="26" spans="2:21" ht="14" customHeight="1" thickTop="1" thickBot="1" x14ac:dyDescent="0.2">
      <c r="B26" s="24">
        <v>7</v>
      </c>
      <c r="C26" s="13" t="str">
        <f t="shared" si="5"/>
        <v>23 h à 6 h</v>
      </c>
      <c r="D26" s="14">
        <v>3</v>
      </c>
      <c r="E26" s="14">
        <v>3</v>
      </c>
      <c r="F26" s="14">
        <v>4</v>
      </c>
      <c r="G26" s="14">
        <v>5</v>
      </c>
      <c r="H26" s="14">
        <v>6</v>
      </c>
      <c r="I26" s="14">
        <v>7</v>
      </c>
      <c r="J26" s="14">
        <v>8</v>
      </c>
      <c r="K26" s="14">
        <v>9</v>
      </c>
      <c r="L26" s="14">
        <v>9</v>
      </c>
      <c r="M26" s="14">
        <v>9</v>
      </c>
      <c r="N26" s="14">
        <v>9</v>
      </c>
      <c r="O26" s="14">
        <v>8</v>
      </c>
      <c r="P26" s="14">
        <v>8</v>
      </c>
      <c r="Q26" s="119">
        <f t="shared" si="7"/>
        <v>88</v>
      </c>
      <c r="R26" s="57"/>
      <c r="S26" s="124">
        <f t="shared" si="6"/>
        <v>1.6102175623501857E-3</v>
      </c>
      <c r="T26" s="129"/>
      <c r="U26" s="45"/>
    </row>
    <row r="27" spans="2:21" ht="14" customHeight="1" thickTop="1" thickBot="1" x14ac:dyDescent="0.2">
      <c r="B27" s="25"/>
      <c r="C27" s="26" t="str">
        <f t="shared" ref="C27" si="8">+C18</f>
        <v>Total</v>
      </c>
      <c r="D27" s="27">
        <f t="shared" ref="D27:P27" si="9">+D20+D21+D22+D23+D24+D25+D26</f>
        <v>21</v>
      </c>
      <c r="E27" s="27">
        <f t="shared" si="9"/>
        <v>21</v>
      </c>
      <c r="F27" s="27">
        <f t="shared" si="9"/>
        <v>28</v>
      </c>
      <c r="G27" s="27">
        <f t="shared" si="9"/>
        <v>35</v>
      </c>
      <c r="H27" s="28">
        <f t="shared" si="9"/>
        <v>42</v>
      </c>
      <c r="I27" s="27">
        <f t="shared" si="9"/>
        <v>49</v>
      </c>
      <c r="J27" s="27">
        <f t="shared" si="9"/>
        <v>56</v>
      </c>
      <c r="K27" s="28">
        <f t="shared" si="9"/>
        <v>63</v>
      </c>
      <c r="L27" s="28">
        <f>+L20+L21+L22+L23+L24+L25+L26</f>
        <v>63</v>
      </c>
      <c r="M27" s="27">
        <f t="shared" si="9"/>
        <v>63</v>
      </c>
      <c r="N27" s="27">
        <f t="shared" si="9"/>
        <v>63</v>
      </c>
      <c r="O27" s="27">
        <f t="shared" si="9"/>
        <v>56</v>
      </c>
      <c r="P27" s="27">
        <f t="shared" si="9"/>
        <v>56</v>
      </c>
      <c r="Q27" s="105">
        <f>+SUM(D27:P27)</f>
        <v>616</v>
      </c>
      <c r="R27" s="59"/>
      <c r="S27" s="126" t="s">
        <v>1</v>
      </c>
      <c r="T27" s="127">
        <f t="shared" ref="T27:T82" si="10">SUM(S20:S26)</f>
        <v>1.1271522936451301E-2</v>
      </c>
      <c r="U27" s="47"/>
    </row>
    <row r="28" spans="2:21" ht="14" customHeight="1" thickTop="1" thickBot="1" x14ac:dyDescent="0.2">
      <c r="B28" s="19" t="s">
        <v>1</v>
      </c>
      <c r="C28" s="20" t="s">
        <v>29</v>
      </c>
      <c r="D28" s="21" t="s">
        <v>1</v>
      </c>
      <c r="E28" s="21">
        <f>'Calendrier 2023'!E10</f>
        <v>44958</v>
      </c>
      <c r="F28" s="21" t="s">
        <v>1</v>
      </c>
      <c r="G28" s="21" t="s">
        <v>1</v>
      </c>
      <c r="H28" s="21" t="s">
        <v>1</v>
      </c>
      <c r="I28" s="21" t="s">
        <v>1</v>
      </c>
      <c r="J28" s="21" t="s">
        <v>1</v>
      </c>
      <c r="K28" s="21" t="s">
        <v>1</v>
      </c>
      <c r="L28" s="21" t="s">
        <v>1</v>
      </c>
      <c r="M28" s="21" t="s">
        <v>1</v>
      </c>
      <c r="N28" s="21" t="s">
        <v>1</v>
      </c>
      <c r="O28" s="21" t="s">
        <v>1</v>
      </c>
      <c r="P28" s="109" t="s">
        <v>1</v>
      </c>
      <c r="Q28" s="110" t="s">
        <v>1</v>
      </c>
      <c r="R28" s="51"/>
      <c r="S28" s="19" t="s">
        <v>1</v>
      </c>
      <c r="T28" s="22" t="s">
        <v>1</v>
      </c>
      <c r="U28" s="51"/>
    </row>
    <row r="29" spans="2:21" ht="14" customHeight="1" thickTop="1" thickBot="1" x14ac:dyDescent="0.2">
      <c r="B29" s="23">
        <v>1</v>
      </c>
      <c r="C29" s="10" t="str">
        <f t="shared" ref="C29:C35" si="11">C20</f>
        <v>6 h à 9 h 30</v>
      </c>
      <c r="D29" s="11">
        <v>3</v>
      </c>
      <c r="E29" s="11">
        <v>3</v>
      </c>
      <c r="F29" s="11">
        <v>4</v>
      </c>
      <c r="G29" s="11">
        <v>5</v>
      </c>
      <c r="H29" s="11">
        <v>6</v>
      </c>
      <c r="I29" s="11">
        <v>7</v>
      </c>
      <c r="J29" s="11">
        <v>8</v>
      </c>
      <c r="K29" s="11">
        <v>9</v>
      </c>
      <c r="L29" s="11">
        <v>9</v>
      </c>
      <c r="M29" s="11">
        <v>9</v>
      </c>
      <c r="N29" s="11">
        <v>9</v>
      </c>
      <c r="O29" s="11">
        <v>8</v>
      </c>
      <c r="P29" s="11">
        <v>8</v>
      </c>
      <c r="Q29" s="118">
        <f>+SUM(D29:P29)</f>
        <v>88</v>
      </c>
      <c r="R29" s="57"/>
      <c r="S29" s="122">
        <f t="shared" ref="S29:S35" si="12">SUM(D29:P29)/$Q$267</f>
        <v>1.6102175623501857E-3</v>
      </c>
      <c r="T29" s="128"/>
      <c r="U29" s="45"/>
    </row>
    <row r="30" spans="2:21" ht="14" customHeight="1" thickTop="1" thickBot="1" x14ac:dyDescent="0.2">
      <c r="B30" s="24">
        <v>2</v>
      </c>
      <c r="C30" s="13" t="str">
        <f t="shared" si="11"/>
        <v>9 h 30 à 11 h 30</v>
      </c>
      <c r="D30" s="14">
        <v>3</v>
      </c>
      <c r="E30" s="14">
        <v>3</v>
      </c>
      <c r="F30" s="14">
        <v>4</v>
      </c>
      <c r="G30" s="14">
        <v>5</v>
      </c>
      <c r="H30" s="14">
        <v>6</v>
      </c>
      <c r="I30" s="14">
        <v>7</v>
      </c>
      <c r="J30" s="14">
        <v>8</v>
      </c>
      <c r="K30" s="14">
        <v>9</v>
      </c>
      <c r="L30" s="14">
        <v>9</v>
      </c>
      <c r="M30" s="14">
        <v>9</v>
      </c>
      <c r="N30" s="14">
        <v>9</v>
      </c>
      <c r="O30" s="14">
        <v>8</v>
      </c>
      <c r="P30" s="14">
        <v>8</v>
      </c>
      <c r="Q30" s="119">
        <f>+SUM(D30:P30)</f>
        <v>88</v>
      </c>
      <c r="R30" s="57"/>
      <c r="S30" s="124">
        <f t="shared" si="12"/>
        <v>1.6102175623501857E-3</v>
      </c>
      <c r="T30" s="129"/>
      <c r="U30" s="45"/>
    </row>
    <row r="31" spans="2:21" ht="14" customHeight="1" thickTop="1" thickBot="1" x14ac:dyDescent="0.2">
      <c r="B31" s="24">
        <v>3</v>
      </c>
      <c r="C31" s="13" t="str">
        <f t="shared" si="11"/>
        <v>11 h 30 à 14 h 30</v>
      </c>
      <c r="D31" s="14">
        <v>3</v>
      </c>
      <c r="E31" s="14">
        <v>3</v>
      </c>
      <c r="F31" s="14">
        <v>4</v>
      </c>
      <c r="G31" s="14">
        <v>5</v>
      </c>
      <c r="H31" s="14">
        <v>6</v>
      </c>
      <c r="I31" s="14">
        <v>7</v>
      </c>
      <c r="J31" s="14">
        <v>8</v>
      </c>
      <c r="K31" s="14">
        <v>9</v>
      </c>
      <c r="L31" s="14">
        <v>9</v>
      </c>
      <c r="M31" s="14">
        <v>9</v>
      </c>
      <c r="N31" s="14">
        <v>9</v>
      </c>
      <c r="O31" s="14">
        <v>8</v>
      </c>
      <c r="P31" s="14">
        <v>8</v>
      </c>
      <c r="Q31" s="119">
        <f t="shared" ref="Q31:Q35" si="13">+SUM(D31:P31)</f>
        <v>88</v>
      </c>
      <c r="R31" s="57"/>
      <c r="S31" s="124">
        <f t="shared" si="12"/>
        <v>1.6102175623501857E-3</v>
      </c>
      <c r="T31" s="129"/>
      <c r="U31" s="45"/>
    </row>
    <row r="32" spans="2:21" ht="14" customHeight="1" thickTop="1" thickBot="1" x14ac:dyDescent="0.2">
      <c r="B32" s="24">
        <v>4</v>
      </c>
      <c r="C32" s="13" t="str">
        <f t="shared" si="11"/>
        <v>14 h 30 à 17 h</v>
      </c>
      <c r="D32" s="14">
        <v>3</v>
      </c>
      <c r="E32" s="14">
        <v>3</v>
      </c>
      <c r="F32" s="14">
        <v>4</v>
      </c>
      <c r="G32" s="14">
        <v>5</v>
      </c>
      <c r="H32" s="14">
        <v>6</v>
      </c>
      <c r="I32" s="14">
        <v>7</v>
      </c>
      <c r="J32" s="14">
        <v>8</v>
      </c>
      <c r="K32" s="14">
        <v>9</v>
      </c>
      <c r="L32" s="14">
        <v>9</v>
      </c>
      <c r="M32" s="14">
        <v>9</v>
      </c>
      <c r="N32" s="14">
        <v>9</v>
      </c>
      <c r="O32" s="14">
        <v>8</v>
      </c>
      <c r="P32" s="14">
        <v>8</v>
      </c>
      <c r="Q32" s="119">
        <f t="shared" si="13"/>
        <v>88</v>
      </c>
      <c r="R32" s="57"/>
      <c r="S32" s="124">
        <f t="shared" si="12"/>
        <v>1.6102175623501857E-3</v>
      </c>
      <c r="T32" s="129"/>
      <c r="U32" s="45"/>
    </row>
    <row r="33" spans="2:21" ht="14" customHeight="1" thickTop="1" thickBot="1" x14ac:dyDescent="0.2">
      <c r="B33" s="24">
        <v>5</v>
      </c>
      <c r="C33" s="13" t="str">
        <f t="shared" si="11"/>
        <v>17 h à 19 h</v>
      </c>
      <c r="D33" s="14">
        <v>3</v>
      </c>
      <c r="E33" s="14">
        <v>3</v>
      </c>
      <c r="F33" s="14">
        <v>4</v>
      </c>
      <c r="G33" s="14">
        <v>5</v>
      </c>
      <c r="H33" s="14">
        <v>6</v>
      </c>
      <c r="I33" s="14">
        <v>7</v>
      </c>
      <c r="J33" s="14">
        <v>8</v>
      </c>
      <c r="K33" s="14">
        <v>9</v>
      </c>
      <c r="L33" s="14">
        <v>9</v>
      </c>
      <c r="M33" s="14">
        <v>9</v>
      </c>
      <c r="N33" s="14">
        <v>9</v>
      </c>
      <c r="O33" s="14">
        <v>8</v>
      </c>
      <c r="P33" s="14">
        <v>8</v>
      </c>
      <c r="Q33" s="119">
        <f t="shared" si="13"/>
        <v>88</v>
      </c>
      <c r="R33" s="57"/>
      <c r="S33" s="124">
        <f t="shared" si="12"/>
        <v>1.6102175623501857E-3</v>
      </c>
      <c r="T33" s="129"/>
      <c r="U33" s="45"/>
    </row>
    <row r="34" spans="2:21" ht="14" customHeight="1" thickTop="1" thickBot="1" x14ac:dyDescent="0.2">
      <c r="B34" s="24">
        <v>6</v>
      </c>
      <c r="C34" s="13" t="str">
        <f t="shared" si="11"/>
        <v>19 h à 23 h</v>
      </c>
      <c r="D34" s="14">
        <v>3</v>
      </c>
      <c r="E34" s="14">
        <v>3</v>
      </c>
      <c r="F34" s="14">
        <v>4</v>
      </c>
      <c r="G34" s="14">
        <v>5</v>
      </c>
      <c r="H34" s="14">
        <v>6</v>
      </c>
      <c r="I34" s="14">
        <v>7</v>
      </c>
      <c r="J34" s="14">
        <v>8</v>
      </c>
      <c r="K34" s="14">
        <v>9</v>
      </c>
      <c r="L34" s="14">
        <v>9</v>
      </c>
      <c r="M34" s="14">
        <v>9</v>
      </c>
      <c r="N34" s="14">
        <v>9</v>
      </c>
      <c r="O34" s="14">
        <v>8</v>
      </c>
      <c r="P34" s="14">
        <v>8</v>
      </c>
      <c r="Q34" s="119">
        <f t="shared" si="13"/>
        <v>88</v>
      </c>
      <c r="R34" s="57"/>
      <c r="S34" s="124">
        <f t="shared" si="12"/>
        <v>1.6102175623501857E-3</v>
      </c>
      <c r="T34" s="129"/>
      <c r="U34" s="45"/>
    </row>
    <row r="35" spans="2:21" ht="14" customHeight="1" thickTop="1" thickBot="1" x14ac:dyDescent="0.2">
      <c r="B35" s="24">
        <v>7</v>
      </c>
      <c r="C35" s="13" t="str">
        <f t="shared" si="11"/>
        <v>23 h à 6 h</v>
      </c>
      <c r="D35" s="14">
        <v>3</v>
      </c>
      <c r="E35" s="14">
        <v>3</v>
      </c>
      <c r="F35" s="14">
        <v>4</v>
      </c>
      <c r="G35" s="14">
        <v>5</v>
      </c>
      <c r="H35" s="14">
        <v>6</v>
      </c>
      <c r="I35" s="14">
        <v>7</v>
      </c>
      <c r="J35" s="14">
        <v>8</v>
      </c>
      <c r="K35" s="14">
        <v>9</v>
      </c>
      <c r="L35" s="14">
        <v>9</v>
      </c>
      <c r="M35" s="14">
        <v>9</v>
      </c>
      <c r="N35" s="14">
        <v>9</v>
      </c>
      <c r="O35" s="14">
        <v>8</v>
      </c>
      <c r="P35" s="14">
        <v>8</v>
      </c>
      <c r="Q35" s="119">
        <f t="shared" si="13"/>
        <v>88</v>
      </c>
      <c r="R35" s="57"/>
      <c r="S35" s="124">
        <f t="shared" si="12"/>
        <v>1.6102175623501857E-3</v>
      </c>
      <c r="T35" s="129"/>
      <c r="U35" s="45"/>
    </row>
    <row r="36" spans="2:21" ht="14" customHeight="1" thickTop="1" thickBot="1" x14ac:dyDescent="0.2">
      <c r="B36" s="25"/>
      <c r="C36" s="26" t="str">
        <f t="shared" ref="C36" si="14">+C18</f>
        <v>Total</v>
      </c>
      <c r="D36" s="28">
        <f t="shared" ref="D36:P36" si="15">+D29+D30+D31+D32+D33+D34+D35</f>
        <v>21</v>
      </c>
      <c r="E36" s="28">
        <f t="shared" si="15"/>
        <v>21</v>
      </c>
      <c r="F36" s="28">
        <f t="shared" si="15"/>
        <v>28</v>
      </c>
      <c r="G36" s="27">
        <f t="shared" si="15"/>
        <v>35</v>
      </c>
      <c r="H36" s="28">
        <f t="shared" si="15"/>
        <v>42</v>
      </c>
      <c r="I36" s="27">
        <f t="shared" si="15"/>
        <v>49</v>
      </c>
      <c r="J36" s="27">
        <f t="shared" si="15"/>
        <v>56</v>
      </c>
      <c r="K36" s="28">
        <f t="shared" si="15"/>
        <v>63</v>
      </c>
      <c r="L36" s="27">
        <f t="shared" si="15"/>
        <v>63</v>
      </c>
      <c r="M36" s="27">
        <f t="shared" si="15"/>
        <v>63</v>
      </c>
      <c r="N36" s="28">
        <f t="shared" si="15"/>
        <v>63</v>
      </c>
      <c r="O36" s="27">
        <f t="shared" si="15"/>
        <v>56</v>
      </c>
      <c r="P36" s="27">
        <f t="shared" si="15"/>
        <v>56</v>
      </c>
      <c r="Q36" s="105">
        <f>+SUM(D36:P36)</f>
        <v>616</v>
      </c>
      <c r="R36" s="59"/>
      <c r="S36" s="126" t="s">
        <v>1</v>
      </c>
      <c r="T36" s="127">
        <f t="shared" si="10"/>
        <v>1.1271522936451301E-2</v>
      </c>
      <c r="U36" s="47"/>
    </row>
    <row r="37" spans="2:21" ht="14" customHeight="1" thickTop="1" thickBot="1" x14ac:dyDescent="0.2">
      <c r="B37" s="29" t="s">
        <v>1</v>
      </c>
      <c r="C37" s="30" t="s">
        <v>30</v>
      </c>
      <c r="D37" s="31" t="s">
        <v>1</v>
      </c>
      <c r="E37" s="21">
        <f>'Calendrier 2023'!E11</f>
        <v>44959</v>
      </c>
      <c r="F37" s="21" t="s">
        <v>1</v>
      </c>
      <c r="G37" s="21" t="s">
        <v>1</v>
      </c>
      <c r="H37" s="21" t="s">
        <v>1</v>
      </c>
      <c r="I37" s="21" t="s">
        <v>1</v>
      </c>
      <c r="J37" s="21" t="s">
        <v>1</v>
      </c>
      <c r="K37" s="21" t="s">
        <v>1</v>
      </c>
      <c r="L37" s="21" t="s">
        <v>1</v>
      </c>
      <c r="M37" s="21" t="s">
        <v>1</v>
      </c>
      <c r="N37" s="21" t="s">
        <v>1</v>
      </c>
      <c r="O37" s="21" t="s">
        <v>1</v>
      </c>
      <c r="P37" s="109" t="s">
        <v>1</v>
      </c>
      <c r="Q37" s="110" t="s">
        <v>1</v>
      </c>
      <c r="R37" s="51"/>
      <c r="S37" s="19" t="s">
        <v>1</v>
      </c>
      <c r="T37" s="22" t="s">
        <v>1</v>
      </c>
      <c r="U37" s="51"/>
    </row>
    <row r="38" spans="2:21" ht="14" customHeight="1" thickTop="1" thickBot="1" x14ac:dyDescent="0.2">
      <c r="B38" s="23">
        <v>1</v>
      </c>
      <c r="C38" s="10" t="str">
        <f t="shared" ref="C38:C44" si="16">C29</f>
        <v>6 h à 9 h 30</v>
      </c>
      <c r="D38" s="11">
        <v>3</v>
      </c>
      <c r="E38" s="11">
        <v>3</v>
      </c>
      <c r="F38" s="11">
        <v>4</v>
      </c>
      <c r="G38" s="11">
        <v>5</v>
      </c>
      <c r="H38" s="11">
        <v>6</v>
      </c>
      <c r="I38" s="11">
        <v>7</v>
      </c>
      <c r="J38" s="11">
        <v>8</v>
      </c>
      <c r="K38" s="11">
        <v>9</v>
      </c>
      <c r="L38" s="11">
        <v>9</v>
      </c>
      <c r="M38" s="11">
        <v>9</v>
      </c>
      <c r="N38" s="11">
        <v>9</v>
      </c>
      <c r="O38" s="11">
        <v>8</v>
      </c>
      <c r="P38" s="106">
        <v>8</v>
      </c>
      <c r="Q38" s="118">
        <f>+SUM(D38:P38)</f>
        <v>88</v>
      </c>
      <c r="R38" s="57"/>
      <c r="S38" s="122">
        <f t="shared" ref="S38:S44" si="17">SUM(D38:P38)/$Q$267</f>
        <v>1.6102175623501857E-3</v>
      </c>
      <c r="T38" s="128"/>
      <c r="U38" s="45"/>
    </row>
    <row r="39" spans="2:21" ht="14" customHeight="1" thickTop="1" thickBot="1" x14ac:dyDescent="0.2">
      <c r="B39" s="24">
        <v>2</v>
      </c>
      <c r="C39" s="13" t="str">
        <f t="shared" si="16"/>
        <v>9 h 30 à 11 h 30</v>
      </c>
      <c r="D39" s="14">
        <v>3</v>
      </c>
      <c r="E39" s="14">
        <v>3</v>
      </c>
      <c r="F39" s="14">
        <v>4</v>
      </c>
      <c r="G39" s="14">
        <v>5</v>
      </c>
      <c r="H39" s="14">
        <v>6</v>
      </c>
      <c r="I39" s="14">
        <v>7</v>
      </c>
      <c r="J39" s="14">
        <v>8</v>
      </c>
      <c r="K39" s="14">
        <v>9</v>
      </c>
      <c r="L39" s="14">
        <v>9</v>
      </c>
      <c r="M39" s="14">
        <v>9</v>
      </c>
      <c r="N39" s="14">
        <v>9</v>
      </c>
      <c r="O39" s="14">
        <v>8</v>
      </c>
      <c r="P39" s="107">
        <v>8</v>
      </c>
      <c r="Q39" s="119">
        <f>+SUM(D39:P39)</f>
        <v>88</v>
      </c>
      <c r="R39" s="57"/>
      <c r="S39" s="124">
        <f t="shared" si="17"/>
        <v>1.6102175623501857E-3</v>
      </c>
      <c r="T39" s="129"/>
      <c r="U39" s="45"/>
    </row>
    <row r="40" spans="2:21" ht="14" customHeight="1" thickTop="1" thickBot="1" x14ac:dyDescent="0.2">
      <c r="B40" s="24">
        <v>3</v>
      </c>
      <c r="C40" s="13" t="str">
        <f t="shared" si="16"/>
        <v>11 h 30 à 14 h 30</v>
      </c>
      <c r="D40" s="14">
        <v>3</v>
      </c>
      <c r="E40" s="14">
        <v>3</v>
      </c>
      <c r="F40" s="14">
        <v>4</v>
      </c>
      <c r="G40" s="14">
        <v>5</v>
      </c>
      <c r="H40" s="14">
        <v>6</v>
      </c>
      <c r="I40" s="14">
        <v>7</v>
      </c>
      <c r="J40" s="14">
        <v>8</v>
      </c>
      <c r="K40" s="14">
        <v>9</v>
      </c>
      <c r="L40" s="14">
        <v>9</v>
      </c>
      <c r="M40" s="14">
        <v>9</v>
      </c>
      <c r="N40" s="14">
        <v>9</v>
      </c>
      <c r="O40" s="14">
        <v>8</v>
      </c>
      <c r="P40" s="107">
        <v>8</v>
      </c>
      <c r="Q40" s="119">
        <f t="shared" ref="Q40:Q44" si="18">+SUM(D40:P40)</f>
        <v>88</v>
      </c>
      <c r="R40" s="57"/>
      <c r="S40" s="124">
        <f t="shared" si="17"/>
        <v>1.6102175623501857E-3</v>
      </c>
      <c r="T40" s="129"/>
      <c r="U40" s="45"/>
    </row>
    <row r="41" spans="2:21" ht="14" customHeight="1" thickTop="1" thickBot="1" x14ac:dyDescent="0.2">
      <c r="B41" s="24">
        <v>4</v>
      </c>
      <c r="C41" s="13" t="str">
        <f t="shared" si="16"/>
        <v>14 h 30 à 17 h</v>
      </c>
      <c r="D41" s="14">
        <v>3</v>
      </c>
      <c r="E41" s="14">
        <v>3</v>
      </c>
      <c r="F41" s="14">
        <v>4</v>
      </c>
      <c r="G41" s="14">
        <v>5</v>
      </c>
      <c r="H41" s="14">
        <v>6</v>
      </c>
      <c r="I41" s="14">
        <v>7</v>
      </c>
      <c r="J41" s="14">
        <v>8</v>
      </c>
      <c r="K41" s="14">
        <v>9</v>
      </c>
      <c r="L41" s="14">
        <v>9</v>
      </c>
      <c r="M41" s="14">
        <v>9</v>
      </c>
      <c r="N41" s="14">
        <v>9</v>
      </c>
      <c r="O41" s="14">
        <v>8</v>
      </c>
      <c r="P41" s="107">
        <v>8</v>
      </c>
      <c r="Q41" s="119">
        <f t="shared" si="18"/>
        <v>88</v>
      </c>
      <c r="R41" s="57"/>
      <c r="S41" s="124">
        <f t="shared" si="17"/>
        <v>1.6102175623501857E-3</v>
      </c>
      <c r="T41" s="129"/>
      <c r="U41" s="45"/>
    </row>
    <row r="42" spans="2:21" ht="14" customHeight="1" thickTop="1" thickBot="1" x14ac:dyDescent="0.2">
      <c r="B42" s="24">
        <v>5</v>
      </c>
      <c r="C42" s="13" t="str">
        <f t="shared" si="16"/>
        <v>17 h à 19 h</v>
      </c>
      <c r="D42" s="14">
        <v>3</v>
      </c>
      <c r="E42" s="14">
        <v>3</v>
      </c>
      <c r="F42" s="14">
        <v>4</v>
      </c>
      <c r="G42" s="14">
        <v>5</v>
      </c>
      <c r="H42" s="14">
        <v>6</v>
      </c>
      <c r="I42" s="14">
        <v>7</v>
      </c>
      <c r="J42" s="14">
        <v>8</v>
      </c>
      <c r="K42" s="14">
        <v>9</v>
      </c>
      <c r="L42" s="14">
        <v>9</v>
      </c>
      <c r="M42" s="14">
        <v>9</v>
      </c>
      <c r="N42" s="14">
        <v>9</v>
      </c>
      <c r="O42" s="14">
        <v>8</v>
      </c>
      <c r="P42" s="107">
        <v>8</v>
      </c>
      <c r="Q42" s="119">
        <f t="shared" si="18"/>
        <v>88</v>
      </c>
      <c r="R42" s="57"/>
      <c r="S42" s="124">
        <f t="shared" si="17"/>
        <v>1.6102175623501857E-3</v>
      </c>
      <c r="T42" s="129"/>
      <c r="U42" s="45"/>
    </row>
    <row r="43" spans="2:21" ht="14" customHeight="1" thickTop="1" thickBot="1" x14ac:dyDescent="0.2">
      <c r="B43" s="24">
        <v>6</v>
      </c>
      <c r="C43" s="13" t="str">
        <f t="shared" si="16"/>
        <v>19 h à 23 h</v>
      </c>
      <c r="D43" s="14">
        <v>3</v>
      </c>
      <c r="E43" s="14">
        <v>3</v>
      </c>
      <c r="F43" s="14">
        <v>4</v>
      </c>
      <c r="G43" s="14">
        <v>5</v>
      </c>
      <c r="H43" s="14">
        <v>6</v>
      </c>
      <c r="I43" s="14">
        <v>7</v>
      </c>
      <c r="J43" s="14">
        <v>8</v>
      </c>
      <c r="K43" s="14">
        <v>9</v>
      </c>
      <c r="L43" s="14">
        <v>9</v>
      </c>
      <c r="M43" s="14">
        <v>9</v>
      </c>
      <c r="N43" s="14">
        <v>9</v>
      </c>
      <c r="O43" s="14">
        <v>8</v>
      </c>
      <c r="P43" s="107">
        <v>8</v>
      </c>
      <c r="Q43" s="119">
        <f t="shared" si="18"/>
        <v>88</v>
      </c>
      <c r="R43" s="57"/>
      <c r="S43" s="124">
        <f t="shared" si="17"/>
        <v>1.6102175623501857E-3</v>
      </c>
      <c r="T43" s="129"/>
      <c r="U43" s="45"/>
    </row>
    <row r="44" spans="2:21" ht="14" customHeight="1" thickTop="1" thickBot="1" x14ac:dyDescent="0.2">
      <c r="B44" s="24">
        <v>7</v>
      </c>
      <c r="C44" s="13" t="str">
        <f t="shared" si="16"/>
        <v>23 h à 6 h</v>
      </c>
      <c r="D44" s="14">
        <v>3</v>
      </c>
      <c r="E44" s="14">
        <v>3</v>
      </c>
      <c r="F44" s="14">
        <v>4</v>
      </c>
      <c r="G44" s="14">
        <v>5</v>
      </c>
      <c r="H44" s="14">
        <v>6</v>
      </c>
      <c r="I44" s="14">
        <v>7</v>
      </c>
      <c r="J44" s="14">
        <v>8</v>
      </c>
      <c r="K44" s="14">
        <v>9</v>
      </c>
      <c r="L44" s="14">
        <v>9</v>
      </c>
      <c r="M44" s="14">
        <v>9</v>
      </c>
      <c r="N44" s="14">
        <v>9</v>
      </c>
      <c r="O44" s="14">
        <v>8</v>
      </c>
      <c r="P44" s="107">
        <v>8</v>
      </c>
      <c r="Q44" s="119">
        <f t="shared" si="18"/>
        <v>88</v>
      </c>
      <c r="R44" s="57"/>
      <c r="S44" s="124">
        <f t="shared" si="17"/>
        <v>1.6102175623501857E-3</v>
      </c>
      <c r="T44" s="129"/>
      <c r="U44" s="45"/>
    </row>
    <row r="45" spans="2:21" ht="14" customHeight="1" thickTop="1" thickBot="1" x14ac:dyDescent="0.2">
      <c r="B45" s="25"/>
      <c r="C45" s="32" t="str">
        <f>+C36</f>
        <v>Total</v>
      </c>
      <c r="D45" s="28">
        <f t="shared" ref="D45:K45" si="19">+D38+D39+D40+D41+D42+D43+D44</f>
        <v>21</v>
      </c>
      <c r="E45" s="28">
        <f t="shared" si="19"/>
        <v>21</v>
      </c>
      <c r="F45" s="28">
        <f t="shared" si="19"/>
        <v>28</v>
      </c>
      <c r="G45" s="27">
        <f t="shared" si="19"/>
        <v>35</v>
      </c>
      <c r="H45" s="28">
        <f t="shared" si="19"/>
        <v>42</v>
      </c>
      <c r="I45" s="28">
        <f t="shared" si="19"/>
        <v>49</v>
      </c>
      <c r="J45" s="27">
        <f t="shared" si="19"/>
        <v>56</v>
      </c>
      <c r="K45" s="28">
        <f t="shared" si="19"/>
        <v>63</v>
      </c>
      <c r="L45" s="27">
        <f>+L38+L39+L40+L41+L42+L43+L44</f>
        <v>63</v>
      </c>
      <c r="M45" s="27">
        <f>+M38+M39+M40+M41+M42+M43+M44</f>
        <v>63</v>
      </c>
      <c r="N45" s="28">
        <f>+N38+N39+N40+N41+N42+N43+N44</f>
        <v>63</v>
      </c>
      <c r="O45" s="27">
        <f>+O38+O39+O40+O41+O42+O43+O44</f>
        <v>56</v>
      </c>
      <c r="P45" s="111">
        <f>+P38+P39+P40+P41+P42+P43+P44</f>
        <v>56</v>
      </c>
      <c r="Q45" s="105">
        <f>+SUM(D45:P45)</f>
        <v>616</v>
      </c>
      <c r="R45" s="59"/>
      <c r="S45" s="126" t="s">
        <v>1</v>
      </c>
      <c r="T45" s="127">
        <f t="shared" si="10"/>
        <v>1.1271522936451301E-2</v>
      </c>
      <c r="U45" s="47"/>
    </row>
    <row r="46" spans="2:21" ht="14" customHeight="1" thickTop="1" thickBot="1" x14ac:dyDescent="0.2">
      <c r="B46" s="29" t="s">
        <v>1</v>
      </c>
      <c r="C46" s="33" t="s">
        <v>31</v>
      </c>
      <c r="D46" s="21" t="s">
        <v>1</v>
      </c>
      <c r="E46" s="21">
        <f>'Calendrier 2023'!E12</f>
        <v>44960</v>
      </c>
      <c r="F46" s="21" t="s">
        <v>1</v>
      </c>
      <c r="G46" s="21" t="s">
        <v>1</v>
      </c>
      <c r="H46" s="21" t="s">
        <v>1</v>
      </c>
      <c r="I46" s="21" t="s">
        <v>1</v>
      </c>
      <c r="J46" s="21" t="s">
        <v>1</v>
      </c>
      <c r="K46" s="21" t="s">
        <v>1</v>
      </c>
      <c r="L46" s="21" t="s">
        <v>1</v>
      </c>
      <c r="M46" s="21" t="s">
        <v>1</v>
      </c>
      <c r="N46" s="21" t="s">
        <v>1</v>
      </c>
      <c r="O46" s="21" t="s">
        <v>1</v>
      </c>
      <c r="P46" s="109" t="s">
        <v>1</v>
      </c>
      <c r="Q46" s="110" t="s">
        <v>1</v>
      </c>
      <c r="R46" s="51"/>
      <c r="S46" s="19" t="s">
        <v>1</v>
      </c>
      <c r="T46" s="22" t="s">
        <v>1</v>
      </c>
      <c r="U46" s="51"/>
    </row>
    <row r="47" spans="2:21" ht="14" customHeight="1" thickTop="1" thickBot="1" x14ac:dyDescent="0.2">
      <c r="B47" s="23">
        <v>1</v>
      </c>
      <c r="C47" s="34" t="str">
        <f t="shared" ref="C47:C53" si="20">C38</f>
        <v>6 h à 9 h 30</v>
      </c>
      <c r="D47" s="11">
        <v>3</v>
      </c>
      <c r="E47" s="11">
        <v>3</v>
      </c>
      <c r="F47" s="11">
        <v>4</v>
      </c>
      <c r="G47" s="11">
        <v>5</v>
      </c>
      <c r="H47" s="11">
        <v>6</v>
      </c>
      <c r="I47" s="11">
        <v>7</v>
      </c>
      <c r="J47" s="11">
        <v>8</v>
      </c>
      <c r="K47" s="11">
        <v>9</v>
      </c>
      <c r="L47" s="11">
        <v>9</v>
      </c>
      <c r="M47" s="11">
        <v>9</v>
      </c>
      <c r="N47" s="11">
        <v>9</v>
      </c>
      <c r="O47" s="11">
        <v>8</v>
      </c>
      <c r="P47" s="106">
        <v>8</v>
      </c>
      <c r="Q47" s="118">
        <f>+SUM(D47:P47)</f>
        <v>88</v>
      </c>
      <c r="R47" s="57"/>
      <c r="S47" s="122">
        <f t="shared" ref="S47:S53" si="21">SUM(D47:P47)/$Q$267</f>
        <v>1.6102175623501857E-3</v>
      </c>
      <c r="T47" s="128"/>
      <c r="U47" s="45"/>
    </row>
    <row r="48" spans="2:21" ht="14" customHeight="1" thickTop="1" thickBot="1" x14ac:dyDescent="0.2">
      <c r="B48" s="24">
        <v>2</v>
      </c>
      <c r="C48" s="13" t="str">
        <f t="shared" si="20"/>
        <v>9 h 30 à 11 h 30</v>
      </c>
      <c r="D48" s="14">
        <v>3</v>
      </c>
      <c r="E48" s="14">
        <v>3</v>
      </c>
      <c r="F48" s="14">
        <v>4</v>
      </c>
      <c r="G48" s="14">
        <v>5</v>
      </c>
      <c r="H48" s="14">
        <v>6</v>
      </c>
      <c r="I48" s="14">
        <v>7</v>
      </c>
      <c r="J48" s="14">
        <v>8</v>
      </c>
      <c r="K48" s="14">
        <v>9</v>
      </c>
      <c r="L48" s="14">
        <v>9</v>
      </c>
      <c r="M48" s="14">
        <v>9</v>
      </c>
      <c r="N48" s="14">
        <v>9</v>
      </c>
      <c r="O48" s="14">
        <v>8</v>
      </c>
      <c r="P48" s="107">
        <v>8</v>
      </c>
      <c r="Q48" s="119">
        <f>+SUM(D48:P48)</f>
        <v>88</v>
      </c>
      <c r="R48" s="57"/>
      <c r="S48" s="124">
        <f t="shared" si="21"/>
        <v>1.6102175623501857E-3</v>
      </c>
      <c r="T48" s="129"/>
      <c r="U48" s="45"/>
    </row>
    <row r="49" spans="2:21" ht="14" customHeight="1" thickTop="1" thickBot="1" x14ac:dyDescent="0.2">
      <c r="B49" s="24">
        <v>3</v>
      </c>
      <c r="C49" s="13" t="str">
        <f t="shared" si="20"/>
        <v>11 h 30 à 14 h 30</v>
      </c>
      <c r="D49" s="14">
        <v>3</v>
      </c>
      <c r="E49" s="14">
        <v>3</v>
      </c>
      <c r="F49" s="14">
        <v>4</v>
      </c>
      <c r="G49" s="14">
        <v>5</v>
      </c>
      <c r="H49" s="14">
        <v>6</v>
      </c>
      <c r="I49" s="14">
        <v>7</v>
      </c>
      <c r="J49" s="14">
        <v>8</v>
      </c>
      <c r="K49" s="14">
        <v>9</v>
      </c>
      <c r="L49" s="14">
        <v>9</v>
      </c>
      <c r="M49" s="14">
        <v>9</v>
      </c>
      <c r="N49" s="14">
        <v>9</v>
      </c>
      <c r="O49" s="14">
        <v>8</v>
      </c>
      <c r="P49" s="107">
        <v>8</v>
      </c>
      <c r="Q49" s="119">
        <f t="shared" ref="Q49:Q53" si="22">+SUM(D49:P49)</f>
        <v>88</v>
      </c>
      <c r="R49" s="57"/>
      <c r="S49" s="124">
        <f t="shared" si="21"/>
        <v>1.6102175623501857E-3</v>
      </c>
      <c r="T49" s="129"/>
      <c r="U49" s="45"/>
    </row>
    <row r="50" spans="2:21" ht="14" customHeight="1" thickTop="1" thickBot="1" x14ac:dyDescent="0.2">
      <c r="B50" s="24">
        <v>4</v>
      </c>
      <c r="C50" s="13" t="str">
        <f t="shared" si="20"/>
        <v>14 h 30 à 17 h</v>
      </c>
      <c r="D50" s="14">
        <v>3</v>
      </c>
      <c r="E50" s="14">
        <v>3</v>
      </c>
      <c r="F50" s="14">
        <v>4</v>
      </c>
      <c r="G50" s="14">
        <v>5</v>
      </c>
      <c r="H50" s="14">
        <v>6</v>
      </c>
      <c r="I50" s="14">
        <v>7</v>
      </c>
      <c r="J50" s="14">
        <v>8</v>
      </c>
      <c r="K50" s="14">
        <v>9</v>
      </c>
      <c r="L50" s="14">
        <v>9</v>
      </c>
      <c r="M50" s="14">
        <v>9</v>
      </c>
      <c r="N50" s="14">
        <v>9</v>
      </c>
      <c r="O50" s="14">
        <v>8</v>
      </c>
      <c r="P50" s="107">
        <v>8</v>
      </c>
      <c r="Q50" s="119">
        <f t="shared" si="22"/>
        <v>88</v>
      </c>
      <c r="R50" s="57"/>
      <c r="S50" s="124">
        <f t="shared" si="21"/>
        <v>1.6102175623501857E-3</v>
      </c>
      <c r="T50" s="129"/>
      <c r="U50" s="45"/>
    </row>
    <row r="51" spans="2:21" ht="14" customHeight="1" thickTop="1" thickBot="1" x14ac:dyDescent="0.2">
      <c r="B51" s="24">
        <v>5</v>
      </c>
      <c r="C51" s="13" t="str">
        <f t="shared" si="20"/>
        <v>17 h à 19 h</v>
      </c>
      <c r="D51" s="14">
        <v>3</v>
      </c>
      <c r="E51" s="14">
        <v>3</v>
      </c>
      <c r="F51" s="14">
        <v>4</v>
      </c>
      <c r="G51" s="14">
        <v>5</v>
      </c>
      <c r="H51" s="14">
        <v>6</v>
      </c>
      <c r="I51" s="14">
        <v>7</v>
      </c>
      <c r="J51" s="14">
        <v>8</v>
      </c>
      <c r="K51" s="14">
        <v>9</v>
      </c>
      <c r="L51" s="14">
        <v>9</v>
      </c>
      <c r="M51" s="14">
        <v>9</v>
      </c>
      <c r="N51" s="14">
        <v>9</v>
      </c>
      <c r="O51" s="14">
        <v>8</v>
      </c>
      <c r="P51" s="107">
        <v>8</v>
      </c>
      <c r="Q51" s="119">
        <f t="shared" si="22"/>
        <v>88</v>
      </c>
      <c r="R51" s="57"/>
      <c r="S51" s="124">
        <f t="shared" si="21"/>
        <v>1.6102175623501857E-3</v>
      </c>
      <c r="T51" s="129"/>
      <c r="U51" s="45"/>
    </row>
    <row r="52" spans="2:21" ht="14" customHeight="1" thickTop="1" thickBot="1" x14ac:dyDescent="0.2">
      <c r="B52" s="24">
        <v>6</v>
      </c>
      <c r="C52" s="13" t="str">
        <f t="shared" si="20"/>
        <v>19 h à 23 h</v>
      </c>
      <c r="D52" s="14">
        <v>3</v>
      </c>
      <c r="E52" s="14">
        <v>3</v>
      </c>
      <c r="F52" s="14">
        <v>4</v>
      </c>
      <c r="G52" s="14">
        <v>5</v>
      </c>
      <c r="H52" s="14">
        <v>6</v>
      </c>
      <c r="I52" s="14">
        <v>7</v>
      </c>
      <c r="J52" s="14">
        <v>8</v>
      </c>
      <c r="K52" s="14">
        <v>9</v>
      </c>
      <c r="L52" s="14">
        <v>9</v>
      </c>
      <c r="M52" s="14">
        <v>9</v>
      </c>
      <c r="N52" s="14">
        <v>9</v>
      </c>
      <c r="O52" s="14">
        <v>8</v>
      </c>
      <c r="P52" s="107">
        <v>8</v>
      </c>
      <c r="Q52" s="119">
        <f t="shared" si="22"/>
        <v>88</v>
      </c>
      <c r="R52" s="57"/>
      <c r="S52" s="124">
        <f t="shared" si="21"/>
        <v>1.6102175623501857E-3</v>
      </c>
      <c r="T52" s="129"/>
      <c r="U52" s="45"/>
    </row>
    <row r="53" spans="2:21" ht="14" customHeight="1" thickTop="1" thickBot="1" x14ac:dyDescent="0.2">
      <c r="B53" s="24">
        <v>7</v>
      </c>
      <c r="C53" s="13" t="str">
        <f t="shared" si="20"/>
        <v>23 h à 6 h</v>
      </c>
      <c r="D53" s="14">
        <v>3</v>
      </c>
      <c r="E53" s="14">
        <v>3</v>
      </c>
      <c r="F53" s="14">
        <v>4</v>
      </c>
      <c r="G53" s="14">
        <v>5</v>
      </c>
      <c r="H53" s="14">
        <v>6</v>
      </c>
      <c r="I53" s="14">
        <v>7</v>
      </c>
      <c r="J53" s="14">
        <v>8</v>
      </c>
      <c r="K53" s="14">
        <v>9</v>
      </c>
      <c r="L53" s="14">
        <v>9</v>
      </c>
      <c r="M53" s="14">
        <v>9</v>
      </c>
      <c r="N53" s="14">
        <v>9</v>
      </c>
      <c r="O53" s="14">
        <v>8</v>
      </c>
      <c r="P53" s="107">
        <v>8</v>
      </c>
      <c r="Q53" s="119">
        <f t="shared" si="22"/>
        <v>88</v>
      </c>
      <c r="R53" s="57"/>
      <c r="S53" s="124">
        <f t="shared" si="21"/>
        <v>1.6102175623501857E-3</v>
      </c>
      <c r="T53" s="129"/>
      <c r="U53" s="45"/>
    </row>
    <row r="54" spans="2:21" ht="14" customHeight="1" thickTop="1" thickBot="1" x14ac:dyDescent="0.2">
      <c r="B54" s="25"/>
      <c r="C54" s="26" t="str">
        <f t="shared" ref="C54" si="23">+C45</f>
        <v>Total</v>
      </c>
      <c r="D54" s="28">
        <f t="shared" ref="D54:M54" si="24">+D47+D48+D49+D50+D51+D52+D53</f>
        <v>21</v>
      </c>
      <c r="E54" s="28">
        <f t="shared" si="24"/>
        <v>21</v>
      </c>
      <c r="F54" s="28">
        <f t="shared" si="24"/>
        <v>28</v>
      </c>
      <c r="G54" s="27">
        <f t="shared" si="24"/>
        <v>35</v>
      </c>
      <c r="H54" s="28">
        <f t="shared" si="24"/>
        <v>42</v>
      </c>
      <c r="I54" s="28">
        <f t="shared" si="24"/>
        <v>49</v>
      </c>
      <c r="J54" s="27">
        <f t="shared" si="24"/>
        <v>56</v>
      </c>
      <c r="K54" s="28">
        <f t="shared" si="24"/>
        <v>63</v>
      </c>
      <c r="L54" s="28">
        <f t="shared" si="24"/>
        <v>63</v>
      </c>
      <c r="M54" s="27">
        <f t="shared" si="24"/>
        <v>63</v>
      </c>
      <c r="N54" s="28">
        <f>+N47+N48+N49+N50+N51+N52+N53</f>
        <v>63</v>
      </c>
      <c r="O54" s="28">
        <f>+O47+O48+O49+O50+O51+O52+O53</f>
        <v>56</v>
      </c>
      <c r="P54" s="108">
        <f>+P47+P48+P49+P50+P51+P52+P53</f>
        <v>56</v>
      </c>
      <c r="Q54" s="105">
        <f>+SUM(D54:P54)</f>
        <v>616</v>
      </c>
      <c r="R54" s="59"/>
      <c r="S54" s="126" t="s">
        <v>1</v>
      </c>
      <c r="T54" s="127">
        <f t="shared" si="10"/>
        <v>1.1271522936451301E-2</v>
      </c>
      <c r="U54" s="47"/>
    </row>
    <row r="55" spans="2:21" ht="14" customHeight="1" thickTop="1" thickBot="1" x14ac:dyDescent="0.2">
      <c r="B55" s="29" t="s">
        <v>1</v>
      </c>
      <c r="C55" s="30" t="s">
        <v>32</v>
      </c>
      <c r="D55" s="21" t="s">
        <v>1</v>
      </c>
      <c r="E55" s="21">
        <f>'Calendrier 2023'!E13</f>
        <v>44961</v>
      </c>
      <c r="F55" s="21" t="s">
        <v>1</v>
      </c>
      <c r="G55" s="21" t="s">
        <v>1</v>
      </c>
      <c r="H55" s="21" t="s">
        <v>1</v>
      </c>
      <c r="I55" s="21" t="s">
        <v>1</v>
      </c>
      <c r="J55" s="21" t="s">
        <v>1</v>
      </c>
      <c r="K55" s="21" t="s">
        <v>1</v>
      </c>
      <c r="L55" s="21" t="s">
        <v>1</v>
      </c>
      <c r="M55" s="21" t="s">
        <v>1</v>
      </c>
      <c r="N55" s="21" t="s">
        <v>1</v>
      </c>
      <c r="O55" s="21" t="s">
        <v>1</v>
      </c>
      <c r="P55" s="109" t="s">
        <v>1</v>
      </c>
      <c r="Q55" s="110" t="s">
        <v>1</v>
      </c>
      <c r="R55" s="51"/>
      <c r="S55" s="19" t="s">
        <v>1</v>
      </c>
      <c r="T55" s="22" t="s">
        <v>1</v>
      </c>
      <c r="U55" s="51"/>
    </row>
    <row r="56" spans="2:21" ht="14" customHeight="1" thickTop="1" thickBot="1" x14ac:dyDescent="0.2">
      <c r="B56" s="23">
        <v>1</v>
      </c>
      <c r="C56" s="10" t="str">
        <f t="shared" ref="C56:C62" si="25">C47</f>
        <v>6 h à 9 h 30</v>
      </c>
      <c r="D56" s="11">
        <v>3</v>
      </c>
      <c r="E56" s="11">
        <v>3</v>
      </c>
      <c r="F56" s="11">
        <v>4</v>
      </c>
      <c r="G56" s="11">
        <v>5</v>
      </c>
      <c r="H56" s="11">
        <v>6</v>
      </c>
      <c r="I56" s="11">
        <v>7</v>
      </c>
      <c r="J56" s="11">
        <v>8</v>
      </c>
      <c r="K56" s="11">
        <v>9</v>
      </c>
      <c r="L56" s="11">
        <v>9</v>
      </c>
      <c r="M56" s="11">
        <v>9</v>
      </c>
      <c r="N56" s="11">
        <v>9</v>
      </c>
      <c r="O56" s="11">
        <v>8</v>
      </c>
      <c r="P56" s="106">
        <v>8</v>
      </c>
      <c r="Q56" s="118">
        <f>+SUM(D56:P56)</f>
        <v>88</v>
      </c>
      <c r="R56" s="57"/>
      <c r="S56" s="122">
        <f t="shared" ref="S56:S62" si="26">SUM(D56:P56)/$Q$267</f>
        <v>1.6102175623501857E-3</v>
      </c>
      <c r="T56" s="128"/>
      <c r="U56" s="45"/>
    </row>
    <row r="57" spans="2:21" ht="14" customHeight="1" thickTop="1" thickBot="1" x14ac:dyDescent="0.2">
      <c r="B57" s="23">
        <v>2</v>
      </c>
      <c r="C57" s="13" t="str">
        <f t="shared" si="25"/>
        <v>9 h 30 à 11 h 30</v>
      </c>
      <c r="D57" s="14">
        <v>3</v>
      </c>
      <c r="E57" s="14">
        <v>3</v>
      </c>
      <c r="F57" s="14">
        <v>4</v>
      </c>
      <c r="G57" s="14">
        <v>5</v>
      </c>
      <c r="H57" s="14">
        <v>6</v>
      </c>
      <c r="I57" s="14">
        <v>7</v>
      </c>
      <c r="J57" s="14">
        <v>8</v>
      </c>
      <c r="K57" s="14">
        <v>9</v>
      </c>
      <c r="L57" s="14">
        <v>9</v>
      </c>
      <c r="M57" s="14">
        <v>9</v>
      </c>
      <c r="N57" s="14">
        <v>9</v>
      </c>
      <c r="O57" s="14">
        <v>8</v>
      </c>
      <c r="P57" s="107">
        <v>8</v>
      </c>
      <c r="Q57" s="119">
        <f>+SUM(D57:P57)</f>
        <v>88</v>
      </c>
      <c r="R57" s="57"/>
      <c r="S57" s="124">
        <f t="shared" si="26"/>
        <v>1.6102175623501857E-3</v>
      </c>
      <c r="T57" s="129"/>
      <c r="U57" s="45"/>
    </row>
    <row r="58" spans="2:21" ht="14" customHeight="1" thickTop="1" thickBot="1" x14ac:dyDescent="0.2">
      <c r="B58" s="23">
        <v>3</v>
      </c>
      <c r="C58" s="13" t="str">
        <f t="shared" si="25"/>
        <v>11 h 30 à 14 h 30</v>
      </c>
      <c r="D58" s="14">
        <v>3</v>
      </c>
      <c r="E58" s="14">
        <v>3</v>
      </c>
      <c r="F58" s="14">
        <v>4</v>
      </c>
      <c r="G58" s="14">
        <v>5</v>
      </c>
      <c r="H58" s="14">
        <v>6</v>
      </c>
      <c r="I58" s="14">
        <v>7</v>
      </c>
      <c r="J58" s="14">
        <v>8</v>
      </c>
      <c r="K58" s="14">
        <v>9</v>
      </c>
      <c r="L58" s="14">
        <v>9</v>
      </c>
      <c r="M58" s="14">
        <v>9</v>
      </c>
      <c r="N58" s="14">
        <v>9</v>
      </c>
      <c r="O58" s="14">
        <v>8</v>
      </c>
      <c r="P58" s="107">
        <v>8</v>
      </c>
      <c r="Q58" s="119">
        <f t="shared" ref="Q58:Q62" si="27">+SUM(D58:P58)</f>
        <v>88</v>
      </c>
      <c r="R58" s="57"/>
      <c r="S58" s="124">
        <f t="shared" si="26"/>
        <v>1.6102175623501857E-3</v>
      </c>
      <c r="T58" s="129"/>
      <c r="U58" s="45"/>
    </row>
    <row r="59" spans="2:21" ht="14" customHeight="1" thickTop="1" thickBot="1" x14ac:dyDescent="0.2">
      <c r="B59" s="23">
        <v>4</v>
      </c>
      <c r="C59" s="13" t="str">
        <f t="shared" si="25"/>
        <v>14 h 30 à 17 h</v>
      </c>
      <c r="D59" s="14">
        <v>3</v>
      </c>
      <c r="E59" s="14">
        <v>3</v>
      </c>
      <c r="F59" s="14">
        <v>4</v>
      </c>
      <c r="G59" s="14">
        <v>5</v>
      </c>
      <c r="H59" s="14">
        <v>6</v>
      </c>
      <c r="I59" s="14">
        <v>7</v>
      </c>
      <c r="J59" s="14">
        <v>8</v>
      </c>
      <c r="K59" s="14">
        <v>9</v>
      </c>
      <c r="L59" s="14">
        <v>9</v>
      </c>
      <c r="M59" s="14">
        <v>9</v>
      </c>
      <c r="N59" s="14">
        <v>9</v>
      </c>
      <c r="O59" s="14">
        <v>8</v>
      </c>
      <c r="P59" s="107">
        <v>8</v>
      </c>
      <c r="Q59" s="119">
        <f t="shared" si="27"/>
        <v>88</v>
      </c>
      <c r="R59" s="57"/>
      <c r="S59" s="124">
        <f t="shared" si="26"/>
        <v>1.6102175623501857E-3</v>
      </c>
      <c r="T59" s="129"/>
      <c r="U59" s="45"/>
    </row>
    <row r="60" spans="2:21" ht="14" customHeight="1" thickTop="1" thickBot="1" x14ac:dyDescent="0.2">
      <c r="B60" s="23">
        <v>5</v>
      </c>
      <c r="C60" s="13" t="str">
        <f t="shared" si="25"/>
        <v>17 h à 19 h</v>
      </c>
      <c r="D60" s="14">
        <v>3</v>
      </c>
      <c r="E60" s="14">
        <v>3</v>
      </c>
      <c r="F60" s="14">
        <v>4</v>
      </c>
      <c r="G60" s="14">
        <v>5</v>
      </c>
      <c r="H60" s="14">
        <v>6</v>
      </c>
      <c r="I60" s="14">
        <v>7</v>
      </c>
      <c r="J60" s="14">
        <v>8</v>
      </c>
      <c r="K60" s="14">
        <v>9</v>
      </c>
      <c r="L60" s="14">
        <v>9</v>
      </c>
      <c r="M60" s="14">
        <v>9</v>
      </c>
      <c r="N60" s="14">
        <v>9</v>
      </c>
      <c r="O60" s="14">
        <v>8</v>
      </c>
      <c r="P60" s="107">
        <v>8</v>
      </c>
      <c r="Q60" s="119">
        <f t="shared" si="27"/>
        <v>88</v>
      </c>
      <c r="R60" s="57"/>
      <c r="S60" s="124">
        <f t="shared" si="26"/>
        <v>1.6102175623501857E-3</v>
      </c>
      <c r="T60" s="129"/>
      <c r="U60" s="45"/>
    </row>
    <row r="61" spans="2:21" ht="14" customHeight="1" thickTop="1" thickBot="1" x14ac:dyDescent="0.2">
      <c r="B61" s="23">
        <v>6</v>
      </c>
      <c r="C61" s="13" t="str">
        <f t="shared" si="25"/>
        <v>19 h à 23 h</v>
      </c>
      <c r="D61" s="14">
        <v>3</v>
      </c>
      <c r="E61" s="14">
        <v>3</v>
      </c>
      <c r="F61" s="14">
        <v>4</v>
      </c>
      <c r="G61" s="14">
        <v>5</v>
      </c>
      <c r="H61" s="14">
        <v>6</v>
      </c>
      <c r="I61" s="14">
        <v>7</v>
      </c>
      <c r="J61" s="14">
        <v>8</v>
      </c>
      <c r="K61" s="14">
        <v>9</v>
      </c>
      <c r="L61" s="14">
        <v>9</v>
      </c>
      <c r="M61" s="14">
        <v>9</v>
      </c>
      <c r="N61" s="14">
        <v>9</v>
      </c>
      <c r="O61" s="14">
        <v>8</v>
      </c>
      <c r="P61" s="107">
        <v>8</v>
      </c>
      <c r="Q61" s="119">
        <f t="shared" si="27"/>
        <v>88</v>
      </c>
      <c r="R61" s="57"/>
      <c r="S61" s="124">
        <f t="shared" si="26"/>
        <v>1.6102175623501857E-3</v>
      </c>
      <c r="T61" s="129"/>
      <c r="U61" s="45"/>
    </row>
    <row r="62" spans="2:21" ht="14" customHeight="1" thickTop="1" thickBot="1" x14ac:dyDescent="0.2">
      <c r="B62" s="23">
        <v>7</v>
      </c>
      <c r="C62" s="13" t="str">
        <f t="shared" si="25"/>
        <v>23 h à 6 h</v>
      </c>
      <c r="D62" s="14">
        <v>3</v>
      </c>
      <c r="E62" s="14">
        <v>3</v>
      </c>
      <c r="F62" s="14">
        <v>4</v>
      </c>
      <c r="G62" s="14">
        <v>5</v>
      </c>
      <c r="H62" s="14">
        <v>6</v>
      </c>
      <c r="I62" s="14">
        <v>7</v>
      </c>
      <c r="J62" s="14">
        <v>8</v>
      </c>
      <c r="K62" s="14">
        <v>9</v>
      </c>
      <c r="L62" s="14">
        <v>9</v>
      </c>
      <c r="M62" s="14">
        <v>9</v>
      </c>
      <c r="N62" s="14">
        <v>9</v>
      </c>
      <c r="O62" s="14">
        <v>8</v>
      </c>
      <c r="P62" s="107">
        <v>8</v>
      </c>
      <c r="Q62" s="119">
        <f t="shared" si="27"/>
        <v>88</v>
      </c>
      <c r="R62" s="57"/>
      <c r="S62" s="124">
        <f t="shared" si="26"/>
        <v>1.6102175623501857E-3</v>
      </c>
      <c r="T62" s="129"/>
      <c r="U62" s="45"/>
    </row>
    <row r="63" spans="2:21" ht="14" customHeight="1" thickTop="1" thickBot="1" x14ac:dyDescent="0.2">
      <c r="B63" s="25"/>
      <c r="C63" s="32" t="str">
        <f t="shared" ref="C63" si="28">+C54</f>
        <v>Total</v>
      </c>
      <c r="D63" s="28">
        <f t="shared" ref="D63:M63" si="29">+D56+D57+D58+D59+D60+D61+D62</f>
        <v>21</v>
      </c>
      <c r="E63" s="28">
        <f t="shared" si="29"/>
        <v>21</v>
      </c>
      <c r="F63" s="28">
        <f t="shared" si="29"/>
        <v>28</v>
      </c>
      <c r="G63" s="28">
        <f t="shared" si="29"/>
        <v>35</v>
      </c>
      <c r="H63" s="28">
        <f t="shared" si="29"/>
        <v>42</v>
      </c>
      <c r="I63" s="28">
        <f t="shared" si="29"/>
        <v>49</v>
      </c>
      <c r="J63" s="28">
        <f t="shared" si="29"/>
        <v>56</v>
      </c>
      <c r="K63" s="28">
        <f t="shared" si="29"/>
        <v>63</v>
      </c>
      <c r="L63" s="28">
        <f t="shared" si="29"/>
        <v>63</v>
      </c>
      <c r="M63" s="27">
        <f t="shared" si="29"/>
        <v>63</v>
      </c>
      <c r="N63" s="28">
        <f>+N56+N57+N58+N59+N60+N61+N62</f>
        <v>63</v>
      </c>
      <c r="O63" s="28">
        <f>+O56+O57+O58+O59+O60+O61+O62</f>
        <v>56</v>
      </c>
      <c r="P63" s="108">
        <f>+P56+P57+P58+P59+P60+P61+P62</f>
        <v>56</v>
      </c>
      <c r="Q63" s="105">
        <f>+SUM(D63:P63)</f>
        <v>616</v>
      </c>
      <c r="R63" s="59"/>
      <c r="S63" s="126" t="s">
        <v>1</v>
      </c>
      <c r="T63" s="127">
        <f t="shared" si="10"/>
        <v>1.1271522936451301E-2</v>
      </c>
      <c r="U63" s="47"/>
    </row>
    <row r="64" spans="2:21" ht="14" customHeight="1" thickTop="1" thickBot="1" x14ac:dyDescent="0.2">
      <c r="B64" s="29" t="s">
        <v>1</v>
      </c>
      <c r="C64" s="33" t="s">
        <v>33</v>
      </c>
      <c r="D64" s="21" t="s">
        <v>1</v>
      </c>
      <c r="E64" s="21">
        <f>'Calendrier 2023'!E14</f>
        <v>44962</v>
      </c>
      <c r="F64" s="21" t="s">
        <v>1</v>
      </c>
      <c r="G64" s="21" t="s">
        <v>1</v>
      </c>
      <c r="H64" s="21" t="s">
        <v>1</v>
      </c>
      <c r="I64" s="21" t="s">
        <v>1</v>
      </c>
      <c r="J64" s="21" t="s">
        <v>1</v>
      </c>
      <c r="K64" s="21" t="s">
        <v>1</v>
      </c>
      <c r="L64" s="21" t="s">
        <v>1</v>
      </c>
      <c r="M64" s="21" t="s">
        <v>1</v>
      </c>
      <c r="N64" s="21" t="s">
        <v>1</v>
      </c>
      <c r="O64" s="21" t="s">
        <v>1</v>
      </c>
      <c r="P64" s="109" t="s">
        <v>1</v>
      </c>
      <c r="Q64" s="110" t="s">
        <v>1</v>
      </c>
      <c r="R64" s="51"/>
      <c r="S64" s="19" t="s">
        <v>1</v>
      </c>
      <c r="T64" s="22" t="s">
        <v>1</v>
      </c>
      <c r="U64" s="51"/>
    </row>
    <row r="65" spans="2:21" ht="14" customHeight="1" thickTop="1" thickBot="1" x14ac:dyDescent="0.2">
      <c r="B65" s="24">
        <v>1</v>
      </c>
      <c r="C65" s="10" t="str">
        <f t="shared" ref="C65:C71" si="30">C56</f>
        <v>6 h à 9 h 30</v>
      </c>
      <c r="D65" s="11">
        <v>3</v>
      </c>
      <c r="E65" s="11">
        <v>3</v>
      </c>
      <c r="F65" s="11">
        <v>4</v>
      </c>
      <c r="G65" s="11">
        <v>5</v>
      </c>
      <c r="H65" s="11">
        <v>6</v>
      </c>
      <c r="I65" s="11">
        <v>7</v>
      </c>
      <c r="J65" s="11">
        <v>8</v>
      </c>
      <c r="K65" s="11">
        <v>9</v>
      </c>
      <c r="L65" s="11">
        <v>9</v>
      </c>
      <c r="M65" s="11">
        <v>9</v>
      </c>
      <c r="N65" s="11">
        <v>9</v>
      </c>
      <c r="O65" s="11">
        <v>8</v>
      </c>
      <c r="P65" s="106">
        <v>8</v>
      </c>
      <c r="Q65" s="118">
        <f>+SUM(D65:P65)</f>
        <v>88</v>
      </c>
      <c r="R65" s="57"/>
      <c r="S65" s="122">
        <f t="shared" ref="S65:S71" si="31">SUM(D65:P65)/$Q$267</f>
        <v>1.6102175623501857E-3</v>
      </c>
      <c r="T65" s="128"/>
      <c r="U65" s="45"/>
    </row>
    <row r="66" spans="2:21" ht="14" customHeight="1" thickTop="1" thickBot="1" x14ac:dyDescent="0.2">
      <c r="B66" s="23">
        <v>2</v>
      </c>
      <c r="C66" s="13" t="str">
        <f t="shared" si="30"/>
        <v>9 h 30 à 11 h 30</v>
      </c>
      <c r="D66" s="14">
        <v>3</v>
      </c>
      <c r="E66" s="14">
        <v>3</v>
      </c>
      <c r="F66" s="14">
        <v>4</v>
      </c>
      <c r="G66" s="14">
        <v>5</v>
      </c>
      <c r="H66" s="14">
        <v>6</v>
      </c>
      <c r="I66" s="14">
        <v>7</v>
      </c>
      <c r="J66" s="14">
        <v>8</v>
      </c>
      <c r="K66" s="14">
        <v>9</v>
      </c>
      <c r="L66" s="14">
        <v>9</v>
      </c>
      <c r="M66" s="14">
        <v>9</v>
      </c>
      <c r="N66" s="14">
        <v>9</v>
      </c>
      <c r="O66" s="14">
        <v>8</v>
      </c>
      <c r="P66" s="107">
        <v>8</v>
      </c>
      <c r="Q66" s="119">
        <f>+SUM(D66:P66)</f>
        <v>88</v>
      </c>
      <c r="R66" s="57"/>
      <c r="S66" s="124">
        <f t="shared" si="31"/>
        <v>1.6102175623501857E-3</v>
      </c>
      <c r="T66" s="129"/>
      <c r="U66" s="45"/>
    </row>
    <row r="67" spans="2:21" ht="14" customHeight="1" thickTop="1" thickBot="1" x14ac:dyDescent="0.2">
      <c r="B67" s="23">
        <v>3</v>
      </c>
      <c r="C67" s="13" t="str">
        <f t="shared" si="30"/>
        <v>11 h 30 à 14 h 30</v>
      </c>
      <c r="D67" s="14">
        <v>3</v>
      </c>
      <c r="E67" s="14">
        <v>3</v>
      </c>
      <c r="F67" s="14">
        <v>4</v>
      </c>
      <c r="G67" s="14">
        <v>5</v>
      </c>
      <c r="H67" s="14">
        <v>6</v>
      </c>
      <c r="I67" s="14">
        <v>7</v>
      </c>
      <c r="J67" s="14">
        <v>8</v>
      </c>
      <c r="K67" s="14">
        <v>9</v>
      </c>
      <c r="L67" s="14">
        <v>9</v>
      </c>
      <c r="M67" s="14">
        <v>9</v>
      </c>
      <c r="N67" s="14">
        <v>9</v>
      </c>
      <c r="O67" s="14">
        <v>8</v>
      </c>
      <c r="P67" s="107">
        <v>8</v>
      </c>
      <c r="Q67" s="119">
        <f t="shared" ref="Q67:Q71" si="32">+SUM(D67:P67)</f>
        <v>88</v>
      </c>
      <c r="R67" s="57"/>
      <c r="S67" s="124">
        <f t="shared" si="31"/>
        <v>1.6102175623501857E-3</v>
      </c>
      <c r="T67" s="129"/>
      <c r="U67" s="45"/>
    </row>
    <row r="68" spans="2:21" ht="14" customHeight="1" thickTop="1" thickBot="1" x14ac:dyDescent="0.2">
      <c r="B68" s="23">
        <v>4</v>
      </c>
      <c r="C68" s="13" t="str">
        <f t="shared" si="30"/>
        <v>14 h 30 à 17 h</v>
      </c>
      <c r="D68" s="14">
        <v>3</v>
      </c>
      <c r="E68" s="14">
        <v>3</v>
      </c>
      <c r="F68" s="14">
        <v>4</v>
      </c>
      <c r="G68" s="14">
        <v>5</v>
      </c>
      <c r="H68" s="14">
        <v>6</v>
      </c>
      <c r="I68" s="14">
        <v>7</v>
      </c>
      <c r="J68" s="14">
        <v>8</v>
      </c>
      <c r="K68" s="14">
        <v>9</v>
      </c>
      <c r="L68" s="14">
        <v>9</v>
      </c>
      <c r="M68" s="14">
        <v>9</v>
      </c>
      <c r="N68" s="14">
        <v>9</v>
      </c>
      <c r="O68" s="14">
        <v>8</v>
      </c>
      <c r="P68" s="107">
        <v>8</v>
      </c>
      <c r="Q68" s="119">
        <f t="shared" si="32"/>
        <v>88</v>
      </c>
      <c r="R68" s="57"/>
      <c r="S68" s="124">
        <f t="shared" si="31"/>
        <v>1.6102175623501857E-3</v>
      </c>
      <c r="T68" s="129"/>
      <c r="U68" s="45"/>
    </row>
    <row r="69" spans="2:21" ht="14" customHeight="1" thickTop="1" thickBot="1" x14ac:dyDescent="0.2">
      <c r="B69" s="23">
        <v>5</v>
      </c>
      <c r="C69" s="13" t="str">
        <f t="shared" si="30"/>
        <v>17 h à 19 h</v>
      </c>
      <c r="D69" s="14">
        <v>3</v>
      </c>
      <c r="E69" s="14">
        <v>3</v>
      </c>
      <c r="F69" s="14">
        <v>4</v>
      </c>
      <c r="G69" s="14">
        <v>5</v>
      </c>
      <c r="H69" s="14">
        <v>6</v>
      </c>
      <c r="I69" s="14">
        <v>7</v>
      </c>
      <c r="J69" s="14">
        <v>8</v>
      </c>
      <c r="K69" s="14">
        <v>9</v>
      </c>
      <c r="L69" s="14">
        <v>9</v>
      </c>
      <c r="M69" s="14">
        <v>9</v>
      </c>
      <c r="N69" s="14">
        <v>9</v>
      </c>
      <c r="O69" s="14">
        <v>8</v>
      </c>
      <c r="P69" s="107">
        <v>8</v>
      </c>
      <c r="Q69" s="119">
        <f t="shared" si="32"/>
        <v>88</v>
      </c>
      <c r="R69" s="57"/>
      <c r="S69" s="124">
        <f t="shared" si="31"/>
        <v>1.6102175623501857E-3</v>
      </c>
      <c r="T69" s="129"/>
      <c r="U69" s="45"/>
    </row>
    <row r="70" spans="2:21" ht="14" customHeight="1" thickTop="1" thickBot="1" x14ac:dyDescent="0.2">
      <c r="B70" s="23">
        <v>6</v>
      </c>
      <c r="C70" s="13" t="str">
        <f t="shared" si="30"/>
        <v>19 h à 23 h</v>
      </c>
      <c r="D70" s="14">
        <v>3</v>
      </c>
      <c r="E70" s="14">
        <v>3</v>
      </c>
      <c r="F70" s="14">
        <v>4</v>
      </c>
      <c r="G70" s="14">
        <v>5</v>
      </c>
      <c r="H70" s="14">
        <v>6</v>
      </c>
      <c r="I70" s="14">
        <v>7</v>
      </c>
      <c r="J70" s="14">
        <v>8</v>
      </c>
      <c r="K70" s="14">
        <v>9</v>
      </c>
      <c r="L70" s="14">
        <v>9</v>
      </c>
      <c r="M70" s="14">
        <v>9</v>
      </c>
      <c r="N70" s="14">
        <v>9</v>
      </c>
      <c r="O70" s="14">
        <v>8</v>
      </c>
      <c r="P70" s="107">
        <v>8</v>
      </c>
      <c r="Q70" s="119">
        <f t="shared" si="32"/>
        <v>88</v>
      </c>
      <c r="R70" s="57"/>
      <c r="S70" s="124">
        <f t="shared" si="31"/>
        <v>1.6102175623501857E-3</v>
      </c>
      <c r="T70" s="129"/>
      <c r="U70" s="45"/>
    </row>
    <row r="71" spans="2:21" ht="14" customHeight="1" thickTop="1" thickBot="1" x14ac:dyDescent="0.2">
      <c r="B71" s="23">
        <v>7</v>
      </c>
      <c r="C71" s="13" t="str">
        <f t="shared" si="30"/>
        <v>23 h à 6 h</v>
      </c>
      <c r="D71" s="14">
        <v>3</v>
      </c>
      <c r="E71" s="14">
        <v>3</v>
      </c>
      <c r="F71" s="14">
        <v>4</v>
      </c>
      <c r="G71" s="14">
        <v>5</v>
      </c>
      <c r="H71" s="14">
        <v>6</v>
      </c>
      <c r="I71" s="14">
        <v>7</v>
      </c>
      <c r="J71" s="14">
        <v>8</v>
      </c>
      <c r="K71" s="14">
        <v>9</v>
      </c>
      <c r="L71" s="14">
        <v>9</v>
      </c>
      <c r="M71" s="14">
        <v>9</v>
      </c>
      <c r="N71" s="14">
        <v>9</v>
      </c>
      <c r="O71" s="14">
        <v>8</v>
      </c>
      <c r="P71" s="107">
        <v>8</v>
      </c>
      <c r="Q71" s="119">
        <f t="shared" si="32"/>
        <v>88</v>
      </c>
      <c r="R71" s="57"/>
      <c r="S71" s="124">
        <f t="shared" si="31"/>
        <v>1.6102175623501857E-3</v>
      </c>
      <c r="T71" s="129"/>
      <c r="U71" s="45"/>
    </row>
    <row r="72" spans="2:21" ht="14" customHeight="1" thickTop="1" thickBot="1" x14ac:dyDescent="0.2">
      <c r="B72" s="23"/>
      <c r="C72" s="16" t="str">
        <f t="shared" ref="C72" si="33">+C63</f>
        <v>Total</v>
      </c>
      <c r="D72" s="28">
        <f t="shared" ref="D72:P72" si="34">+D65+D66+D67+D68+D69+D70+D71</f>
        <v>21</v>
      </c>
      <c r="E72" s="28">
        <f t="shared" si="34"/>
        <v>21</v>
      </c>
      <c r="F72" s="28">
        <f t="shared" si="34"/>
        <v>28</v>
      </c>
      <c r="G72" s="28">
        <f t="shared" si="34"/>
        <v>35</v>
      </c>
      <c r="H72" s="28">
        <f t="shared" si="34"/>
        <v>42</v>
      </c>
      <c r="I72" s="28">
        <f t="shared" si="34"/>
        <v>49</v>
      </c>
      <c r="J72" s="28">
        <f t="shared" si="34"/>
        <v>56</v>
      </c>
      <c r="K72" s="28">
        <f t="shared" si="34"/>
        <v>63</v>
      </c>
      <c r="L72" s="28">
        <f t="shared" si="34"/>
        <v>63</v>
      </c>
      <c r="M72" s="28">
        <f t="shared" si="34"/>
        <v>63</v>
      </c>
      <c r="N72" s="28">
        <f t="shared" si="34"/>
        <v>63</v>
      </c>
      <c r="O72" s="28">
        <f t="shared" si="34"/>
        <v>56</v>
      </c>
      <c r="P72" s="108">
        <f t="shared" si="34"/>
        <v>56</v>
      </c>
      <c r="Q72" s="105">
        <f>+SUM(D72:P72)</f>
        <v>616</v>
      </c>
      <c r="R72" s="59"/>
      <c r="S72" s="126" t="s">
        <v>1</v>
      </c>
      <c r="T72" s="127">
        <f t="shared" si="10"/>
        <v>1.1271522936451301E-2</v>
      </c>
      <c r="U72" s="47"/>
    </row>
    <row r="73" spans="2:21" ht="14" customHeight="1" thickTop="1" thickBot="1" x14ac:dyDescent="0.2">
      <c r="B73" s="1298" t="s">
        <v>10</v>
      </c>
      <c r="C73" s="1299"/>
      <c r="D73" s="1299"/>
      <c r="E73" s="1299"/>
      <c r="F73" s="1299"/>
      <c r="G73" s="1299"/>
      <c r="H73" s="1299"/>
      <c r="I73" s="1299"/>
      <c r="J73" s="1299"/>
      <c r="K73" s="1299"/>
      <c r="L73" s="1299"/>
      <c r="M73" s="1299"/>
      <c r="N73" s="1299"/>
      <c r="O73" s="1299"/>
      <c r="P73" s="1300"/>
      <c r="Q73" s="1301"/>
      <c r="R73" s="50"/>
      <c r="S73" s="1310" t="s">
        <v>10</v>
      </c>
      <c r="T73" s="1311"/>
      <c r="U73" s="44"/>
    </row>
    <row r="74" spans="2:21" ht="14" customHeight="1" thickTop="1" thickBot="1" x14ac:dyDescent="0.2">
      <c r="B74" s="6">
        <v>2</v>
      </c>
      <c r="C74" s="35" t="str">
        <f>C10</f>
        <v>Lundi</v>
      </c>
      <c r="D74" s="7" t="s">
        <v>1</v>
      </c>
      <c r="E74" s="7">
        <f>'Calendrier 2023'!E15</f>
        <v>44963</v>
      </c>
      <c r="F74" s="7" t="s">
        <v>1</v>
      </c>
      <c r="G74" s="7" t="s">
        <v>1</v>
      </c>
      <c r="H74" s="7" t="s">
        <v>1</v>
      </c>
      <c r="I74" s="7" t="s">
        <v>1</v>
      </c>
      <c r="J74" s="7" t="s">
        <v>1</v>
      </c>
      <c r="K74" s="7" t="s">
        <v>1</v>
      </c>
      <c r="L74" s="7" t="s">
        <v>1</v>
      </c>
      <c r="M74" s="7" t="s">
        <v>1</v>
      </c>
      <c r="N74" s="7" t="s">
        <v>1</v>
      </c>
      <c r="O74" s="7" t="s">
        <v>1</v>
      </c>
      <c r="P74" s="112" t="s">
        <v>1</v>
      </c>
      <c r="Q74" s="113" t="s">
        <v>1</v>
      </c>
      <c r="R74" s="51"/>
      <c r="S74" s="69" t="s">
        <v>1</v>
      </c>
      <c r="T74" s="8" t="s">
        <v>1</v>
      </c>
      <c r="U74" s="51"/>
    </row>
    <row r="75" spans="2:21" ht="14" customHeight="1" thickTop="1" x14ac:dyDescent="0.15">
      <c r="B75" s="9">
        <v>1</v>
      </c>
      <c r="C75" s="10" t="str">
        <f t="shared" ref="C75:C81" si="35">C65</f>
        <v>6 h à 9 h 30</v>
      </c>
      <c r="D75" s="11">
        <v>3</v>
      </c>
      <c r="E75" s="11">
        <v>3</v>
      </c>
      <c r="F75" s="11">
        <v>4</v>
      </c>
      <c r="G75" s="11">
        <v>5</v>
      </c>
      <c r="H75" s="11">
        <v>6</v>
      </c>
      <c r="I75" s="11">
        <v>7</v>
      </c>
      <c r="J75" s="11">
        <v>8</v>
      </c>
      <c r="K75" s="11">
        <v>9</v>
      </c>
      <c r="L75" s="11">
        <v>9</v>
      </c>
      <c r="M75" s="11">
        <v>9</v>
      </c>
      <c r="N75" s="11">
        <v>9</v>
      </c>
      <c r="O75" s="11">
        <v>8</v>
      </c>
      <c r="P75" s="11">
        <v>8</v>
      </c>
      <c r="Q75" s="118">
        <f>+SUM(D75:P75)</f>
        <v>88</v>
      </c>
      <c r="R75" s="57"/>
      <c r="S75" s="122">
        <f t="shared" ref="S75:S81" si="36">SUM(D75:P75)/$Q$267</f>
        <v>1.6102175623501857E-3</v>
      </c>
      <c r="T75" s="128"/>
      <c r="U75" s="45"/>
    </row>
    <row r="76" spans="2:21" ht="14" customHeight="1" x14ac:dyDescent="0.15">
      <c r="B76" s="12">
        <v>2</v>
      </c>
      <c r="C76" s="13" t="str">
        <f t="shared" si="35"/>
        <v>9 h 30 à 11 h 30</v>
      </c>
      <c r="D76" s="14">
        <v>3</v>
      </c>
      <c r="E76" s="14">
        <v>3</v>
      </c>
      <c r="F76" s="14">
        <v>4</v>
      </c>
      <c r="G76" s="14">
        <v>5</v>
      </c>
      <c r="H76" s="14">
        <v>6</v>
      </c>
      <c r="I76" s="14">
        <v>7</v>
      </c>
      <c r="J76" s="14">
        <v>8</v>
      </c>
      <c r="K76" s="14">
        <v>9</v>
      </c>
      <c r="L76" s="14">
        <v>9</v>
      </c>
      <c r="M76" s="14">
        <v>9</v>
      </c>
      <c r="N76" s="14">
        <v>9</v>
      </c>
      <c r="O76" s="14">
        <v>8</v>
      </c>
      <c r="P76" s="14">
        <v>8</v>
      </c>
      <c r="Q76" s="119">
        <f>+SUM(D76:P76)</f>
        <v>88</v>
      </c>
      <c r="R76" s="57"/>
      <c r="S76" s="124">
        <f t="shared" si="36"/>
        <v>1.6102175623501857E-3</v>
      </c>
      <c r="T76" s="129"/>
      <c r="U76" s="45"/>
    </row>
    <row r="77" spans="2:21" ht="14" customHeight="1" x14ac:dyDescent="0.15">
      <c r="B77" s="12">
        <v>3</v>
      </c>
      <c r="C77" s="13" t="str">
        <f t="shared" si="35"/>
        <v>11 h 30 à 14 h 30</v>
      </c>
      <c r="D77" s="14">
        <v>3</v>
      </c>
      <c r="E77" s="14">
        <v>3</v>
      </c>
      <c r="F77" s="14">
        <v>4</v>
      </c>
      <c r="G77" s="14">
        <v>5</v>
      </c>
      <c r="H77" s="14">
        <v>6</v>
      </c>
      <c r="I77" s="14">
        <v>7</v>
      </c>
      <c r="J77" s="14">
        <v>8</v>
      </c>
      <c r="K77" s="14">
        <v>9</v>
      </c>
      <c r="L77" s="14">
        <v>9</v>
      </c>
      <c r="M77" s="14">
        <v>9</v>
      </c>
      <c r="N77" s="14">
        <v>9</v>
      </c>
      <c r="O77" s="14">
        <v>8</v>
      </c>
      <c r="P77" s="14">
        <v>8</v>
      </c>
      <c r="Q77" s="119">
        <f t="shared" ref="Q77:Q81" si="37">+SUM(D77:P77)</f>
        <v>88</v>
      </c>
      <c r="R77" s="57"/>
      <c r="S77" s="124">
        <f t="shared" si="36"/>
        <v>1.6102175623501857E-3</v>
      </c>
      <c r="T77" s="129"/>
      <c r="U77" s="45"/>
    </row>
    <row r="78" spans="2:21" ht="14" customHeight="1" x14ac:dyDescent="0.15">
      <c r="B78" s="12">
        <v>4</v>
      </c>
      <c r="C78" s="13" t="str">
        <f t="shared" si="35"/>
        <v>14 h 30 à 17 h</v>
      </c>
      <c r="D78" s="14">
        <v>3</v>
      </c>
      <c r="E78" s="14">
        <v>3</v>
      </c>
      <c r="F78" s="14">
        <v>4</v>
      </c>
      <c r="G78" s="14">
        <v>5</v>
      </c>
      <c r="H78" s="14">
        <v>6</v>
      </c>
      <c r="I78" s="14">
        <v>7</v>
      </c>
      <c r="J78" s="14">
        <v>8</v>
      </c>
      <c r="K78" s="14">
        <v>9</v>
      </c>
      <c r="L78" s="14">
        <v>9</v>
      </c>
      <c r="M78" s="14">
        <v>9</v>
      </c>
      <c r="N78" s="14">
        <v>9</v>
      </c>
      <c r="O78" s="14">
        <v>8</v>
      </c>
      <c r="P78" s="14">
        <v>8</v>
      </c>
      <c r="Q78" s="119">
        <f t="shared" si="37"/>
        <v>88</v>
      </c>
      <c r="R78" s="57"/>
      <c r="S78" s="124">
        <f t="shared" si="36"/>
        <v>1.6102175623501857E-3</v>
      </c>
      <c r="T78" s="129"/>
      <c r="U78" s="45"/>
    </row>
    <row r="79" spans="2:21" ht="14" customHeight="1" x14ac:dyDescent="0.15">
      <c r="B79" s="12">
        <v>5</v>
      </c>
      <c r="C79" s="13" t="str">
        <f t="shared" si="35"/>
        <v>17 h à 19 h</v>
      </c>
      <c r="D79" s="14">
        <v>3</v>
      </c>
      <c r="E79" s="14">
        <v>3</v>
      </c>
      <c r="F79" s="14">
        <v>4</v>
      </c>
      <c r="G79" s="14">
        <v>5</v>
      </c>
      <c r="H79" s="14">
        <v>6</v>
      </c>
      <c r="I79" s="14">
        <v>7</v>
      </c>
      <c r="J79" s="14">
        <v>8</v>
      </c>
      <c r="K79" s="14">
        <v>9</v>
      </c>
      <c r="L79" s="14">
        <v>9</v>
      </c>
      <c r="M79" s="14">
        <v>9</v>
      </c>
      <c r="N79" s="14">
        <v>9</v>
      </c>
      <c r="O79" s="14">
        <v>8</v>
      </c>
      <c r="P79" s="14">
        <v>8</v>
      </c>
      <c r="Q79" s="119">
        <f t="shared" si="37"/>
        <v>88</v>
      </c>
      <c r="R79" s="57"/>
      <c r="S79" s="124">
        <f t="shared" si="36"/>
        <v>1.6102175623501857E-3</v>
      </c>
      <c r="T79" s="129"/>
      <c r="U79" s="45"/>
    </row>
    <row r="80" spans="2:21" ht="14" customHeight="1" x14ac:dyDescent="0.15">
      <c r="B80" s="12">
        <v>6</v>
      </c>
      <c r="C80" s="13" t="str">
        <f t="shared" si="35"/>
        <v>19 h à 23 h</v>
      </c>
      <c r="D80" s="14">
        <v>3</v>
      </c>
      <c r="E80" s="14">
        <v>3</v>
      </c>
      <c r="F80" s="14">
        <v>4</v>
      </c>
      <c r="G80" s="14">
        <v>5</v>
      </c>
      <c r="H80" s="14">
        <v>6</v>
      </c>
      <c r="I80" s="14">
        <v>7</v>
      </c>
      <c r="J80" s="14">
        <v>8</v>
      </c>
      <c r="K80" s="14">
        <v>9</v>
      </c>
      <c r="L80" s="14">
        <v>9</v>
      </c>
      <c r="M80" s="14">
        <v>9</v>
      </c>
      <c r="N80" s="14">
        <v>9</v>
      </c>
      <c r="O80" s="14">
        <v>8</v>
      </c>
      <c r="P80" s="14">
        <v>8</v>
      </c>
      <c r="Q80" s="119">
        <f t="shared" si="37"/>
        <v>88</v>
      </c>
      <c r="R80" s="57"/>
      <c r="S80" s="124">
        <f t="shared" si="36"/>
        <v>1.6102175623501857E-3</v>
      </c>
      <c r="T80" s="129"/>
      <c r="U80" s="45"/>
    </row>
    <row r="81" spans="2:22" ht="14" customHeight="1" x14ac:dyDescent="0.15">
      <c r="B81" s="12">
        <v>7</v>
      </c>
      <c r="C81" s="13" t="str">
        <f t="shared" si="35"/>
        <v>23 h à 6 h</v>
      </c>
      <c r="D81" s="14">
        <v>3</v>
      </c>
      <c r="E81" s="14">
        <v>3</v>
      </c>
      <c r="F81" s="14">
        <v>4</v>
      </c>
      <c r="G81" s="14">
        <v>5</v>
      </c>
      <c r="H81" s="14">
        <v>6</v>
      </c>
      <c r="I81" s="14">
        <v>7</v>
      </c>
      <c r="J81" s="14">
        <v>8</v>
      </c>
      <c r="K81" s="14">
        <v>9</v>
      </c>
      <c r="L81" s="14">
        <v>9</v>
      </c>
      <c r="M81" s="14">
        <v>9</v>
      </c>
      <c r="N81" s="14">
        <v>9</v>
      </c>
      <c r="O81" s="14">
        <v>8</v>
      </c>
      <c r="P81" s="14">
        <v>8</v>
      </c>
      <c r="Q81" s="119">
        <f t="shared" si="37"/>
        <v>88</v>
      </c>
      <c r="R81" s="57"/>
      <c r="S81" s="124">
        <f t="shared" si="36"/>
        <v>1.6102175623501857E-3</v>
      </c>
      <c r="T81" s="129"/>
      <c r="U81" s="45"/>
    </row>
    <row r="82" spans="2:22" ht="14" customHeight="1" thickBot="1" x14ac:dyDescent="0.2">
      <c r="B82" s="15"/>
      <c r="C82" s="36" t="str">
        <f>+C72</f>
        <v>Total</v>
      </c>
      <c r="D82" s="28">
        <f t="shared" ref="D82:P82" si="38">+D75+D76+D77+D78+D79+D80+D81</f>
        <v>21</v>
      </c>
      <c r="E82" s="28">
        <f t="shared" si="38"/>
        <v>21</v>
      </c>
      <c r="F82" s="28">
        <f t="shared" si="38"/>
        <v>28</v>
      </c>
      <c r="G82" s="28">
        <f t="shared" si="38"/>
        <v>35</v>
      </c>
      <c r="H82" s="28">
        <f t="shared" si="38"/>
        <v>42</v>
      </c>
      <c r="I82" s="28">
        <f t="shared" si="38"/>
        <v>49</v>
      </c>
      <c r="J82" s="28">
        <f t="shared" si="38"/>
        <v>56</v>
      </c>
      <c r="K82" s="28">
        <f t="shared" si="38"/>
        <v>63</v>
      </c>
      <c r="L82" s="28">
        <f t="shared" si="38"/>
        <v>63</v>
      </c>
      <c r="M82" s="28">
        <f t="shared" si="38"/>
        <v>63</v>
      </c>
      <c r="N82" s="28">
        <f t="shared" si="38"/>
        <v>63</v>
      </c>
      <c r="O82" s="28">
        <f t="shared" si="38"/>
        <v>56</v>
      </c>
      <c r="P82" s="28">
        <f t="shared" si="38"/>
        <v>56</v>
      </c>
      <c r="Q82" s="105">
        <f>+SUM(D82:P82)</f>
        <v>616</v>
      </c>
      <c r="R82" s="59"/>
      <c r="S82" s="126" t="s">
        <v>1</v>
      </c>
      <c r="T82" s="127">
        <f t="shared" si="10"/>
        <v>1.1271522936451301E-2</v>
      </c>
      <c r="U82" s="47"/>
    </row>
    <row r="83" spans="2:22" ht="14" customHeight="1" thickTop="1" thickBot="1" x14ac:dyDescent="0.2">
      <c r="B83" s="29" t="s">
        <v>1</v>
      </c>
      <c r="C83" s="33" t="str">
        <f>C19</f>
        <v>Mardi</v>
      </c>
      <c r="D83" s="21" t="s">
        <v>1</v>
      </c>
      <c r="E83" s="21">
        <f>'Calendrier 2023'!E16</f>
        <v>44964</v>
      </c>
      <c r="F83" s="21" t="s">
        <v>1</v>
      </c>
      <c r="G83" s="21" t="s">
        <v>1</v>
      </c>
      <c r="H83" s="21" t="s">
        <v>1</v>
      </c>
      <c r="I83" s="21" t="s">
        <v>1</v>
      </c>
      <c r="J83" s="21" t="s">
        <v>1</v>
      </c>
      <c r="K83" s="21" t="s">
        <v>1</v>
      </c>
      <c r="L83" s="21" t="s">
        <v>1</v>
      </c>
      <c r="M83" s="21" t="s">
        <v>1</v>
      </c>
      <c r="N83" s="21" t="s">
        <v>1</v>
      </c>
      <c r="O83" s="21" t="s">
        <v>1</v>
      </c>
      <c r="P83" s="109" t="s">
        <v>1</v>
      </c>
      <c r="Q83" s="22"/>
      <c r="R83" s="51"/>
      <c r="S83" s="19" t="s">
        <v>1</v>
      </c>
      <c r="T83" s="22" t="s">
        <v>1</v>
      </c>
      <c r="U83" s="51"/>
      <c r="V83" s="51" t="s">
        <v>1</v>
      </c>
    </row>
    <row r="84" spans="2:22" ht="14" customHeight="1" thickTop="1" thickBot="1" x14ac:dyDescent="0.2">
      <c r="B84" s="23">
        <v>1</v>
      </c>
      <c r="C84" s="10" t="str">
        <f t="shared" ref="C84:C90" si="39">C75</f>
        <v>6 h à 9 h 30</v>
      </c>
      <c r="D84" s="11">
        <v>3</v>
      </c>
      <c r="E84" s="11">
        <v>3</v>
      </c>
      <c r="F84" s="11">
        <v>4</v>
      </c>
      <c r="G84" s="11">
        <v>5</v>
      </c>
      <c r="H84" s="11">
        <v>6</v>
      </c>
      <c r="I84" s="11">
        <v>7</v>
      </c>
      <c r="J84" s="11">
        <v>8</v>
      </c>
      <c r="K84" s="11">
        <v>9</v>
      </c>
      <c r="L84" s="11">
        <v>9</v>
      </c>
      <c r="M84" s="11">
        <v>9</v>
      </c>
      <c r="N84" s="11">
        <v>9</v>
      </c>
      <c r="O84" s="11">
        <v>8</v>
      </c>
      <c r="P84" s="11">
        <v>8</v>
      </c>
      <c r="Q84" s="118">
        <f>+SUM(D84:P84)</f>
        <v>88</v>
      </c>
      <c r="R84" s="57"/>
      <c r="S84" s="122">
        <f t="shared" ref="S84:S90" si="40">SUM(D84:P84)/$Q$267</f>
        <v>1.6102175623501857E-3</v>
      </c>
      <c r="T84" s="128"/>
      <c r="U84" s="45"/>
    </row>
    <row r="85" spans="2:22" ht="14" customHeight="1" thickTop="1" thickBot="1" x14ac:dyDescent="0.2">
      <c r="B85" s="24">
        <v>2</v>
      </c>
      <c r="C85" s="13" t="str">
        <f t="shared" si="39"/>
        <v>9 h 30 à 11 h 30</v>
      </c>
      <c r="D85" s="14">
        <v>3</v>
      </c>
      <c r="E85" s="14">
        <v>3</v>
      </c>
      <c r="F85" s="14">
        <v>4</v>
      </c>
      <c r="G85" s="14">
        <v>5</v>
      </c>
      <c r="H85" s="14">
        <v>6</v>
      </c>
      <c r="I85" s="14">
        <v>7</v>
      </c>
      <c r="J85" s="14">
        <v>8</v>
      </c>
      <c r="K85" s="14">
        <v>9</v>
      </c>
      <c r="L85" s="14">
        <v>9</v>
      </c>
      <c r="M85" s="14">
        <v>9</v>
      </c>
      <c r="N85" s="14">
        <v>9</v>
      </c>
      <c r="O85" s="14">
        <v>8</v>
      </c>
      <c r="P85" s="14">
        <v>8</v>
      </c>
      <c r="Q85" s="119">
        <f>+SUM(D85:P85)</f>
        <v>88</v>
      </c>
      <c r="R85" s="57"/>
      <c r="S85" s="124">
        <f t="shared" si="40"/>
        <v>1.6102175623501857E-3</v>
      </c>
      <c r="T85" s="129"/>
      <c r="U85" s="45"/>
    </row>
    <row r="86" spans="2:22" ht="14" customHeight="1" thickTop="1" thickBot="1" x14ac:dyDescent="0.2">
      <c r="B86" s="24">
        <v>3</v>
      </c>
      <c r="C86" s="13" t="str">
        <f t="shared" si="39"/>
        <v>11 h 30 à 14 h 30</v>
      </c>
      <c r="D86" s="14">
        <v>3</v>
      </c>
      <c r="E86" s="14">
        <v>3</v>
      </c>
      <c r="F86" s="14">
        <v>4</v>
      </c>
      <c r="G86" s="14">
        <v>5</v>
      </c>
      <c r="H86" s="14">
        <v>6</v>
      </c>
      <c r="I86" s="14">
        <v>7</v>
      </c>
      <c r="J86" s="14">
        <v>8</v>
      </c>
      <c r="K86" s="14">
        <v>9</v>
      </c>
      <c r="L86" s="14">
        <v>9</v>
      </c>
      <c r="M86" s="14">
        <v>9</v>
      </c>
      <c r="N86" s="14">
        <v>9</v>
      </c>
      <c r="O86" s="14">
        <v>8</v>
      </c>
      <c r="P86" s="14">
        <v>8</v>
      </c>
      <c r="Q86" s="119">
        <f t="shared" ref="Q86:Q90" si="41">+SUM(D86:P86)</f>
        <v>88</v>
      </c>
      <c r="R86" s="57"/>
      <c r="S86" s="124">
        <f t="shared" si="40"/>
        <v>1.6102175623501857E-3</v>
      </c>
      <c r="T86" s="129"/>
      <c r="U86" s="45"/>
    </row>
    <row r="87" spans="2:22" ht="14" customHeight="1" thickTop="1" thickBot="1" x14ac:dyDescent="0.2">
      <c r="B87" s="24">
        <v>4</v>
      </c>
      <c r="C87" s="13" t="str">
        <f t="shared" si="39"/>
        <v>14 h 30 à 17 h</v>
      </c>
      <c r="D87" s="14">
        <v>3</v>
      </c>
      <c r="E87" s="14">
        <v>3</v>
      </c>
      <c r="F87" s="14">
        <v>4</v>
      </c>
      <c r="G87" s="14">
        <v>5</v>
      </c>
      <c r="H87" s="14">
        <v>6</v>
      </c>
      <c r="I87" s="14">
        <v>7</v>
      </c>
      <c r="J87" s="14">
        <v>8</v>
      </c>
      <c r="K87" s="14">
        <v>9</v>
      </c>
      <c r="L87" s="14">
        <v>9</v>
      </c>
      <c r="M87" s="14">
        <v>9</v>
      </c>
      <c r="N87" s="14">
        <v>9</v>
      </c>
      <c r="O87" s="14">
        <v>8</v>
      </c>
      <c r="P87" s="14">
        <v>8</v>
      </c>
      <c r="Q87" s="119">
        <f t="shared" si="41"/>
        <v>88</v>
      </c>
      <c r="R87" s="57"/>
      <c r="S87" s="124">
        <f t="shared" si="40"/>
        <v>1.6102175623501857E-3</v>
      </c>
      <c r="T87" s="129"/>
      <c r="U87" s="45"/>
    </row>
    <row r="88" spans="2:22" ht="14" customHeight="1" thickTop="1" thickBot="1" x14ac:dyDescent="0.2">
      <c r="B88" s="24">
        <v>5</v>
      </c>
      <c r="C88" s="13" t="str">
        <f t="shared" si="39"/>
        <v>17 h à 19 h</v>
      </c>
      <c r="D88" s="14">
        <v>3</v>
      </c>
      <c r="E88" s="14">
        <v>3</v>
      </c>
      <c r="F88" s="14">
        <v>4</v>
      </c>
      <c r="G88" s="14">
        <v>5</v>
      </c>
      <c r="H88" s="14">
        <v>6</v>
      </c>
      <c r="I88" s="14">
        <v>7</v>
      </c>
      <c r="J88" s="14">
        <v>8</v>
      </c>
      <c r="K88" s="14">
        <v>9</v>
      </c>
      <c r="L88" s="14">
        <v>9</v>
      </c>
      <c r="M88" s="14">
        <v>9</v>
      </c>
      <c r="N88" s="14">
        <v>9</v>
      </c>
      <c r="O88" s="14">
        <v>8</v>
      </c>
      <c r="P88" s="14">
        <v>8</v>
      </c>
      <c r="Q88" s="119">
        <f t="shared" si="41"/>
        <v>88</v>
      </c>
      <c r="R88" s="57"/>
      <c r="S88" s="124">
        <f t="shared" si="40"/>
        <v>1.6102175623501857E-3</v>
      </c>
      <c r="T88" s="129"/>
      <c r="U88" s="45"/>
    </row>
    <row r="89" spans="2:22" ht="14" customHeight="1" thickTop="1" thickBot="1" x14ac:dyDescent="0.2">
      <c r="B89" s="24">
        <v>6</v>
      </c>
      <c r="C89" s="13" t="str">
        <f t="shared" si="39"/>
        <v>19 h à 23 h</v>
      </c>
      <c r="D89" s="14">
        <v>3</v>
      </c>
      <c r="E89" s="14">
        <v>3</v>
      </c>
      <c r="F89" s="14">
        <v>4</v>
      </c>
      <c r="G89" s="14">
        <v>5</v>
      </c>
      <c r="H89" s="14">
        <v>6</v>
      </c>
      <c r="I89" s="14">
        <v>7</v>
      </c>
      <c r="J89" s="14">
        <v>8</v>
      </c>
      <c r="K89" s="14">
        <v>9</v>
      </c>
      <c r="L89" s="14">
        <v>9</v>
      </c>
      <c r="M89" s="14">
        <v>9</v>
      </c>
      <c r="N89" s="14">
        <v>9</v>
      </c>
      <c r="O89" s="14">
        <v>8</v>
      </c>
      <c r="P89" s="14">
        <v>8</v>
      </c>
      <c r="Q89" s="119">
        <f t="shared" si="41"/>
        <v>88</v>
      </c>
      <c r="R89" s="57"/>
      <c r="S89" s="124">
        <f t="shared" si="40"/>
        <v>1.6102175623501857E-3</v>
      </c>
      <c r="T89" s="129"/>
      <c r="U89" s="45"/>
    </row>
    <row r="90" spans="2:22" ht="14" customHeight="1" thickTop="1" thickBot="1" x14ac:dyDescent="0.2">
      <c r="B90" s="24">
        <v>7</v>
      </c>
      <c r="C90" s="13" t="str">
        <f t="shared" si="39"/>
        <v>23 h à 6 h</v>
      </c>
      <c r="D90" s="14">
        <v>3</v>
      </c>
      <c r="E90" s="14">
        <v>3</v>
      </c>
      <c r="F90" s="14">
        <v>4</v>
      </c>
      <c r="G90" s="14">
        <v>5</v>
      </c>
      <c r="H90" s="14">
        <v>6</v>
      </c>
      <c r="I90" s="14">
        <v>7</v>
      </c>
      <c r="J90" s="14">
        <v>8</v>
      </c>
      <c r="K90" s="14">
        <v>9</v>
      </c>
      <c r="L90" s="14">
        <v>9</v>
      </c>
      <c r="M90" s="14">
        <v>9</v>
      </c>
      <c r="N90" s="14">
        <v>9</v>
      </c>
      <c r="O90" s="14">
        <v>8</v>
      </c>
      <c r="P90" s="14">
        <v>8</v>
      </c>
      <c r="Q90" s="119">
        <f t="shared" si="41"/>
        <v>88</v>
      </c>
      <c r="R90" s="57"/>
      <c r="S90" s="124">
        <f t="shared" si="40"/>
        <v>1.6102175623501857E-3</v>
      </c>
      <c r="T90" s="129"/>
      <c r="U90" s="45"/>
    </row>
    <row r="91" spans="2:22" ht="14" customHeight="1" thickTop="1" thickBot="1" x14ac:dyDescent="0.2">
      <c r="B91" s="25"/>
      <c r="C91" s="26" t="str">
        <f t="shared" ref="C91" si="42">+C82</f>
        <v>Total</v>
      </c>
      <c r="D91" s="28">
        <f t="shared" ref="D91:P91" si="43">+D84+D85+D86+D87+D88+D89+D90</f>
        <v>21</v>
      </c>
      <c r="E91" s="28">
        <f t="shared" si="43"/>
        <v>21</v>
      </c>
      <c r="F91" s="28">
        <f t="shared" si="43"/>
        <v>28</v>
      </c>
      <c r="G91" s="28">
        <f t="shared" si="43"/>
        <v>35</v>
      </c>
      <c r="H91" s="28">
        <f t="shared" si="43"/>
        <v>42</v>
      </c>
      <c r="I91" s="28">
        <f t="shared" si="43"/>
        <v>49</v>
      </c>
      <c r="J91" s="28">
        <f t="shared" si="43"/>
        <v>56</v>
      </c>
      <c r="K91" s="28">
        <f t="shared" si="43"/>
        <v>63</v>
      </c>
      <c r="L91" s="28">
        <f t="shared" si="43"/>
        <v>63</v>
      </c>
      <c r="M91" s="28">
        <f t="shared" si="43"/>
        <v>63</v>
      </c>
      <c r="N91" s="28">
        <f t="shared" si="43"/>
        <v>63</v>
      </c>
      <c r="O91" s="28">
        <f t="shared" si="43"/>
        <v>56</v>
      </c>
      <c r="P91" s="28">
        <f t="shared" si="43"/>
        <v>56</v>
      </c>
      <c r="Q91" s="105">
        <f>+SUM(D91:P91)</f>
        <v>616</v>
      </c>
      <c r="R91" s="59"/>
      <c r="S91" s="126" t="s">
        <v>1</v>
      </c>
      <c r="T91" s="127">
        <f t="shared" ref="T91:T146" si="44">SUM(S84:S90)</f>
        <v>1.1271522936451301E-2</v>
      </c>
      <c r="U91" s="47"/>
    </row>
    <row r="92" spans="2:22" ht="14" customHeight="1" thickTop="1" thickBot="1" x14ac:dyDescent="0.2">
      <c r="B92" s="29" t="s">
        <v>1</v>
      </c>
      <c r="C92" s="30" t="str">
        <f>C28</f>
        <v>Mercredi</v>
      </c>
      <c r="D92" s="21" t="s">
        <v>1</v>
      </c>
      <c r="E92" s="21">
        <f>'Calendrier 2023'!E17</f>
        <v>44965</v>
      </c>
      <c r="F92" s="21" t="s">
        <v>1</v>
      </c>
      <c r="G92" s="21" t="s">
        <v>1</v>
      </c>
      <c r="H92" s="21" t="s">
        <v>1</v>
      </c>
      <c r="I92" s="21" t="s">
        <v>1</v>
      </c>
      <c r="J92" s="21" t="s">
        <v>1</v>
      </c>
      <c r="K92" s="21" t="s">
        <v>1</v>
      </c>
      <c r="L92" s="21" t="s">
        <v>1</v>
      </c>
      <c r="M92" s="21" t="s">
        <v>1</v>
      </c>
      <c r="N92" s="21" t="s">
        <v>1</v>
      </c>
      <c r="O92" s="21" t="s">
        <v>1</v>
      </c>
      <c r="P92" s="109" t="s">
        <v>1</v>
      </c>
      <c r="Q92" s="110"/>
      <c r="R92" s="51"/>
      <c r="S92" s="19" t="s">
        <v>1</v>
      </c>
      <c r="T92" s="22" t="s">
        <v>1</v>
      </c>
      <c r="U92" s="51"/>
    </row>
    <row r="93" spans="2:22" ht="14" customHeight="1" thickTop="1" thickBot="1" x14ac:dyDescent="0.2">
      <c r="B93" s="23">
        <v>1</v>
      </c>
      <c r="C93" s="10" t="str">
        <f t="shared" ref="C93:C99" si="45">C84</f>
        <v>6 h à 9 h 30</v>
      </c>
      <c r="D93" s="11">
        <v>3</v>
      </c>
      <c r="E93" s="11">
        <v>3</v>
      </c>
      <c r="F93" s="11">
        <v>4</v>
      </c>
      <c r="G93" s="11">
        <v>5</v>
      </c>
      <c r="H93" s="11">
        <v>6</v>
      </c>
      <c r="I93" s="11">
        <v>7</v>
      </c>
      <c r="J93" s="11">
        <v>8</v>
      </c>
      <c r="K93" s="11">
        <v>9</v>
      </c>
      <c r="L93" s="11">
        <v>9</v>
      </c>
      <c r="M93" s="11">
        <v>9</v>
      </c>
      <c r="N93" s="11">
        <v>9</v>
      </c>
      <c r="O93" s="11">
        <v>8</v>
      </c>
      <c r="P93" s="11">
        <v>8</v>
      </c>
      <c r="Q93" s="118">
        <f>+SUM(D93:P93)</f>
        <v>88</v>
      </c>
      <c r="R93" s="57"/>
      <c r="S93" s="122">
        <f t="shared" ref="S93:S99" si="46">SUM(D93:P93)/$Q$267</f>
        <v>1.6102175623501857E-3</v>
      </c>
      <c r="T93" s="128"/>
      <c r="U93" s="45"/>
    </row>
    <row r="94" spans="2:22" ht="14" customHeight="1" thickTop="1" thickBot="1" x14ac:dyDescent="0.2">
      <c r="B94" s="24">
        <v>2</v>
      </c>
      <c r="C94" s="13" t="str">
        <f t="shared" si="45"/>
        <v>9 h 30 à 11 h 30</v>
      </c>
      <c r="D94" s="14">
        <v>3</v>
      </c>
      <c r="E94" s="14">
        <v>3</v>
      </c>
      <c r="F94" s="14">
        <v>4</v>
      </c>
      <c r="G94" s="14">
        <v>5</v>
      </c>
      <c r="H94" s="14">
        <v>6</v>
      </c>
      <c r="I94" s="14">
        <v>7</v>
      </c>
      <c r="J94" s="14">
        <v>8</v>
      </c>
      <c r="K94" s="14">
        <v>9</v>
      </c>
      <c r="L94" s="14">
        <v>9</v>
      </c>
      <c r="M94" s="14">
        <v>9</v>
      </c>
      <c r="N94" s="14">
        <v>9</v>
      </c>
      <c r="O94" s="14">
        <v>8</v>
      </c>
      <c r="P94" s="14">
        <v>8</v>
      </c>
      <c r="Q94" s="119">
        <f>+SUM(D94:P94)</f>
        <v>88</v>
      </c>
      <c r="R94" s="57"/>
      <c r="S94" s="124">
        <f t="shared" si="46"/>
        <v>1.6102175623501857E-3</v>
      </c>
      <c r="T94" s="129"/>
      <c r="U94" s="45"/>
    </row>
    <row r="95" spans="2:22" ht="14" customHeight="1" thickTop="1" thickBot="1" x14ac:dyDescent="0.2">
      <c r="B95" s="24">
        <v>3</v>
      </c>
      <c r="C95" s="13" t="str">
        <f t="shared" si="45"/>
        <v>11 h 30 à 14 h 30</v>
      </c>
      <c r="D95" s="14">
        <v>3</v>
      </c>
      <c r="E95" s="14">
        <v>3</v>
      </c>
      <c r="F95" s="14">
        <v>4</v>
      </c>
      <c r="G95" s="14">
        <v>5</v>
      </c>
      <c r="H95" s="14">
        <v>6</v>
      </c>
      <c r="I95" s="14">
        <v>7</v>
      </c>
      <c r="J95" s="14">
        <v>8</v>
      </c>
      <c r="K95" s="14">
        <v>9</v>
      </c>
      <c r="L95" s="14">
        <v>9</v>
      </c>
      <c r="M95" s="14">
        <v>9</v>
      </c>
      <c r="N95" s="14">
        <v>9</v>
      </c>
      <c r="O95" s="14">
        <v>8</v>
      </c>
      <c r="P95" s="14">
        <v>8</v>
      </c>
      <c r="Q95" s="119">
        <f t="shared" ref="Q95:Q99" si="47">+SUM(D95:P95)</f>
        <v>88</v>
      </c>
      <c r="R95" s="57"/>
      <c r="S95" s="124">
        <f t="shared" si="46"/>
        <v>1.6102175623501857E-3</v>
      </c>
      <c r="T95" s="129"/>
      <c r="U95" s="45"/>
    </row>
    <row r="96" spans="2:22" ht="14" customHeight="1" thickTop="1" thickBot="1" x14ac:dyDescent="0.2">
      <c r="B96" s="24">
        <v>4</v>
      </c>
      <c r="C96" s="13" t="str">
        <f t="shared" si="45"/>
        <v>14 h 30 à 17 h</v>
      </c>
      <c r="D96" s="14">
        <v>3</v>
      </c>
      <c r="E96" s="14">
        <v>3</v>
      </c>
      <c r="F96" s="14">
        <v>4</v>
      </c>
      <c r="G96" s="14">
        <v>5</v>
      </c>
      <c r="H96" s="14">
        <v>6</v>
      </c>
      <c r="I96" s="14">
        <v>7</v>
      </c>
      <c r="J96" s="14">
        <v>8</v>
      </c>
      <c r="K96" s="14">
        <v>9</v>
      </c>
      <c r="L96" s="14">
        <v>9</v>
      </c>
      <c r="M96" s="14">
        <v>9</v>
      </c>
      <c r="N96" s="14">
        <v>9</v>
      </c>
      <c r="O96" s="14">
        <v>8</v>
      </c>
      <c r="P96" s="14">
        <v>8</v>
      </c>
      <c r="Q96" s="119">
        <f t="shared" si="47"/>
        <v>88</v>
      </c>
      <c r="R96" s="57"/>
      <c r="S96" s="124">
        <f t="shared" si="46"/>
        <v>1.6102175623501857E-3</v>
      </c>
      <c r="T96" s="129"/>
      <c r="U96" s="45"/>
    </row>
    <row r="97" spans="2:24" ht="14" customHeight="1" thickTop="1" thickBot="1" x14ac:dyDescent="0.2">
      <c r="B97" s="24">
        <v>5</v>
      </c>
      <c r="C97" s="13" t="str">
        <f t="shared" si="45"/>
        <v>17 h à 19 h</v>
      </c>
      <c r="D97" s="14">
        <v>3</v>
      </c>
      <c r="E97" s="14">
        <v>3</v>
      </c>
      <c r="F97" s="14">
        <v>4</v>
      </c>
      <c r="G97" s="14">
        <v>5</v>
      </c>
      <c r="H97" s="14">
        <v>6</v>
      </c>
      <c r="I97" s="14">
        <v>7</v>
      </c>
      <c r="J97" s="14">
        <v>8</v>
      </c>
      <c r="K97" s="14">
        <v>9</v>
      </c>
      <c r="L97" s="14">
        <v>9</v>
      </c>
      <c r="M97" s="14">
        <v>9</v>
      </c>
      <c r="N97" s="14">
        <v>9</v>
      </c>
      <c r="O97" s="14">
        <v>8</v>
      </c>
      <c r="P97" s="14">
        <v>8</v>
      </c>
      <c r="Q97" s="119">
        <f t="shared" si="47"/>
        <v>88</v>
      </c>
      <c r="R97" s="57"/>
      <c r="S97" s="124">
        <f t="shared" si="46"/>
        <v>1.6102175623501857E-3</v>
      </c>
      <c r="T97" s="129"/>
      <c r="U97" s="45"/>
    </row>
    <row r="98" spans="2:24" ht="14" customHeight="1" thickTop="1" thickBot="1" x14ac:dyDescent="0.2">
      <c r="B98" s="24">
        <v>6</v>
      </c>
      <c r="C98" s="13" t="str">
        <f t="shared" si="45"/>
        <v>19 h à 23 h</v>
      </c>
      <c r="D98" s="14">
        <v>3</v>
      </c>
      <c r="E98" s="14">
        <v>3</v>
      </c>
      <c r="F98" s="14">
        <v>4</v>
      </c>
      <c r="G98" s="14">
        <v>5</v>
      </c>
      <c r="H98" s="14">
        <v>6</v>
      </c>
      <c r="I98" s="14">
        <v>7</v>
      </c>
      <c r="J98" s="14">
        <v>8</v>
      </c>
      <c r="K98" s="14">
        <v>9</v>
      </c>
      <c r="L98" s="14">
        <v>9</v>
      </c>
      <c r="M98" s="14">
        <v>9</v>
      </c>
      <c r="N98" s="14">
        <v>9</v>
      </c>
      <c r="O98" s="14">
        <v>8</v>
      </c>
      <c r="P98" s="14">
        <v>8</v>
      </c>
      <c r="Q98" s="119">
        <f t="shared" si="47"/>
        <v>88</v>
      </c>
      <c r="R98" s="57"/>
      <c r="S98" s="124">
        <f t="shared" si="46"/>
        <v>1.6102175623501857E-3</v>
      </c>
      <c r="T98" s="129"/>
      <c r="U98" s="45"/>
    </row>
    <row r="99" spans="2:24" ht="14" customHeight="1" thickTop="1" thickBot="1" x14ac:dyDescent="0.2">
      <c r="B99" s="24">
        <v>7</v>
      </c>
      <c r="C99" s="13" t="str">
        <f t="shared" si="45"/>
        <v>23 h à 6 h</v>
      </c>
      <c r="D99" s="14">
        <v>3</v>
      </c>
      <c r="E99" s="14">
        <v>3</v>
      </c>
      <c r="F99" s="14">
        <v>4</v>
      </c>
      <c r="G99" s="14">
        <v>5</v>
      </c>
      <c r="H99" s="14">
        <v>6</v>
      </c>
      <c r="I99" s="14">
        <v>7</v>
      </c>
      <c r="J99" s="14">
        <v>8</v>
      </c>
      <c r="K99" s="14">
        <v>9</v>
      </c>
      <c r="L99" s="14">
        <v>9</v>
      </c>
      <c r="M99" s="14">
        <v>9</v>
      </c>
      <c r="N99" s="14">
        <v>9</v>
      </c>
      <c r="O99" s="14">
        <v>8</v>
      </c>
      <c r="P99" s="14">
        <v>8</v>
      </c>
      <c r="Q99" s="119">
        <f t="shared" si="47"/>
        <v>88</v>
      </c>
      <c r="R99" s="57"/>
      <c r="S99" s="124">
        <f t="shared" si="46"/>
        <v>1.6102175623501857E-3</v>
      </c>
      <c r="T99" s="129"/>
      <c r="U99" s="45"/>
    </row>
    <row r="100" spans="2:24" ht="14" customHeight="1" thickTop="1" thickBot="1" x14ac:dyDescent="0.2">
      <c r="B100" s="25"/>
      <c r="C100" s="32" t="str">
        <f t="shared" ref="C100" si="48">+C82</f>
        <v>Total</v>
      </c>
      <c r="D100" s="28">
        <f t="shared" ref="D100:P100" si="49">+D93+D94+D95+D96+D97+D98+D99</f>
        <v>21</v>
      </c>
      <c r="E100" s="28">
        <f t="shared" si="49"/>
        <v>21</v>
      </c>
      <c r="F100" s="28">
        <f t="shared" si="49"/>
        <v>28</v>
      </c>
      <c r="G100" s="28">
        <f t="shared" si="49"/>
        <v>35</v>
      </c>
      <c r="H100" s="28">
        <f t="shared" si="49"/>
        <v>42</v>
      </c>
      <c r="I100" s="28">
        <f t="shared" si="49"/>
        <v>49</v>
      </c>
      <c r="J100" s="28">
        <f t="shared" si="49"/>
        <v>56</v>
      </c>
      <c r="K100" s="28">
        <f t="shared" si="49"/>
        <v>63</v>
      </c>
      <c r="L100" s="28">
        <f t="shared" si="49"/>
        <v>63</v>
      </c>
      <c r="M100" s="28">
        <f t="shared" si="49"/>
        <v>63</v>
      </c>
      <c r="N100" s="28">
        <f t="shared" si="49"/>
        <v>63</v>
      </c>
      <c r="O100" s="28">
        <f t="shared" si="49"/>
        <v>56</v>
      </c>
      <c r="P100" s="28">
        <f t="shared" si="49"/>
        <v>56</v>
      </c>
      <c r="Q100" s="105">
        <f>+SUM(D100:P100)</f>
        <v>616</v>
      </c>
      <c r="R100" s="59"/>
      <c r="S100" s="126" t="s">
        <v>1</v>
      </c>
      <c r="T100" s="127">
        <f t="shared" si="44"/>
        <v>1.1271522936451301E-2</v>
      </c>
      <c r="U100" s="47"/>
    </row>
    <row r="101" spans="2:24" ht="14" customHeight="1" thickTop="1" thickBot="1" x14ac:dyDescent="0.2">
      <c r="B101" s="29" t="s">
        <v>1</v>
      </c>
      <c r="C101" s="33" t="str">
        <f>C37</f>
        <v>Jeudi</v>
      </c>
      <c r="D101" s="21" t="s">
        <v>1</v>
      </c>
      <c r="E101" s="21">
        <f>'Calendrier 2023'!E18</f>
        <v>44966</v>
      </c>
      <c r="F101" s="21" t="s">
        <v>1</v>
      </c>
      <c r="G101" s="21" t="s">
        <v>1</v>
      </c>
      <c r="H101" s="21" t="s">
        <v>1</v>
      </c>
      <c r="I101" s="21" t="s">
        <v>1</v>
      </c>
      <c r="J101" s="21" t="s">
        <v>1</v>
      </c>
      <c r="K101" s="21" t="s">
        <v>1</v>
      </c>
      <c r="L101" s="21" t="s">
        <v>1</v>
      </c>
      <c r="M101" s="21" t="s">
        <v>1</v>
      </c>
      <c r="N101" s="21" t="s">
        <v>1</v>
      </c>
      <c r="O101" s="21" t="s">
        <v>1</v>
      </c>
      <c r="P101" s="109" t="s">
        <v>1</v>
      </c>
      <c r="Q101" s="110"/>
      <c r="R101" s="51"/>
      <c r="S101" s="19" t="s">
        <v>1</v>
      </c>
      <c r="T101" s="22" t="s">
        <v>1</v>
      </c>
      <c r="U101" s="51"/>
    </row>
    <row r="102" spans="2:24" ht="14" customHeight="1" thickTop="1" thickBot="1" x14ac:dyDescent="0.2">
      <c r="B102" s="23">
        <v>1</v>
      </c>
      <c r="C102" s="10" t="str">
        <f t="shared" ref="C102:C108" si="50">C93</f>
        <v>6 h à 9 h 30</v>
      </c>
      <c r="D102" s="11">
        <v>3</v>
      </c>
      <c r="E102" s="11">
        <v>3</v>
      </c>
      <c r="F102" s="11">
        <v>4</v>
      </c>
      <c r="G102" s="11">
        <v>5</v>
      </c>
      <c r="H102" s="11">
        <v>6</v>
      </c>
      <c r="I102" s="11">
        <v>7</v>
      </c>
      <c r="J102" s="11">
        <v>8</v>
      </c>
      <c r="K102" s="11">
        <v>9</v>
      </c>
      <c r="L102" s="11">
        <v>9</v>
      </c>
      <c r="M102" s="11">
        <v>9</v>
      </c>
      <c r="N102" s="11">
        <v>9</v>
      </c>
      <c r="O102" s="11">
        <v>8</v>
      </c>
      <c r="P102" s="11">
        <v>8</v>
      </c>
      <c r="Q102" s="118">
        <f>+SUM(D102:P102)</f>
        <v>88</v>
      </c>
      <c r="R102" s="57"/>
      <c r="S102" s="122">
        <f t="shared" ref="S102:S108" si="51">SUM(D102:P102)/$Q$267</f>
        <v>1.6102175623501857E-3</v>
      </c>
      <c r="T102" s="128"/>
      <c r="U102" s="45"/>
    </row>
    <row r="103" spans="2:24" ht="14" customHeight="1" thickTop="1" thickBot="1" x14ac:dyDescent="0.2">
      <c r="B103" s="24">
        <v>2</v>
      </c>
      <c r="C103" s="13" t="str">
        <f t="shared" si="50"/>
        <v>9 h 30 à 11 h 30</v>
      </c>
      <c r="D103" s="14">
        <v>3</v>
      </c>
      <c r="E103" s="14">
        <v>3</v>
      </c>
      <c r="F103" s="14">
        <v>4</v>
      </c>
      <c r="G103" s="14">
        <v>5</v>
      </c>
      <c r="H103" s="14">
        <v>6</v>
      </c>
      <c r="I103" s="14">
        <v>7</v>
      </c>
      <c r="J103" s="14">
        <v>8</v>
      </c>
      <c r="K103" s="14">
        <v>9</v>
      </c>
      <c r="L103" s="14">
        <v>9</v>
      </c>
      <c r="M103" s="14">
        <v>9</v>
      </c>
      <c r="N103" s="14">
        <v>9</v>
      </c>
      <c r="O103" s="14">
        <v>8</v>
      </c>
      <c r="P103" s="14">
        <v>8</v>
      </c>
      <c r="Q103" s="119">
        <f>+SUM(D103:P103)</f>
        <v>88</v>
      </c>
      <c r="R103" s="57"/>
      <c r="S103" s="124">
        <f t="shared" si="51"/>
        <v>1.6102175623501857E-3</v>
      </c>
      <c r="T103" s="129"/>
      <c r="U103" s="45"/>
    </row>
    <row r="104" spans="2:24" ht="14" customHeight="1" thickTop="1" thickBot="1" x14ac:dyDescent="0.2">
      <c r="B104" s="24">
        <v>3</v>
      </c>
      <c r="C104" s="13" t="str">
        <f t="shared" si="50"/>
        <v>11 h 30 à 14 h 30</v>
      </c>
      <c r="D104" s="14">
        <v>3</v>
      </c>
      <c r="E104" s="14">
        <v>3</v>
      </c>
      <c r="F104" s="14">
        <v>4</v>
      </c>
      <c r="G104" s="14">
        <v>5</v>
      </c>
      <c r="H104" s="14">
        <v>6</v>
      </c>
      <c r="I104" s="14">
        <v>7</v>
      </c>
      <c r="J104" s="14">
        <v>8</v>
      </c>
      <c r="K104" s="14">
        <v>9</v>
      </c>
      <c r="L104" s="14">
        <v>9</v>
      </c>
      <c r="M104" s="14">
        <v>9</v>
      </c>
      <c r="N104" s="14">
        <v>9</v>
      </c>
      <c r="O104" s="14">
        <v>8</v>
      </c>
      <c r="P104" s="14">
        <v>8</v>
      </c>
      <c r="Q104" s="119">
        <f t="shared" ref="Q104:Q108" si="52">+SUM(D104:P104)</f>
        <v>88</v>
      </c>
      <c r="R104" s="57"/>
      <c r="S104" s="124">
        <f t="shared" si="51"/>
        <v>1.6102175623501857E-3</v>
      </c>
      <c r="T104" s="129"/>
      <c r="U104" s="45"/>
    </row>
    <row r="105" spans="2:24" ht="14" customHeight="1" thickTop="1" thickBot="1" x14ac:dyDescent="0.2">
      <c r="B105" s="24">
        <v>4</v>
      </c>
      <c r="C105" s="13" t="str">
        <f t="shared" si="50"/>
        <v>14 h 30 à 17 h</v>
      </c>
      <c r="D105" s="14">
        <v>3</v>
      </c>
      <c r="E105" s="14">
        <v>3</v>
      </c>
      <c r="F105" s="14">
        <v>4</v>
      </c>
      <c r="G105" s="14">
        <v>5</v>
      </c>
      <c r="H105" s="14">
        <v>6</v>
      </c>
      <c r="I105" s="14">
        <v>7</v>
      </c>
      <c r="J105" s="14">
        <v>8</v>
      </c>
      <c r="K105" s="14">
        <v>9</v>
      </c>
      <c r="L105" s="14">
        <v>9</v>
      </c>
      <c r="M105" s="14">
        <v>9</v>
      </c>
      <c r="N105" s="14">
        <v>9</v>
      </c>
      <c r="O105" s="14">
        <v>8</v>
      </c>
      <c r="P105" s="14">
        <v>8</v>
      </c>
      <c r="Q105" s="119">
        <f t="shared" si="52"/>
        <v>88</v>
      </c>
      <c r="R105" s="57"/>
      <c r="S105" s="124">
        <f t="shared" si="51"/>
        <v>1.6102175623501857E-3</v>
      </c>
      <c r="T105" s="129"/>
      <c r="U105" s="45"/>
    </row>
    <row r="106" spans="2:24" ht="14" customHeight="1" thickTop="1" thickBot="1" x14ac:dyDescent="0.2">
      <c r="B106" s="24">
        <v>5</v>
      </c>
      <c r="C106" s="13" t="str">
        <f t="shared" si="50"/>
        <v>17 h à 19 h</v>
      </c>
      <c r="D106" s="14">
        <v>3</v>
      </c>
      <c r="E106" s="14">
        <v>3</v>
      </c>
      <c r="F106" s="14">
        <v>4</v>
      </c>
      <c r="G106" s="14">
        <v>5</v>
      </c>
      <c r="H106" s="14">
        <v>6</v>
      </c>
      <c r="I106" s="14">
        <v>7</v>
      </c>
      <c r="J106" s="14">
        <v>8</v>
      </c>
      <c r="K106" s="14">
        <v>9</v>
      </c>
      <c r="L106" s="14">
        <v>9</v>
      </c>
      <c r="M106" s="14">
        <v>9</v>
      </c>
      <c r="N106" s="14">
        <v>9</v>
      </c>
      <c r="O106" s="14">
        <v>8</v>
      </c>
      <c r="P106" s="14">
        <v>8</v>
      </c>
      <c r="Q106" s="119">
        <f t="shared" si="52"/>
        <v>88</v>
      </c>
      <c r="R106" s="57"/>
      <c r="S106" s="124">
        <f t="shared" si="51"/>
        <v>1.6102175623501857E-3</v>
      </c>
      <c r="T106" s="129"/>
      <c r="U106" s="45"/>
    </row>
    <row r="107" spans="2:24" ht="14" customHeight="1" thickTop="1" thickBot="1" x14ac:dyDescent="0.2">
      <c r="B107" s="24">
        <v>6</v>
      </c>
      <c r="C107" s="13" t="str">
        <f t="shared" si="50"/>
        <v>19 h à 23 h</v>
      </c>
      <c r="D107" s="14">
        <v>3</v>
      </c>
      <c r="E107" s="14">
        <v>3</v>
      </c>
      <c r="F107" s="14">
        <v>4</v>
      </c>
      <c r="G107" s="14">
        <v>5</v>
      </c>
      <c r="H107" s="14">
        <v>6</v>
      </c>
      <c r="I107" s="14">
        <v>7</v>
      </c>
      <c r="J107" s="14">
        <v>8</v>
      </c>
      <c r="K107" s="14">
        <v>9</v>
      </c>
      <c r="L107" s="14">
        <v>9</v>
      </c>
      <c r="M107" s="14">
        <v>9</v>
      </c>
      <c r="N107" s="14">
        <v>9</v>
      </c>
      <c r="O107" s="14">
        <v>8</v>
      </c>
      <c r="P107" s="14">
        <v>8</v>
      </c>
      <c r="Q107" s="119">
        <f t="shared" si="52"/>
        <v>88</v>
      </c>
      <c r="R107" s="57"/>
      <c r="S107" s="124">
        <f t="shared" si="51"/>
        <v>1.6102175623501857E-3</v>
      </c>
      <c r="T107" s="129"/>
      <c r="U107" s="45"/>
    </row>
    <row r="108" spans="2:24" ht="14" customHeight="1" thickTop="1" thickBot="1" x14ac:dyDescent="0.2">
      <c r="B108" s="24">
        <v>7</v>
      </c>
      <c r="C108" s="13" t="str">
        <f t="shared" si="50"/>
        <v>23 h à 6 h</v>
      </c>
      <c r="D108" s="14">
        <v>3</v>
      </c>
      <c r="E108" s="14">
        <v>3</v>
      </c>
      <c r="F108" s="14">
        <v>4</v>
      </c>
      <c r="G108" s="14">
        <v>5</v>
      </c>
      <c r="H108" s="14">
        <v>6</v>
      </c>
      <c r="I108" s="14">
        <v>7</v>
      </c>
      <c r="J108" s="14">
        <v>8</v>
      </c>
      <c r="K108" s="14">
        <v>9</v>
      </c>
      <c r="L108" s="14">
        <v>9</v>
      </c>
      <c r="M108" s="14">
        <v>9</v>
      </c>
      <c r="N108" s="14">
        <v>9</v>
      </c>
      <c r="O108" s="14">
        <v>8</v>
      </c>
      <c r="P108" s="14">
        <v>8</v>
      </c>
      <c r="Q108" s="119">
        <f t="shared" si="52"/>
        <v>88</v>
      </c>
      <c r="R108" s="57"/>
      <c r="S108" s="124">
        <f t="shared" si="51"/>
        <v>1.6102175623501857E-3</v>
      </c>
      <c r="T108" s="129"/>
      <c r="U108" s="45"/>
    </row>
    <row r="109" spans="2:24" ht="14" customHeight="1" thickTop="1" thickBot="1" x14ac:dyDescent="0.2">
      <c r="B109" s="25"/>
      <c r="C109" s="26" t="str">
        <f>+C100</f>
        <v>Total</v>
      </c>
      <c r="D109" s="28">
        <f t="shared" ref="D109:P109" si="53">+D102+D103+D104+D105+D106+D107+D108</f>
        <v>21</v>
      </c>
      <c r="E109" s="28">
        <f t="shared" si="53"/>
        <v>21</v>
      </c>
      <c r="F109" s="28">
        <f t="shared" si="53"/>
        <v>28</v>
      </c>
      <c r="G109" s="28">
        <f t="shared" si="53"/>
        <v>35</v>
      </c>
      <c r="H109" s="28">
        <f t="shared" si="53"/>
        <v>42</v>
      </c>
      <c r="I109" s="28">
        <f t="shared" si="53"/>
        <v>49</v>
      </c>
      <c r="J109" s="28">
        <f t="shared" si="53"/>
        <v>56</v>
      </c>
      <c r="K109" s="28">
        <f t="shared" si="53"/>
        <v>63</v>
      </c>
      <c r="L109" s="28">
        <f t="shared" si="53"/>
        <v>63</v>
      </c>
      <c r="M109" s="28">
        <f t="shared" si="53"/>
        <v>63</v>
      </c>
      <c r="N109" s="28">
        <f t="shared" si="53"/>
        <v>63</v>
      </c>
      <c r="O109" s="28">
        <f t="shared" si="53"/>
        <v>56</v>
      </c>
      <c r="P109" s="28">
        <f t="shared" si="53"/>
        <v>56</v>
      </c>
      <c r="Q109" s="105">
        <f>+SUM(D109:P109)</f>
        <v>616</v>
      </c>
      <c r="R109" s="59"/>
      <c r="S109" s="126" t="s">
        <v>1</v>
      </c>
      <c r="T109" s="127">
        <f t="shared" si="44"/>
        <v>1.1271522936451301E-2</v>
      </c>
      <c r="U109" s="47"/>
    </row>
    <row r="110" spans="2:24" ht="14" customHeight="1" thickTop="1" thickBot="1" x14ac:dyDescent="0.2">
      <c r="B110" s="29" t="s">
        <v>1</v>
      </c>
      <c r="C110" s="30" t="str">
        <f>C46</f>
        <v>Vendredi</v>
      </c>
      <c r="D110" s="21" t="s">
        <v>1</v>
      </c>
      <c r="E110" s="21">
        <f>'Calendrier 2023'!E19</f>
        <v>44967</v>
      </c>
      <c r="F110" s="21" t="s">
        <v>1</v>
      </c>
      <c r="G110" s="21" t="s">
        <v>1</v>
      </c>
      <c r="H110" s="21" t="s">
        <v>1</v>
      </c>
      <c r="I110" s="21" t="s">
        <v>1</v>
      </c>
      <c r="J110" s="21" t="s">
        <v>1</v>
      </c>
      <c r="K110" s="21" t="s">
        <v>1</v>
      </c>
      <c r="L110" s="21" t="s">
        <v>1</v>
      </c>
      <c r="M110" s="21" t="s">
        <v>1</v>
      </c>
      <c r="N110" s="21" t="s">
        <v>1</v>
      </c>
      <c r="O110" s="21" t="s">
        <v>1</v>
      </c>
      <c r="P110" s="109" t="s">
        <v>1</v>
      </c>
      <c r="Q110" s="110"/>
      <c r="R110" s="51"/>
      <c r="S110" s="19" t="s">
        <v>1</v>
      </c>
      <c r="T110" s="22" t="s">
        <v>1</v>
      </c>
      <c r="U110" s="51"/>
      <c r="V110" s="51" t="s">
        <v>1</v>
      </c>
      <c r="W110" s="51" t="s">
        <v>1</v>
      </c>
      <c r="X110" s="52"/>
    </row>
    <row r="111" spans="2:24" ht="14" customHeight="1" thickTop="1" thickBot="1" x14ac:dyDescent="0.2">
      <c r="B111" s="23">
        <v>1</v>
      </c>
      <c r="C111" s="10" t="str">
        <f t="shared" ref="C111:C117" si="54">C102</f>
        <v>6 h à 9 h 30</v>
      </c>
      <c r="D111" s="11">
        <v>3</v>
      </c>
      <c r="E111" s="11">
        <v>3</v>
      </c>
      <c r="F111" s="11">
        <v>4</v>
      </c>
      <c r="G111" s="11">
        <v>5</v>
      </c>
      <c r="H111" s="11">
        <v>6</v>
      </c>
      <c r="I111" s="11">
        <v>7</v>
      </c>
      <c r="J111" s="11">
        <v>8</v>
      </c>
      <c r="K111" s="11">
        <v>9</v>
      </c>
      <c r="L111" s="11">
        <v>9</v>
      </c>
      <c r="M111" s="11">
        <v>9</v>
      </c>
      <c r="N111" s="11">
        <v>9</v>
      </c>
      <c r="O111" s="11">
        <v>8</v>
      </c>
      <c r="P111" s="11">
        <v>8</v>
      </c>
      <c r="Q111" s="118">
        <f>+SUM(D111:P111)</f>
        <v>88</v>
      </c>
      <c r="R111" s="57"/>
      <c r="S111" s="122">
        <f t="shared" ref="S111:S117" si="55">SUM(D111:P111)/$Q$267</f>
        <v>1.6102175623501857E-3</v>
      </c>
      <c r="T111" s="128"/>
      <c r="U111" s="45"/>
    </row>
    <row r="112" spans="2:24" ht="14" customHeight="1" thickTop="1" thickBot="1" x14ac:dyDescent="0.2">
      <c r="B112" s="24">
        <v>2</v>
      </c>
      <c r="C112" s="13" t="str">
        <f t="shared" si="54"/>
        <v>9 h 30 à 11 h 30</v>
      </c>
      <c r="D112" s="14">
        <v>3</v>
      </c>
      <c r="E112" s="14">
        <v>3</v>
      </c>
      <c r="F112" s="14">
        <v>4</v>
      </c>
      <c r="G112" s="14">
        <v>5</v>
      </c>
      <c r="H112" s="14">
        <v>6</v>
      </c>
      <c r="I112" s="14">
        <v>7</v>
      </c>
      <c r="J112" s="14">
        <v>8</v>
      </c>
      <c r="K112" s="14">
        <v>9</v>
      </c>
      <c r="L112" s="14">
        <v>9</v>
      </c>
      <c r="M112" s="14">
        <v>9</v>
      </c>
      <c r="N112" s="14">
        <v>9</v>
      </c>
      <c r="O112" s="14">
        <v>8</v>
      </c>
      <c r="P112" s="14">
        <v>8</v>
      </c>
      <c r="Q112" s="119">
        <f>+SUM(D112:P112)</f>
        <v>88</v>
      </c>
      <c r="R112" s="57"/>
      <c r="S112" s="124">
        <f t="shared" si="55"/>
        <v>1.6102175623501857E-3</v>
      </c>
      <c r="T112" s="129"/>
      <c r="U112" s="45"/>
    </row>
    <row r="113" spans="2:25" ht="14" customHeight="1" thickTop="1" thickBot="1" x14ac:dyDescent="0.2">
      <c r="B113" s="24">
        <v>3</v>
      </c>
      <c r="C113" s="13" t="str">
        <f t="shared" si="54"/>
        <v>11 h 30 à 14 h 30</v>
      </c>
      <c r="D113" s="14">
        <v>3</v>
      </c>
      <c r="E113" s="14">
        <v>3</v>
      </c>
      <c r="F113" s="14">
        <v>4</v>
      </c>
      <c r="G113" s="14">
        <v>5</v>
      </c>
      <c r="H113" s="14">
        <v>6</v>
      </c>
      <c r="I113" s="14">
        <v>7</v>
      </c>
      <c r="J113" s="14">
        <v>8</v>
      </c>
      <c r="K113" s="14">
        <v>9</v>
      </c>
      <c r="L113" s="14">
        <v>9</v>
      </c>
      <c r="M113" s="14">
        <v>9</v>
      </c>
      <c r="N113" s="14">
        <v>9</v>
      </c>
      <c r="O113" s="14">
        <v>8</v>
      </c>
      <c r="P113" s="14">
        <v>8</v>
      </c>
      <c r="Q113" s="119">
        <f t="shared" ref="Q113:Q117" si="56">+SUM(D113:P113)</f>
        <v>88</v>
      </c>
      <c r="R113" s="57"/>
      <c r="S113" s="124">
        <f t="shared" si="55"/>
        <v>1.6102175623501857E-3</v>
      </c>
      <c r="T113" s="129"/>
      <c r="U113" s="45"/>
    </row>
    <row r="114" spans="2:25" ht="14" customHeight="1" thickTop="1" thickBot="1" x14ac:dyDescent="0.2">
      <c r="B114" s="24">
        <v>4</v>
      </c>
      <c r="C114" s="13" t="str">
        <f t="shared" si="54"/>
        <v>14 h 30 à 17 h</v>
      </c>
      <c r="D114" s="14">
        <v>3</v>
      </c>
      <c r="E114" s="14">
        <v>3</v>
      </c>
      <c r="F114" s="14">
        <v>4</v>
      </c>
      <c r="G114" s="14">
        <v>5</v>
      </c>
      <c r="H114" s="14">
        <v>6</v>
      </c>
      <c r="I114" s="14">
        <v>7</v>
      </c>
      <c r="J114" s="14">
        <v>8</v>
      </c>
      <c r="K114" s="14">
        <v>9</v>
      </c>
      <c r="L114" s="14">
        <v>9</v>
      </c>
      <c r="M114" s="14">
        <v>9</v>
      </c>
      <c r="N114" s="14">
        <v>9</v>
      </c>
      <c r="O114" s="14">
        <v>8</v>
      </c>
      <c r="P114" s="14">
        <v>8</v>
      </c>
      <c r="Q114" s="119">
        <f t="shared" si="56"/>
        <v>88</v>
      </c>
      <c r="R114" s="57"/>
      <c r="S114" s="124">
        <f t="shared" si="55"/>
        <v>1.6102175623501857E-3</v>
      </c>
      <c r="T114" s="129"/>
      <c r="U114" s="45"/>
    </row>
    <row r="115" spans="2:25" ht="14" customHeight="1" thickTop="1" thickBot="1" x14ac:dyDescent="0.2">
      <c r="B115" s="24">
        <v>5</v>
      </c>
      <c r="C115" s="13" t="str">
        <f t="shared" si="54"/>
        <v>17 h à 19 h</v>
      </c>
      <c r="D115" s="14">
        <v>3</v>
      </c>
      <c r="E115" s="14">
        <v>3</v>
      </c>
      <c r="F115" s="14">
        <v>4</v>
      </c>
      <c r="G115" s="14">
        <v>5</v>
      </c>
      <c r="H115" s="14">
        <v>6</v>
      </c>
      <c r="I115" s="14">
        <v>7</v>
      </c>
      <c r="J115" s="14">
        <v>8</v>
      </c>
      <c r="K115" s="14">
        <v>9</v>
      </c>
      <c r="L115" s="14">
        <v>9</v>
      </c>
      <c r="M115" s="14">
        <v>9</v>
      </c>
      <c r="N115" s="14">
        <v>9</v>
      </c>
      <c r="O115" s="14">
        <v>8</v>
      </c>
      <c r="P115" s="14">
        <v>8</v>
      </c>
      <c r="Q115" s="119">
        <f t="shared" si="56"/>
        <v>88</v>
      </c>
      <c r="R115" s="57"/>
      <c r="S115" s="124">
        <f t="shared" si="55"/>
        <v>1.6102175623501857E-3</v>
      </c>
      <c r="T115" s="129"/>
      <c r="U115" s="45"/>
    </row>
    <row r="116" spans="2:25" ht="14" customHeight="1" thickTop="1" thickBot="1" x14ac:dyDescent="0.2">
      <c r="B116" s="24">
        <v>6</v>
      </c>
      <c r="C116" s="13" t="str">
        <f t="shared" si="54"/>
        <v>19 h à 23 h</v>
      </c>
      <c r="D116" s="14">
        <v>3</v>
      </c>
      <c r="E116" s="14">
        <v>3</v>
      </c>
      <c r="F116" s="14">
        <v>4</v>
      </c>
      <c r="G116" s="14">
        <v>5</v>
      </c>
      <c r="H116" s="14">
        <v>6</v>
      </c>
      <c r="I116" s="14">
        <v>7</v>
      </c>
      <c r="J116" s="14">
        <v>8</v>
      </c>
      <c r="K116" s="14">
        <v>9</v>
      </c>
      <c r="L116" s="14">
        <v>9</v>
      </c>
      <c r="M116" s="14">
        <v>9</v>
      </c>
      <c r="N116" s="14">
        <v>9</v>
      </c>
      <c r="O116" s="14">
        <v>8</v>
      </c>
      <c r="P116" s="14">
        <v>8</v>
      </c>
      <c r="Q116" s="119">
        <f t="shared" si="56"/>
        <v>88</v>
      </c>
      <c r="R116" s="57"/>
      <c r="S116" s="124">
        <f t="shared" si="55"/>
        <v>1.6102175623501857E-3</v>
      </c>
      <c r="T116" s="129"/>
      <c r="U116" s="45"/>
    </row>
    <row r="117" spans="2:25" ht="14" customHeight="1" thickTop="1" thickBot="1" x14ac:dyDescent="0.2">
      <c r="B117" s="24">
        <v>7</v>
      </c>
      <c r="C117" s="13" t="str">
        <f t="shared" si="54"/>
        <v>23 h à 6 h</v>
      </c>
      <c r="D117" s="14">
        <v>3</v>
      </c>
      <c r="E117" s="14">
        <v>3</v>
      </c>
      <c r="F117" s="14">
        <v>4</v>
      </c>
      <c r="G117" s="14">
        <v>5</v>
      </c>
      <c r="H117" s="14">
        <v>6</v>
      </c>
      <c r="I117" s="14">
        <v>7</v>
      </c>
      <c r="J117" s="14">
        <v>8</v>
      </c>
      <c r="K117" s="14">
        <v>9</v>
      </c>
      <c r="L117" s="14">
        <v>9</v>
      </c>
      <c r="M117" s="14">
        <v>9</v>
      </c>
      <c r="N117" s="14">
        <v>9</v>
      </c>
      <c r="O117" s="14">
        <v>8</v>
      </c>
      <c r="P117" s="14">
        <v>8</v>
      </c>
      <c r="Q117" s="119">
        <f t="shared" si="56"/>
        <v>88</v>
      </c>
      <c r="R117" s="57"/>
      <c r="S117" s="124">
        <f t="shared" si="55"/>
        <v>1.6102175623501857E-3</v>
      </c>
      <c r="T117" s="129"/>
      <c r="U117" s="45"/>
    </row>
    <row r="118" spans="2:25" ht="14" customHeight="1" thickTop="1" thickBot="1" x14ac:dyDescent="0.2">
      <c r="B118" s="25"/>
      <c r="C118" s="32" t="str">
        <f t="shared" ref="C118" si="57">+C109</f>
        <v>Total</v>
      </c>
      <c r="D118" s="28">
        <f t="shared" ref="D118:P118" si="58">+D111+D112+D113+D114+D115+D116+D117</f>
        <v>21</v>
      </c>
      <c r="E118" s="28">
        <f t="shared" si="58"/>
        <v>21</v>
      </c>
      <c r="F118" s="28">
        <f t="shared" si="58"/>
        <v>28</v>
      </c>
      <c r="G118" s="28">
        <f t="shared" si="58"/>
        <v>35</v>
      </c>
      <c r="H118" s="28">
        <f t="shared" si="58"/>
        <v>42</v>
      </c>
      <c r="I118" s="28">
        <f t="shared" si="58"/>
        <v>49</v>
      </c>
      <c r="J118" s="28">
        <f t="shared" si="58"/>
        <v>56</v>
      </c>
      <c r="K118" s="28">
        <f t="shared" si="58"/>
        <v>63</v>
      </c>
      <c r="L118" s="28">
        <f t="shared" si="58"/>
        <v>63</v>
      </c>
      <c r="M118" s="28">
        <f t="shared" si="58"/>
        <v>63</v>
      </c>
      <c r="N118" s="28">
        <f t="shared" si="58"/>
        <v>63</v>
      </c>
      <c r="O118" s="28">
        <f t="shared" si="58"/>
        <v>56</v>
      </c>
      <c r="P118" s="28">
        <f t="shared" si="58"/>
        <v>56</v>
      </c>
      <c r="Q118" s="105">
        <f>+SUM(D118:P118)</f>
        <v>616</v>
      </c>
      <c r="R118" s="59"/>
      <c r="S118" s="126" t="s">
        <v>1</v>
      </c>
      <c r="T118" s="127">
        <f t="shared" si="44"/>
        <v>1.1271522936451301E-2</v>
      </c>
      <c r="U118" s="47"/>
    </row>
    <row r="119" spans="2:25" ht="14" customHeight="1" thickTop="1" thickBot="1" x14ac:dyDescent="0.2">
      <c r="B119" s="29" t="s">
        <v>1</v>
      </c>
      <c r="C119" s="33" t="str">
        <f>C55</f>
        <v>Samedi</v>
      </c>
      <c r="D119" s="21" t="s">
        <v>1</v>
      </c>
      <c r="E119" s="21">
        <f>'Calendrier 2023'!E20</f>
        <v>44968</v>
      </c>
      <c r="F119" s="21" t="s">
        <v>1</v>
      </c>
      <c r="G119" s="21" t="s">
        <v>1</v>
      </c>
      <c r="H119" s="21" t="s">
        <v>1</v>
      </c>
      <c r="I119" s="21" t="s">
        <v>1</v>
      </c>
      <c r="J119" s="21" t="s">
        <v>1</v>
      </c>
      <c r="K119" s="21" t="s">
        <v>1</v>
      </c>
      <c r="L119" s="21" t="s">
        <v>1</v>
      </c>
      <c r="M119" s="21" t="s">
        <v>1</v>
      </c>
      <c r="N119" s="21" t="s">
        <v>1</v>
      </c>
      <c r="O119" s="21" t="s">
        <v>1</v>
      </c>
      <c r="P119" s="109" t="s">
        <v>1</v>
      </c>
      <c r="Q119" s="110"/>
      <c r="R119" s="51"/>
      <c r="S119" s="19" t="s">
        <v>1</v>
      </c>
      <c r="T119" s="22" t="s">
        <v>1</v>
      </c>
      <c r="U119" s="51" t="s">
        <v>1</v>
      </c>
      <c r="V119" s="51" t="s">
        <v>1</v>
      </c>
      <c r="W119" s="51" t="s">
        <v>1</v>
      </c>
      <c r="X119" s="52"/>
    </row>
    <row r="120" spans="2:25" ht="14" customHeight="1" thickTop="1" thickBot="1" x14ac:dyDescent="0.2">
      <c r="B120" s="23">
        <v>1</v>
      </c>
      <c r="C120" s="10" t="str">
        <f t="shared" ref="C120:C126" si="59">C111</f>
        <v>6 h à 9 h 30</v>
      </c>
      <c r="D120" s="11">
        <v>3</v>
      </c>
      <c r="E120" s="11">
        <v>3</v>
      </c>
      <c r="F120" s="11">
        <v>4</v>
      </c>
      <c r="G120" s="11">
        <v>5</v>
      </c>
      <c r="H120" s="11">
        <v>6</v>
      </c>
      <c r="I120" s="11">
        <v>7</v>
      </c>
      <c r="J120" s="11">
        <v>8</v>
      </c>
      <c r="K120" s="11">
        <v>9</v>
      </c>
      <c r="L120" s="11">
        <v>9</v>
      </c>
      <c r="M120" s="11">
        <v>9</v>
      </c>
      <c r="N120" s="11">
        <v>9</v>
      </c>
      <c r="O120" s="11">
        <v>8</v>
      </c>
      <c r="P120" s="11">
        <v>8</v>
      </c>
      <c r="Q120" s="118">
        <f>+SUM(D120:P120)</f>
        <v>88</v>
      </c>
      <c r="R120" s="57"/>
      <c r="S120" s="122">
        <f t="shared" ref="S120:S126" si="60">SUM(D120:P120)/$Q$267</f>
        <v>1.6102175623501857E-3</v>
      </c>
      <c r="T120" s="128"/>
      <c r="U120" s="45"/>
    </row>
    <row r="121" spans="2:25" ht="14" customHeight="1" thickTop="1" thickBot="1" x14ac:dyDescent="0.2">
      <c r="B121" s="23">
        <v>2</v>
      </c>
      <c r="C121" s="13" t="str">
        <f t="shared" si="59"/>
        <v>9 h 30 à 11 h 30</v>
      </c>
      <c r="D121" s="14">
        <v>3</v>
      </c>
      <c r="E121" s="14">
        <v>3</v>
      </c>
      <c r="F121" s="14">
        <v>4</v>
      </c>
      <c r="G121" s="14">
        <v>5</v>
      </c>
      <c r="H121" s="14">
        <v>6</v>
      </c>
      <c r="I121" s="14">
        <v>7</v>
      </c>
      <c r="J121" s="14">
        <v>8</v>
      </c>
      <c r="K121" s="14">
        <v>9</v>
      </c>
      <c r="L121" s="14">
        <v>9</v>
      </c>
      <c r="M121" s="14">
        <v>9</v>
      </c>
      <c r="N121" s="14">
        <v>9</v>
      </c>
      <c r="O121" s="14">
        <v>8</v>
      </c>
      <c r="P121" s="14">
        <v>8</v>
      </c>
      <c r="Q121" s="119">
        <f>+SUM(D121:P121)</f>
        <v>88</v>
      </c>
      <c r="R121" s="57"/>
      <c r="S121" s="124">
        <f t="shared" si="60"/>
        <v>1.6102175623501857E-3</v>
      </c>
      <c r="T121" s="129"/>
      <c r="U121" s="45"/>
    </row>
    <row r="122" spans="2:25" ht="14" customHeight="1" thickTop="1" thickBot="1" x14ac:dyDescent="0.2">
      <c r="B122" s="23">
        <v>3</v>
      </c>
      <c r="C122" s="53" t="str">
        <f>C113</f>
        <v>11 h 30 à 14 h 30</v>
      </c>
      <c r="D122" s="14">
        <v>3</v>
      </c>
      <c r="E122" s="14">
        <v>3</v>
      </c>
      <c r="F122" s="14">
        <v>4</v>
      </c>
      <c r="G122" s="14">
        <v>5</v>
      </c>
      <c r="H122" s="14">
        <v>6</v>
      </c>
      <c r="I122" s="14">
        <v>7</v>
      </c>
      <c r="J122" s="14">
        <v>8</v>
      </c>
      <c r="K122" s="14">
        <v>9</v>
      </c>
      <c r="L122" s="14">
        <v>9</v>
      </c>
      <c r="M122" s="14">
        <v>9</v>
      </c>
      <c r="N122" s="14">
        <v>9</v>
      </c>
      <c r="O122" s="14">
        <v>8</v>
      </c>
      <c r="P122" s="14">
        <v>8</v>
      </c>
      <c r="Q122" s="119">
        <f t="shared" ref="Q122:Q126" si="61">+SUM(D122:P122)</f>
        <v>88</v>
      </c>
      <c r="R122" s="57"/>
      <c r="S122" s="124">
        <f t="shared" si="60"/>
        <v>1.6102175623501857E-3</v>
      </c>
      <c r="T122" s="129"/>
      <c r="U122" s="45"/>
    </row>
    <row r="123" spans="2:25" ht="14" customHeight="1" thickTop="1" thickBot="1" x14ac:dyDescent="0.2">
      <c r="B123" s="23">
        <v>4</v>
      </c>
      <c r="C123" s="13" t="str">
        <f t="shared" si="59"/>
        <v>14 h 30 à 17 h</v>
      </c>
      <c r="D123" s="14">
        <v>3</v>
      </c>
      <c r="E123" s="14">
        <v>3</v>
      </c>
      <c r="F123" s="14">
        <v>4</v>
      </c>
      <c r="G123" s="14">
        <v>5</v>
      </c>
      <c r="H123" s="14">
        <v>6</v>
      </c>
      <c r="I123" s="14">
        <v>7</v>
      </c>
      <c r="J123" s="14">
        <v>8</v>
      </c>
      <c r="K123" s="14">
        <v>9</v>
      </c>
      <c r="L123" s="14">
        <v>9</v>
      </c>
      <c r="M123" s="14">
        <v>9</v>
      </c>
      <c r="N123" s="14">
        <v>9</v>
      </c>
      <c r="O123" s="14">
        <v>8</v>
      </c>
      <c r="P123" s="14">
        <v>8</v>
      </c>
      <c r="Q123" s="119">
        <f t="shared" si="61"/>
        <v>88</v>
      </c>
      <c r="R123" s="57"/>
      <c r="S123" s="124">
        <f t="shared" si="60"/>
        <v>1.6102175623501857E-3</v>
      </c>
      <c r="T123" s="129"/>
      <c r="U123" s="45"/>
    </row>
    <row r="124" spans="2:25" ht="14" customHeight="1" thickTop="1" thickBot="1" x14ac:dyDescent="0.2">
      <c r="B124" s="23">
        <v>5</v>
      </c>
      <c r="C124" s="13" t="str">
        <f t="shared" si="59"/>
        <v>17 h à 19 h</v>
      </c>
      <c r="D124" s="14">
        <v>3</v>
      </c>
      <c r="E124" s="14">
        <v>3</v>
      </c>
      <c r="F124" s="14">
        <v>4</v>
      </c>
      <c r="G124" s="14">
        <v>5</v>
      </c>
      <c r="H124" s="14">
        <v>6</v>
      </c>
      <c r="I124" s="14">
        <v>7</v>
      </c>
      <c r="J124" s="14">
        <v>8</v>
      </c>
      <c r="K124" s="14">
        <v>9</v>
      </c>
      <c r="L124" s="14">
        <v>9</v>
      </c>
      <c r="M124" s="14">
        <v>9</v>
      </c>
      <c r="N124" s="14">
        <v>9</v>
      </c>
      <c r="O124" s="14">
        <v>8</v>
      </c>
      <c r="P124" s="14">
        <v>8</v>
      </c>
      <c r="Q124" s="119">
        <f t="shared" si="61"/>
        <v>88</v>
      </c>
      <c r="R124" s="57"/>
      <c r="S124" s="124">
        <f t="shared" si="60"/>
        <v>1.6102175623501857E-3</v>
      </c>
      <c r="T124" s="129"/>
      <c r="U124" s="45"/>
    </row>
    <row r="125" spans="2:25" ht="14" customHeight="1" thickTop="1" thickBot="1" x14ac:dyDescent="0.2">
      <c r="B125" s="23">
        <v>6</v>
      </c>
      <c r="C125" s="13" t="str">
        <f t="shared" si="59"/>
        <v>19 h à 23 h</v>
      </c>
      <c r="D125" s="14">
        <v>3</v>
      </c>
      <c r="E125" s="14">
        <v>3</v>
      </c>
      <c r="F125" s="14">
        <v>4</v>
      </c>
      <c r="G125" s="14">
        <v>5</v>
      </c>
      <c r="H125" s="14">
        <v>6</v>
      </c>
      <c r="I125" s="14">
        <v>7</v>
      </c>
      <c r="J125" s="14">
        <v>8</v>
      </c>
      <c r="K125" s="14">
        <v>9</v>
      </c>
      <c r="L125" s="14">
        <v>9</v>
      </c>
      <c r="M125" s="14">
        <v>9</v>
      </c>
      <c r="N125" s="14">
        <v>9</v>
      </c>
      <c r="O125" s="14">
        <v>8</v>
      </c>
      <c r="P125" s="14">
        <v>8</v>
      </c>
      <c r="Q125" s="119">
        <f t="shared" si="61"/>
        <v>88</v>
      </c>
      <c r="R125" s="57"/>
      <c r="S125" s="124">
        <f t="shared" si="60"/>
        <v>1.6102175623501857E-3</v>
      </c>
      <c r="T125" s="129"/>
      <c r="U125" s="45"/>
    </row>
    <row r="126" spans="2:25" ht="14" customHeight="1" thickTop="1" thickBot="1" x14ac:dyDescent="0.2">
      <c r="B126" s="23">
        <v>7</v>
      </c>
      <c r="C126" s="13" t="str">
        <f t="shared" si="59"/>
        <v>23 h à 6 h</v>
      </c>
      <c r="D126" s="14">
        <v>3</v>
      </c>
      <c r="E126" s="14">
        <v>3</v>
      </c>
      <c r="F126" s="14">
        <v>4</v>
      </c>
      <c r="G126" s="14">
        <v>5</v>
      </c>
      <c r="H126" s="14">
        <v>6</v>
      </c>
      <c r="I126" s="14">
        <v>7</v>
      </c>
      <c r="J126" s="14">
        <v>8</v>
      </c>
      <c r="K126" s="14">
        <v>9</v>
      </c>
      <c r="L126" s="14">
        <v>9</v>
      </c>
      <c r="M126" s="14">
        <v>9</v>
      </c>
      <c r="N126" s="14">
        <v>9</v>
      </c>
      <c r="O126" s="14">
        <v>8</v>
      </c>
      <c r="P126" s="14">
        <v>8</v>
      </c>
      <c r="Q126" s="119">
        <f t="shared" si="61"/>
        <v>88</v>
      </c>
      <c r="R126" s="57"/>
      <c r="S126" s="124">
        <f t="shared" si="60"/>
        <v>1.6102175623501857E-3</v>
      </c>
      <c r="T126" s="129"/>
      <c r="U126" s="45"/>
    </row>
    <row r="127" spans="2:25" ht="14" customHeight="1" thickTop="1" thickBot="1" x14ac:dyDescent="0.2">
      <c r="B127" s="25"/>
      <c r="C127" s="26" t="str">
        <f t="shared" ref="C127" si="62">+C118</f>
        <v>Total</v>
      </c>
      <c r="D127" s="28">
        <f>+D120+D121+D122+D123+D124+D125+D126</f>
        <v>21</v>
      </c>
      <c r="E127" s="28">
        <f>+E120+E121+E122+E123+E124+E125+E126</f>
        <v>21</v>
      </c>
      <c r="F127" s="28">
        <f>+F120+F121+F122+F123+F124+F125+F126</f>
        <v>28</v>
      </c>
      <c r="G127" s="28">
        <f t="shared" ref="G127:N127" si="63">+G120+G121+G122+G123+G124+G125+G126</f>
        <v>35</v>
      </c>
      <c r="H127" s="28">
        <f t="shared" si="63"/>
        <v>42</v>
      </c>
      <c r="I127" s="28">
        <f t="shared" si="63"/>
        <v>49</v>
      </c>
      <c r="J127" s="28">
        <f t="shared" si="63"/>
        <v>56</v>
      </c>
      <c r="K127" s="28">
        <f t="shared" si="63"/>
        <v>63</v>
      </c>
      <c r="L127" s="28">
        <f t="shared" si="63"/>
        <v>63</v>
      </c>
      <c r="M127" s="28">
        <f t="shared" si="63"/>
        <v>63</v>
      </c>
      <c r="N127" s="28">
        <f t="shared" si="63"/>
        <v>63</v>
      </c>
      <c r="O127" s="27">
        <f>+O120+O121+O122+O123+O124+O125+O126</f>
        <v>56</v>
      </c>
      <c r="P127" s="27">
        <f>+P120+P121+P122+P123+P124+P125+P126</f>
        <v>56</v>
      </c>
      <c r="Q127" s="105">
        <f>+SUM(D127:P127)</f>
        <v>616</v>
      </c>
      <c r="R127" s="59"/>
      <c r="S127" s="126" t="s">
        <v>1</v>
      </c>
      <c r="T127" s="127">
        <f t="shared" si="44"/>
        <v>1.1271522936451301E-2</v>
      </c>
      <c r="U127" s="47"/>
    </row>
    <row r="128" spans="2:25" ht="14" customHeight="1" thickTop="1" thickBot="1" x14ac:dyDescent="0.2">
      <c r="B128" s="29" t="s">
        <v>1</v>
      </c>
      <c r="C128" s="30" t="str">
        <f>C64</f>
        <v>Dimanche</v>
      </c>
      <c r="D128" s="21" t="s">
        <v>1</v>
      </c>
      <c r="E128" s="21">
        <f>'Calendrier 2023'!E21</f>
        <v>44969</v>
      </c>
      <c r="F128" s="21" t="s">
        <v>1</v>
      </c>
      <c r="G128" s="21" t="s">
        <v>1</v>
      </c>
      <c r="H128" s="21" t="s">
        <v>1</v>
      </c>
      <c r="I128" s="21" t="s">
        <v>1</v>
      </c>
      <c r="J128" s="21" t="s">
        <v>1</v>
      </c>
      <c r="K128" s="21" t="s">
        <v>1</v>
      </c>
      <c r="L128" s="21" t="s">
        <v>1</v>
      </c>
      <c r="M128" s="21" t="s">
        <v>1</v>
      </c>
      <c r="N128" s="21" t="s">
        <v>1</v>
      </c>
      <c r="O128" s="21" t="s">
        <v>1</v>
      </c>
      <c r="P128" s="109" t="s">
        <v>1</v>
      </c>
      <c r="Q128" s="110"/>
      <c r="R128" s="51"/>
      <c r="S128" s="19" t="s">
        <v>1</v>
      </c>
      <c r="T128" s="22" t="s">
        <v>1</v>
      </c>
      <c r="U128" s="51" t="s">
        <v>1</v>
      </c>
      <c r="V128" s="51" t="s">
        <v>1</v>
      </c>
      <c r="W128" s="51" t="s">
        <v>1</v>
      </c>
      <c r="X128" s="51" t="s">
        <v>1</v>
      </c>
      <c r="Y128" s="52"/>
    </row>
    <row r="129" spans="2:23" ht="14" customHeight="1" thickTop="1" thickBot="1" x14ac:dyDescent="0.2">
      <c r="B129" s="24">
        <v>1</v>
      </c>
      <c r="C129" s="10" t="str">
        <f t="shared" ref="C129:C135" si="64">C120</f>
        <v>6 h à 9 h 30</v>
      </c>
      <c r="D129" s="11">
        <v>3</v>
      </c>
      <c r="E129" s="11">
        <v>3</v>
      </c>
      <c r="F129" s="11">
        <v>4</v>
      </c>
      <c r="G129" s="11">
        <v>5</v>
      </c>
      <c r="H129" s="11">
        <v>6</v>
      </c>
      <c r="I129" s="11">
        <v>7</v>
      </c>
      <c r="J129" s="11">
        <v>8</v>
      </c>
      <c r="K129" s="11">
        <v>9</v>
      </c>
      <c r="L129" s="11">
        <v>9</v>
      </c>
      <c r="M129" s="11">
        <v>9</v>
      </c>
      <c r="N129" s="11">
        <v>9</v>
      </c>
      <c r="O129" s="11">
        <v>8</v>
      </c>
      <c r="P129" s="11">
        <v>8</v>
      </c>
      <c r="Q129" s="118">
        <f>+SUM(D129:P129)</f>
        <v>88</v>
      </c>
      <c r="R129" s="57"/>
      <c r="S129" s="122">
        <f t="shared" ref="S129:S135" si="65">SUM(D129:P129)/$Q$267</f>
        <v>1.6102175623501857E-3</v>
      </c>
      <c r="T129" s="128"/>
      <c r="U129" s="45"/>
    </row>
    <row r="130" spans="2:23" ht="14" customHeight="1" thickTop="1" thickBot="1" x14ac:dyDescent="0.2">
      <c r="B130" s="23">
        <v>2</v>
      </c>
      <c r="C130" s="13" t="str">
        <f t="shared" si="64"/>
        <v>9 h 30 à 11 h 30</v>
      </c>
      <c r="D130" s="14">
        <v>3</v>
      </c>
      <c r="E130" s="14">
        <v>3</v>
      </c>
      <c r="F130" s="14">
        <v>4</v>
      </c>
      <c r="G130" s="14">
        <v>5</v>
      </c>
      <c r="H130" s="14">
        <v>6</v>
      </c>
      <c r="I130" s="14">
        <v>7</v>
      </c>
      <c r="J130" s="14">
        <v>8</v>
      </c>
      <c r="K130" s="14">
        <v>9</v>
      </c>
      <c r="L130" s="14">
        <v>9</v>
      </c>
      <c r="M130" s="14">
        <v>9</v>
      </c>
      <c r="N130" s="14">
        <v>9</v>
      </c>
      <c r="O130" s="14">
        <v>8</v>
      </c>
      <c r="P130" s="14">
        <v>8</v>
      </c>
      <c r="Q130" s="119">
        <f>+SUM(D130:P130)</f>
        <v>88</v>
      </c>
      <c r="R130" s="57"/>
      <c r="S130" s="124">
        <f t="shared" si="65"/>
        <v>1.6102175623501857E-3</v>
      </c>
      <c r="T130" s="129"/>
      <c r="U130" s="45"/>
    </row>
    <row r="131" spans="2:23" ht="14" customHeight="1" thickTop="1" thickBot="1" x14ac:dyDescent="0.2">
      <c r="B131" s="23">
        <v>3</v>
      </c>
      <c r="C131" s="13" t="str">
        <f t="shared" si="64"/>
        <v>11 h 30 à 14 h 30</v>
      </c>
      <c r="D131" s="14">
        <v>3</v>
      </c>
      <c r="E131" s="14">
        <v>3</v>
      </c>
      <c r="F131" s="14">
        <v>4</v>
      </c>
      <c r="G131" s="14">
        <v>5</v>
      </c>
      <c r="H131" s="14">
        <v>6</v>
      </c>
      <c r="I131" s="14">
        <v>7</v>
      </c>
      <c r="J131" s="14">
        <v>8</v>
      </c>
      <c r="K131" s="14">
        <v>9</v>
      </c>
      <c r="L131" s="14">
        <v>9</v>
      </c>
      <c r="M131" s="14">
        <v>9</v>
      </c>
      <c r="N131" s="14">
        <v>9</v>
      </c>
      <c r="O131" s="14">
        <v>8</v>
      </c>
      <c r="P131" s="14">
        <v>8</v>
      </c>
      <c r="Q131" s="119">
        <f t="shared" ref="Q131:Q135" si="66">+SUM(D131:P131)</f>
        <v>88</v>
      </c>
      <c r="R131" s="57"/>
      <c r="S131" s="124">
        <f t="shared" si="65"/>
        <v>1.6102175623501857E-3</v>
      </c>
      <c r="T131" s="129"/>
      <c r="U131" s="45"/>
    </row>
    <row r="132" spans="2:23" ht="14" customHeight="1" thickTop="1" thickBot="1" x14ac:dyDescent="0.2">
      <c r="B132" s="23">
        <v>4</v>
      </c>
      <c r="C132" s="13" t="str">
        <f t="shared" si="64"/>
        <v>14 h 30 à 17 h</v>
      </c>
      <c r="D132" s="14">
        <v>3</v>
      </c>
      <c r="E132" s="14">
        <v>3</v>
      </c>
      <c r="F132" s="14">
        <v>4</v>
      </c>
      <c r="G132" s="14">
        <v>5</v>
      </c>
      <c r="H132" s="14">
        <v>6</v>
      </c>
      <c r="I132" s="14">
        <v>7</v>
      </c>
      <c r="J132" s="14">
        <v>8</v>
      </c>
      <c r="K132" s="14">
        <v>9</v>
      </c>
      <c r="L132" s="14">
        <v>9</v>
      </c>
      <c r="M132" s="14">
        <v>9</v>
      </c>
      <c r="N132" s="14">
        <v>9</v>
      </c>
      <c r="O132" s="14">
        <v>8</v>
      </c>
      <c r="P132" s="14">
        <v>8</v>
      </c>
      <c r="Q132" s="119">
        <f t="shared" si="66"/>
        <v>88</v>
      </c>
      <c r="R132" s="57"/>
      <c r="S132" s="124">
        <f t="shared" si="65"/>
        <v>1.6102175623501857E-3</v>
      </c>
      <c r="T132" s="129"/>
      <c r="U132" s="45"/>
    </row>
    <row r="133" spans="2:23" ht="14" customHeight="1" thickTop="1" thickBot="1" x14ac:dyDescent="0.2">
      <c r="B133" s="23">
        <v>5</v>
      </c>
      <c r="C133" s="13" t="str">
        <f t="shared" si="64"/>
        <v>17 h à 19 h</v>
      </c>
      <c r="D133" s="14">
        <v>3</v>
      </c>
      <c r="E133" s="14">
        <v>3</v>
      </c>
      <c r="F133" s="14">
        <v>4</v>
      </c>
      <c r="G133" s="14">
        <v>5</v>
      </c>
      <c r="H133" s="14">
        <v>6</v>
      </c>
      <c r="I133" s="14">
        <v>7</v>
      </c>
      <c r="J133" s="14">
        <v>8</v>
      </c>
      <c r="K133" s="14">
        <v>9</v>
      </c>
      <c r="L133" s="14">
        <v>9</v>
      </c>
      <c r="M133" s="14">
        <v>9</v>
      </c>
      <c r="N133" s="14">
        <v>9</v>
      </c>
      <c r="O133" s="14">
        <v>8</v>
      </c>
      <c r="P133" s="14">
        <v>8</v>
      </c>
      <c r="Q133" s="119">
        <f t="shared" si="66"/>
        <v>88</v>
      </c>
      <c r="R133" s="57"/>
      <c r="S133" s="124">
        <f t="shared" si="65"/>
        <v>1.6102175623501857E-3</v>
      </c>
      <c r="T133" s="129"/>
      <c r="U133" s="45"/>
    </row>
    <row r="134" spans="2:23" ht="14" customHeight="1" thickTop="1" thickBot="1" x14ac:dyDescent="0.2">
      <c r="B134" s="23">
        <v>6</v>
      </c>
      <c r="C134" s="13" t="str">
        <f t="shared" si="64"/>
        <v>19 h à 23 h</v>
      </c>
      <c r="D134" s="14">
        <v>3</v>
      </c>
      <c r="E134" s="14">
        <v>3</v>
      </c>
      <c r="F134" s="14">
        <v>4</v>
      </c>
      <c r="G134" s="14">
        <v>5</v>
      </c>
      <c r="H134" s="14">
        <v>6</v>
      </c>
      <c r="I134" s="14">
        <v>7</v>
      </c>
      <c r="J134" s="14">
        <v>8</v>
      </c>
      <c r="K134" s="14">
        <v>9</v>
      </c>
      <c r="L134" s="14">
        <v>9</v>
      </c>
      <c r="M134" s="14">
        <v>9</v>
      </c>
      <c r="N134" s="14">
        <v>9</v>
      </c>
      <c r="O134" s="14">
        <v>8</v>
      </c>
      <c r="P134" s="14">
        <v>8</v>
      </c>
      <c r="Q134" s="119">
        <f t="shared" si="66"/>
        <v>88</v>
      </c>
      <c r="R134" s="57"/>
      <c r="S134" s="124">
        <f t="shared" si="65"/>
        <v>1.6102175623501857E-3</v>
      </c>
      <c r="T134" s="129"/>
      <c r="U134" s="45"/>
    </row>
    <row r="135" spans="2:23" ht="14" customHeight="1" thickTop="1" thickBot="1" x14ac:dyDescent="0.2">
      <c r="B135" s="23">
        <v>7</v>
      </c>
      <c r="C135" s="13" t="str">
        <f t="shared" si="64"/>
        <v>23 h à 6 h</v>
      </c>
      <c r="D135" s="14">
        <v>3</v>
      </c>
      <c r="E135" s="14">
        <v>3</v>
      </c>
      <c r="F135" s="14">
        <v>4</v>
      </c>
      <c r="G135" s="14">
        <v>5</v>
      </c>
      <c r="H135" s="14">
        <v>6</v>
      </c>
      <c r="I135" s="14">
        <v>7</v>
      </c>
      <c r="J135" s="14">
        <v>8</v>
      </c>
      <c r="K135" s="14">
        <v>9</v>
      </c>
      <c r="L135" s="14">
        <v>9</v>
      </c>
      <c r="M135" s="14">
        <v>9</v>
      </c>
      <c r="N135" s="14">
        <v>9</v>
      </c>
      <c r="O135" s="14">
        <v>8</v>
      </c>
      <c r="P135" s="14">
        <v>8</v>
      </c>
      <c r="Q135" s="119">
        <f t="shared" si="66"/>
        <v>88</v>
      </c>
      <c r="R135" s="57"/>
      <c r="S135" s="124">
        <f t="shared" si="65"/>
        <v>1.6102175623501857E-3</v>
      </c>
      <c r="T135" s="129"/>
      <c r="U135" s="45"/>
    </row>
    <row r="136" spans="2:23" ht="14" customHeight="1" thickTop="1" thickBot="1" x14ac:dyDescent="0.2">
      <c r="B136" s="23"/>
      <c r="C136" s="16" t="str">
        <f t="shared" ref="C136" si="67">+C127</f>
        <v>Total</v>
      </c>
      <c r="D136" s="27">
        <f t="shared" ref="D136:L136" si="68">+D129+D130+D131+D132+D133+D134+D135</f>
        <v>21</v>
      </c>
      <c r="E136" s="27">
        <f t="shared" si="68"/>
        <v>21</v>
      </c>
      <c r="F136" s="27">
        <f t="shared" si="68"/>
        <v>28</v>
      </c>
      <c r="G136" s="27">
        <f t="shared" si="68"/>
        <v>35</v>
      </c>
      <c r="H136" s="27">
        <f t="shared" si="68"/>
        <v>42</v>
      </c>
      <c r="I136" s="27">
        <f t="shared" si="68"/>
        <v>49</v>
      </c>
      <c r="J136" s="27">
        <f t="shared" si="68"/>
        <v>56</v>
      </c>
      <c r="K136" s="27">
        <f t="shared" si="68"/>
        <v>63</v>
      </c>
      <c r="L136" s="27">
        <f t="shared" si="68"/>
        <v>63</v>
      </c>
      <c r="M136" s="27">
        <f>+M129+M130+M131+M132+M133+M134+M135</f>
        <v>63</v>
      </c>
      <c r="N136" s="27">
        <f>+N129+N130+N131+N132+N133+N134+N135</f>
        <v>63</v>
      </c>
      <c r="O136" s="27">
        <f>+O129+O130+O131+O132+O133+O134+O135</f>
        <v>56</v>
      </c>
      <c r="P136" s="27">
        <f>+P129+P130+P131+P132+P133+P134+P135</f>
        <v>56</v>
      </c>
      <c r="Q136" s="105">
        <f>+SUM(D136:P136)</f>
        <v>616</v>
      </c>
      <c r="R136" s="59"/>
      <c r="S136" s="126" t="s">
        <v>1</v>
      </c>
      <c r="T136" s="127">
        <f t="shared" si="44"/>
        <v>1.1271522936451301E-2</v>
      </c>
      <c r="U136" s="47"/>
    </row>
    <row r="137" spans="2:23" ht="14" customHeight="1" thickTop="1" thickBot="1" x14ac:dyDescent="0.2">
      <c r="B137" s="1298" t="s">
        <v>11</v>
      </c>
      <c r="C137" s="1299"/>
      <c r="D137" s="1299"/>
      <c r="E137" s="1299"/>
      <c r="F137" s="1299"/>
      <c r="G137" s="1299"/>
      <c r="H137" s="1299"/>
      <c r="I137" s="1299"/>
      <c r="J137" s="1299"/>
      <c r="K137" s="1299"/>
      <c r="L137" s="1299"/>
      <c r="M137" s="1299"/>
      <c r="N137" s="1299"/>
      <c r="O137" s="1299"/>
      <c r="P137" s="1300"/>
      <c r="Q137" s="1301"/>
      <c r="R137" s="50"/>
      <c r="S137" s="1312" t="s">
        <v>11</v>
      </c>
      <c r="T137" s="1313"/>
      <c r="U137" s="44"/>
    </row>
    <row r="138" spans="2:23" ht="14" customHeight="1" thickTop="1" thickBot="1" x14ac:dyDescent="0.2">
      <c r="B138" s="6">
        <v>3</v>
      </c>
      <c r="C138" s="35" t="str">
        <f>C74</f>
        <v>Lundi</v>
      </c>
      <c r="D138" s="7" t="s">
        <v>1</v>
      </c>
      <c r="E138" s="7">
        <f>'Calendrier 2023'!E22</f>
        <v>44970</v>
      </c>
      <c r="F138" s="7" t="s">
        <v>1</v>
      </c>
      <c r="G138" s="7" t="s">
        <v>1</v>
      </c>
      <c r="H138" s="7" t="s">
        <v>1</v>
      </c>
      <c r="I138" s="7" t="s">
        <v>1</v>
      </c>
      <c r="J138" s="7" t="s">
        <v>1</v>
      </c>
      <c r="K138" s="7" t="s">
        <v>1</v>
      </c>
      <c r="L138" s="7" t="s">
        <v>1</v>
      </c>
      <c r="M138" s="7" t="s">
        <v>1</v>
      </c>
      <c r="N138" s="7" t="s">
        <v>1</v>
      </c>
      <c r="O138" s="7" t="s">
        <v>1</v>
      </c>
      <c r="P138" s="112" t="s">
        <v>1</v>
      </c>
      <c r="Q138" s="113"/>
      <c r="R138" s="51"/>
      <c r="S138" s="69" t="s">
        <v>1</v>
      </c>
      <c r="T138" s="8" t="s">
        <v>1</v>
      </c>
      <c r="U138" s="51" t="s">
        <v>1</v>
      </c>
      <c r="V138" s="51" t="s">
        <v>1</v>
      </c>
      <c r="W138" s="52"/>
    </row>
    <row r="139" spans="2:23" ht="14" customHeight="1" thickTop="1" x14ac:dyDescent="0.15">
      <c r="B139" s="9">
        <v>1</v>
      </c>
      <c r="C139" s="10" t="str">
        <f t="shared" ref="C139:C145" si="69">C129</f>
        <v>6 h à 9 h 30</v>
      </c>
      <c r="D139" s="11">
        <v>3</v>
      </c>
      <c r="E139" s="11">
        <v>3</v>
      </c>
      <c r="F139" s="11">
        <v>4</v>
      </c>
      <c r="G139" s="11">
        <v>5</v>
      </c>
      <c r="H139" s="11">
        <v>6</v>
      </c>
      <c r="I139" s="11">
        <v>7</v>
      </c>
      <c r="J139" s="11">
        <v>8</v>
      </c>
      <c r="K139" s="11">
        <v>9</v>
      </c>
      <c r="L139" s="11">
        <v>9</v>
      </c>
      <c r="M139" s="11">
        <v>9</v>
      </c>
      <c r="N139" s="11">
        <v>9</v>
      </c>
      <c r="O139" s="11">
        <v>8</v>
      </c>
      <c r="P139" s="11">
        <v>8</v>
      </c>
      <c r="Q139" s="118">
        <f>+SUM(D139:P139)</f>
        <v>88</v>
      </c>
      <c r="R139" s="57"/>
      <c r="S139" s="122">
        <f t="shared" ref="S139:S145" si="70">SUM(D139:P139)/$Q$267</f>
        <v>1.6102175623501857E-3</v>
      </c>
      <c r="T139" s="128"/>
      <c r="U139" s="45"/>
    </row>
    <row r="140" spans="2:23" ht="14" customHeight="1" x14ac:dyDescent="0.15">
      <c r="B140" s="12">
        <v>2</v>
      </c>
      <c r="C140" s="13" t="str">
        <f t="shared" si="69"/>
        <v>9 h 30 à 11 h 30</v>
      </c>
      <c r="D140" s="14">
        <v>3</v>
      </c>
      <c r="E140" s="14">
        <v>3</v>
      </c>
      <c r="F140" s="14">
        <v>4</v>
      </c>
      <c r="G140" s="14">
        <v>5</v>
      </c>
      <c r="H140" s="14">
        <v>6</v>
      </c>
      <c r="I140" s="14">
        <v>7</v>
      </c>
      <c r="J140" s="14">
        <v>8</v>
      </c>
      <c r="K140" s="14">
        <v>9</v>
      </c>
      <c r="L140" s="14">
        <v>9</v>
      </c>
      <c r="M140" s="14">
        <v>9</v>
      </c>
      <c r="N140" s="14">
        <v>9</v>
      </c>
      <c r="O140" s="14">
        <v>8</v>
      </c>
      <c r="P140" s="14">
        <v>8</v>
      </c>
      <c r="Q140" s="119">
        <f>+SUM(D140:P140)</f>
        <v>88</v>
      </c>
      <c r="R140" s="57"/>
      <c r="S140" s="124">
        <f t="shared" si="70"/>
        <v>1.6102175623501857E-3</v>
      </c>
      <c r="T140" s="129"/>
      <c r="U140" s="45"/>
    </row>
    <row r="141" spans="2:23" ht="14" customHeight="1" x14ac:dyDescent="0.15">
      <c r="B141" s="12">
        <v>3</v>
      </c>
      <c r="C141" s="13" t="str">
        <f>C131</f>
        <v>11 h 30 à 14 h 30</v>
      </c>
      <c r="D141" s="14">
        <v>3</v>
      </c>
      <c r="E141" s="14">
        <v>3</v>
      </c>
      <c r="F141" s="14">
        <v>4</v>
      </c>
      <c r="G141" s="14">
        <v>5</v>
      </c>
      <c r="H141" s="14">
        <v>6</v>
      </c>
      <c r="I141" s="14">
        <v>7</v>
      </c>
      <c r="J141" s="14">
        <v>8</v>
      </c>
      <c r="K141" s="14">
        <v>9</v>
      </c>
      <c r="L141" s="14">
        <v>9</v>
      </c>
      <c r="M141" s="14">
        <v>9</v>
      </c>
      <c r="N141" s="14">
        <v>9</v>
      </c>
      <c r="O141" s="14">
        <v>8</v>
      </c>
      <c r="P141" s="14">
        <v>8</v>
      </c>
      <c r="Q141" s="119">
        <f t="shared" ref="Q141:Q145" si="71">+SUM(D141:P141)</f>
        <v>88</v>
      </c>
      <c r="R141" s="57"/>
      <c r="S141" s="124">
        <f t="shared" si="70"/>
        <v>1.6102175623501857E-3</v>
      </c>
      <c r="T141" s="129"/>
      <c r="U141" s="45"/>
    </row>
    <row r="142" spans="2:23" ht="14" customHeight="1" x14ac:dyDescent="0.15">
      <c r="B142" s="12">
        <v>4</v>
      </c>
      <c r="C142" s="13" t="str">
        <f t="shared" si="69"/>
        <v>14 h 30 à 17 h</v>
      </c>
      <c r="D142" s="14">
        <v>3</v>
      </c>
      <c r="E142" s="14">
        <v>3</v>
      </c>
      <c r="F142" s="14">
        <v>4</v>
      </c>
      <c r="G142" s="14">
        <v>5</v>
      </c>
      <c r="H142" s="14">
        <v>6</v>
      </c>
      <c r="I142" s="14">
        <v>7</v>
      </c>
      <c r="J142" s="14">
        <v>8</v>
      </c>
      <c r="K142" s="14">
        <v>9</v>
      </c>
      <c r="L142" s="14">
        <v>9</v>
      </c>
      <c r="M142" s="14">
        <v>9</v>
      </c>
      <c r="N142" s="14">
        <v>9</v>
      </c>
      <c r="O142" s="14">
        <v>8</v>
      </c>
      <c r="P142" s="14">
        <v>8</v>
      </c>
      <c r="Q142" s="119">
        <f t="shared" si="71"/>
        <v>88</v>
      </c>
      <c r="R142" s="57"/>
      <c r="S142" s="124">
        <f t="shared" si="70"/>
        <v>1.6102175623501857E-3</v>
      </c>
      <c r="T142" s="129"/>
      <c r="U142" s="45"/>
    </row>
    <row r="143" spans="2:23" ht="14" customHeight="1" x14ac:dyDescent="0.15">
      <c r="B143" s="12">
        <v>5</v>
      </c>
      <c r="C143" s="13" t="str">
        <f t="shared" si="69"/>
        <v>17 h à 19 h</v>
      </c>
      <c r="D143" s="14">
        <v>3</v>
      </c>
      <c r="E143" s="14">
        <v>3</v>
      </c>
      <c r="F143" s="14">
        <v>4</v>
      </c>
      <c r="G143" s="14">
        <v>5</v>
      </c>
      <c r="H143" s="14">
        <v>6</v>
      </c>
      <c r="I143" s="14">
        <v>7</v>
      </c>
      <c r="J143" s="14">
        <v>8</v>
      </c>
      <c r="K143" s="14">
        <v>9</v>
      </c>
      <c r="L143" s="14">
        <v>9</v>
      </c>
      <c r="M143" s="14">
        <v>9</v>
      </c>
      <c r="N143" s="14">
        <v>9</v>
      </c>
      <c r="O143" s="14">
        <v>8</v>
      </c>
      <c r="P143" s="14">
        <v>8</v>
      </c>
      <c r="Q143" s="119">
        <f t="shared" si="71"/>
        <v>88</v>
      </c>
      <c r="R143" s="57"/>
      <c r="S143" s="124">
        <f t="shared" si="70"/>
        <v>1.6102175623501857E-3</v>
      </c>
      <c r="T143" s="129"/>
      <c r="U143" s="45"/>
    </row>
    <row r="144" spans="2:23" ht="14" customHeight="1" x14ac:dyDescent="0.15">
      <c r="B144" s="12">
        <v>6</v>
      </c>
      <c r="C144" s="13" t="str">
        <f t="shared" si="69"/>
        <v>19 h à 23 h</v>
      </c>
      <c r="D144" s="14">
        <v>3</v>
      </c>
      <c r="E144" s="14">
        <v>3</v>
      </c>
      <c r="F144" s="14">
        <v>4</v>
      </c>
      <c r="G144" s="14">
        <v>5</v>
      </c>
      <c r="H144" s="14">
        <v>6</v>
      </c>
      <c r="I144" s="14">
        <v>7</v>
      </c>
      <c r="J144" s="14">
        <v>8</v>
      </c>
      <c r="K144" s="14">
        <v>9</v>
      </c>
      <c r="L144" s="14">
        <v>9</v>
      </c>
      <c r="M144" s="14">
        <v>9</v>
      </c>
      <c r="N144" s="14">
        <v>9</v>
      </c>
      <c r="O144" s="14">
        <v>8</v>
      </c>
      <c r="P144" s="14">
        <v>8</v>
      </c>
      <c r="Q144" s="119">
        <f t="shared" si="71"/>
        <v>88</v>
      </c>
      <c r="R144" s="57"/>
      <c r="S144" s="124">
        <f t="shared" si="70"/>
        <v>1.6102175623501857E-3</v>
      </c>
      <c r="T144" s="129"/>
      <c r="U144" s="45"/>
    </row>
    <row r="145" spans="2:22" ht="14" customHeight="1" x14ac:dyDescent="0.15">
      <c r="B145" s="12">
        <v>7</v>
      </c>
      <c r="C145" s="13" t="str">
        <f t="shared" si="69"/>
        <v>23 h à 6 h</v>
      </c>
      <c r="D145" s="14">
        <v>3</v>
      </c>
      <c r="E145" s="14">
        <v>3</v>
      </c>
      <c r="F145" s="14">
        <v>4</v>
      </c>
      <c r="G145" s="14">
        <v>5</v>
      </c>
      <c r="H145" s="14">
        <v>6</v>
      </c>
      <c r="I145" s="14">
        <v>7</v>
      </c>
      <c r="J145" s="14">
        <v>8</v>
      </c>
      <c r="K145" s="14">
        <v>9</v>
      </c>
      <c r="L145" s="14">
        <v>9</v>
      </c>
      <c r="M145" s="14">
        <v>9</v>
      </c>
      <c r="N145" s="14">
        <v>9</v>
      </c>
      <c r="O145" s="14">
        <v>8</v>
      </c>
      <c r="P145" s="14">
        <v>8</v>
      </c>
      <c r="Q145" s="119">
        <f t="shared" si="71"/>
        <v>88</v>
      </c>
      <c r="R145" s="57"/>
      <c r="S145" s="124">
        <f t="shared" si="70"/>
        <v>1.6102175623501857E-3</v>
      </c>
      <c r="T145" s="129"/>
      <c r="U145" s="45"/>
    </row>
    <row r="146" spans="2:22" ht="14" customHeight="1" thickBot="1" x14ac:dyDescent="0.2">
      <c r="B146" s="15"/>
      <c r="C146" s="16" t="str">
        <f>+C136</f>
        <v>Total</v>
      </c>
      <c r="D146" s="27">
        <f t="shared" ref="D146:L146" si="72">+D139+D140+D141+D142+D143+D144+D145</f>
        <v>21</v>
      </c>
      <c r="E146" s="27">
        <f t="shared" si="72"/>
        <v>21</v>
      </c>
      <c r="F146" s="27">
        <f t="shared" si="72"/>
        <v>28</v>
      </c>
      <c r="G146" s="27">
        <f t="shared" si="72"/>
        <v>35</v>
      </c>
      <c r="H146" s="27">
        <f t="shared" si="72"/>
        <v>42</v>
      </c>
      <c r="I146" s="27">
        <f t="shared" si="72"/>
        <v>49</v>
      </c>
      <c r="J146" s="27">
        <f t="shared" si="72"/>
        <v>56</v>
      </c>
      <c r="K146" s="27">
        <f t="shared" si="72"/>
        <v>63</v>
      </c>
      <c r="L146" s="27">
        <f t="shared" si="72"/>
        <v>63</v>
      </c>
      <c r="M146" s="27">
        <f>+M139+M140+M141+M142+M143+M144+M145</f>
        <v>63</v>
      </c>
      <c r="N146" s="27">
        <f>+N139+N140+N141+N142+N143+N144+N145</f>
        <v>63</v>
      </c>
      <c r="O146" s="27">
        <f>+O139+O140+O141+O142+O143+O144+O145</f>
        <v>56</v>
      </c>
      <c r="P146" s="27">
        <f>+P139+P140+P141+P142+P143+P144+P145</f>
        <v>56</v>
      </c>
      <c r="Q146" s="105">
        <f>+SUM(D146:P146)</f>
        <v>616</v>
      </c>
      <c r="R146" s="59"/>
      <c r="S146" s="126" t="s">
        <v>1</v>
      </c>
      <c r="T146" s="127">
        <f t="shared" si="44"/>
        <v>1.1271522936451301E-2</v>
      </c>
      <c r="U146" s="47"/>
    </row>
    <row r="147" spans="2:22" ht="14" customHeight="1" thickTop="1" thickBot="1" x14ac:dyDescent="0.2">
      <c r="B147" s="29" t="s">
        <v>1</v>
      </c>
      <c r="C147" s="30" t="str">
        <f>C83</f>
        <v>Mardi</v>
      </c>
      <c r="D147" s="21" t="s">
        <v>1</v>
      </c>
      <c r="E147" s="21">
        <f>'Calendrier 2023'!E23</f>
        <v>44971</v>
      </c>
      <c r="F147" s="21" t="s">
        <v>1</v>
      </c>
      <c r="G147" s="21" t="s">
        <v>1</v>
      </c>
      <c r="H147" s="21" t="s">
        <v>1</v>
      </c>
      <c r="I147" s="21" t="s">
        <v>1</v>
      </c>
      <c r="J147" s="21" t="s">
        <v>1</v>
      </c>
      <c r="K147" s="21" t="s">
        <v>1</v>
      </c>
      <c r="L147" s="21" t="s">
        <v>1</v>
      </c>
      <c r="M147" s="21" t="s">
        <v>1</v>
      </c>
      <c r="N147" s="21" t="s">
        <v>1</v>
      </c>
      <c r="O147" s="21" t="s">
        <v>1</v>
      </c>
      <c r="P147" s="109" t="s">
        <v>1</v>
      </c>
      <c r="Q147" s="110"/>
      <c r="R147" s="51"/>
      <c r="S147" s="19" t="s">
        <v>1</v>
      </c>
      <c r="T147" s="22" t="s">
        <v>1</v>
      </c>
      <c r="U147" s="51"/>
      <c r="V147" s="51" t="s">
        <v>1</v>
      </c>
    </row>
    <row r="148" spans="2:22" ht="14" customHeight="1" thickTop="1" thickBot="1" x14ac:dyDescent="0.2">
      <c r="B148" s="23">
        <v>1</v>
      </c>
      <c r="C148" s="10" t="str">
        <f t="shared" ref="C148:C154" si="73">C139</f>
        <v>6 h à 9 h 30</v>
      </c>
      <c r="D148" s="11">
        <v>3</v>
      </c>
      <c r="E148" s="1260">
        <v>3</v>
      </c>
      <c r="F148" s="11">
        <v>4</v>
      </c>
      <c r="G148" s="11">
        <v>5</v>
      </c>
      <c r="H148" s="11">
        <v>6</v>
      </c>
      <c r="I148" s="11">
        <v>7</v>
      </c>
      <c r="J148" s="11">
        <v>8</v>
      </c>
      <c r="K148" s="11">
        <v>9</v>
      </c>
      <c r="L148" s="11">
        <v>9</v>
      </c>
      <c r="M148" s="11">
        <v>9</v>
      </c>
      <c r="N148" s="11">
        <v>9</v>
      </c>
      <c r="O148" s="11">
        <v>8</v>
      </c>
      <c r="P148" s="11">
        <v>8</v>
      </c>
      <c r="Q148" s="118">
        <f>+SUM(D148:P148)</f>
        <v>88</v>
      </c>
      <c r="R148" s="57"/>
      <c r="S148" s="122">
        <f t="shared" ref="S148:S154" si="74">SUM(D148:P148)/$Q$267</f>
        <v>1.6102175623501857E-3</v>
      </c>
      <c r="T148" s="128"/>
      <c r="U148" s="45"/>
    </row>
    <row r="149" spans="2:22" ht="14" customHeight="1" thickTop="1" thickBot="1" x14ac:dyDescent="0.2">
      <c r="B149" s="24">
        <v>2</v>
      </c>
      <c r="C149" s="13" t="str">
        <f t="shared" si="73"/>
        <v>9 h 30 à 11 h 30</v>
      </c>
      <c r="D149" s="14">
        <v>3</v>
      </c>
      <c r="E149" s="1261">
        <v>3</v>
      </c>
      <c r="F149" s="14">
        <v>4</v>
      </c>
      <c r="G149" s="14">
        <v>5</v>
      </c>
      <c r="H149" s="14">
        <v>6</v>
      </c>
      <c r="I149" s="14">
        <v>7</v>
      </c>
      <c r="J149" s="14">
        <v>8</v>
      </c>
      <c r="K149" s="14">
        <v>9</v>
      </c>
      <c r="L149" s="14">
        <v>9</v>
      </c>
      <c r="M149" s="14">
        <v>9</v>
      </c>
      <c r="N149" s="14">
        <v>9</v>
      </c>
      <c r="O149" s="14">
        <v>8</v>
      </c>
      <c r="P149" s="14">
        <v>8</v>
      </c>
      <c r="Q149" s="119">
        <f>+SUM(D149:P149)</f>
        <v>88</v>
      </c>
      <c r="R149" s="57"/>
      <c r="S149" s="124">
        <f t="shared" si="74"/>
        <v>1.6102175623501857E-3</v>
      </c>
      <c r="T149" s="129"/>
      <c r="U149" s="45"/>
    </row>
    <row r="150" spans="2:22" ht="14" customHeight="1" thickTop="1" thickBot="1" x14ac:dyDescent="0.2">
      <c r="B150" s="24">
        <v>3</v>
      </c>
      <c r="C150" s="13" t="str">
        <f t="shared" si="73"/>
        <v>11 h 30 à 14 h 30</v>
      </c>
      <c r="D150" s="14">
        <v>3</v>
      </c>
      <c r="E150" s="1261">
        <v>3</v>
      </c>
      <c r="F150" s="14">
        <v>4</v>
      </c>
      <c r="G150" s="14">
        <v>5</v>
      </c>
      <c r="H150" s="14">
        <v>6</v>
      </c>
      <c r="I150" s="14">
        <v>7</v>
      </c>
      <c r="J150" s="14">
        <v>8</v>
      </c>
      <c r="K150" s="14">
        <v>9</v>
      </c>
      <c r="L150" s="14">
        <v>9</v>
      </c>
      <c r="M150" s="14">
        <v>9</v>
      </c>
      <c r="N150" s="14">
        <v>9</v>
      </c>
      <c r="O150" s="14">
        <v>8</v>
      </c>
      <c r="P150" s="14">
        <v>8</v>
      </c>
      <c r="Q150" s="119">
        <f t="shared" ref="Q150:Q154" si="75">+SUM(D150:P150)</f>
        <v>88</v>
      </c>
      <c r="R150" s="57"/>
      <c r="S150" s="124">
        <f t="shared" si="74"/>
        <v>1.6102175623501857E-3</v>
      </c>
      <c r="T150" s="129"/>
      <c r="U150" s="45"/>
    </row>
    <row r="151" spans="2:22" ht="14" customHeight="1" thickTop="1" thickBot="1" x14ac:dyDescent="0.2">
      <c r="B151" s="24">
        <v>4</v>
      </c>
      <c r="C151" s="13" t="str">
        <f t="shared" si="73"/>
        <v>14 h 30 à 17 h</v>
      </c>
      <c r="D151" s="14">
        <v>3</v>
      </c>
      <c r="E151" s="1261">
        <v>3</v>
      </c>
      <c r="F151" s="14">
        <v>4</v>
      </c>
      <c r="G151" s="14">
        <v>5</v>
      </c>
      <c r="H151" s="14">
        <v>6</v>
      </c>
      <c r="I151" s="14">
        <v>7</v>
      </c>
      <c r="J151" s="14">
        <v>8</v>
      </c>
      <c r="K151" s="14">
        <v>9</v>
      </c>
      <c r="L151" s="14">
        <v>9</v>
      </c>
      <c r="M151" s="14">
        <v>9</v>
      </c>
      <c r="N151" s="14">
        <v>9</v>
      </c>
      <c r="O151" s="14">
        <v>8</v>
      </c>
      <c r="P151" s="14">
        <v>8</v>
      </c>
      <c r="Q151" s="119">
        <f t="shared" si="75"/>
        <v>88</v>
      </c>
      <c r="R151" s="57"/>
      <c r="S151" s="124">
        <f t="shared" si="74"/>
        <v>1.6102175623501857E-3</v>
      </c>
      <c r="T151" s="129"/>
      <c r="U151" s="45"/>
    </row>
    <row r="152" spans="2:22" ht="14" customHeight="1" thickTop="1" thickBot="1" x14ac:dyDescent="0.2">
      <c r="B152" s="24">
        <v>5</v>
      </c>
      <c r="C152" s="13" t="str">
        <f t="shared" si="73"/>
        <v>17 h à 19 h</v>
      </c>
      <c r="D152" s="14">
        <v>3</v>
      </c>
      <c r="E152" s="1261">
        <v>3</v>
      </c>
      <c r="F152" s="14">
        <v>4</v>
      </c>
      <c r="G152" s="14">
        <v>5</v>
      </c>
      <c r="H152" s="14">
        <v>6</v>
      </c>
      <c r="I152" s="14">
        <v>7</v>
      </c>
      <c r="J152" s="14">
        <v>8</v>
      </c>
      <c r="K152" s="14">
        <v>9</v>
      </c>
      <c r="L152" s="14">
        <v>9</v>
      </c>
      <c r="M152" s="14">
        <v>9</v>
      </c>
      <c r="N152" s="14">
        <v>9</v>
      </c>
      <c r="O152" s="14">
        <v>8</v>
      </c>
      <c r="P152" s="14">
        <v>8</v>
      </c>
      <c r="Q152" s="119">
        <f t="shared" si="75"/>
        <v>88</v>
      </c>
      <c r="R152" s="57"/>
      <c r="S152" s="124">
        <f t="shared" si="74"/>
        <v>1.6102175623501857E-3</v>
      </c>
      <c r="T152" s="129"/>
      <c r="U152" s="45"/>
    </row>
    <row r="153" spans="2:22" ht="14" customHeight="1" thickTop="1" thickBot="1" x14ac:dyDescent="0.2">
      <c r="B153" s="24">
        <v>6</v>
      </c>
      <c r="C153" s="13" t="str">
        <f t="shared" si="73"/>
        <v>19 h à 23 h</v>
      </c>
      <c r="D153" s="14">
        <v>3</v>
      </c>
      <c r="E153" s="1261">
        <v>3</v>
      </c>
      <c r="F153" s="14">
        <v>4</v>
      </c>
      <c r="G153" s="14">
        <v>5</v>
      </c>
      <c r="H153" s="14">
        <v>6</v>
      </c>
      <c r="I153" s="14">
        <v>7</v>
      </c>
      <c r="J153" s="14">
        <v>8</v>
      </c>
      <c r="K153" s="14">
        <v>9</v>
      </c>
      <c r="L153" s="14">
        <v>9</v>
      </c>
      <c r="M153" s="14">
        <v>9</v>
      </c>
      <c r="N153" s="14">
        <v>9</v>
      </c>
      <c r="O153" s="14">
        <v>8</v>
      </c>
      <c r="P153" s="14">
        <v>8</v>
      </c>
      <c r="Q153" s="119">
        <f t="shared" si="75"/>
        <v>88</v>
      </c>
      <c r="R153" s="57"/>
      <c r="S153" s="124">
        <f t="shared" si="74"/>
        <v>1.6102175623501857E-3</v>
      </c>
      <c r="T153" s="129"/>
      <c r="U153" s="45"/>
    </row>
    <row r="154" spans="2:22" ht="14" customHeight="1" thickTop="1" thickBot="1" x14ac:dyDescent="0.2">
      <c r="B154" s="24">
        <v>7</v>
      </c>
      <c r="C154" s="13" t="str">
        <f t="shared" si="73"/>
        <v>23 h à 6 h</v>
      </c>
      <c r="D154" s="14">
        <v>3</v>
      </c>
      <c r="E154" s="1261">
        <v>3</v>
      </c>
      <c r="F154" s="14">
        <v>4</v>
      </c>
      <c r="G154" s="14">
        <v>5</v>
      </c>
      <c r="H154" s="14">
        <v>6</v>
      </c>
      <c r="I154" s="14">
        <v>7</v>
      </c>
      <c r="J154" s="14">
        <v>8</v>
      </c>
      <c r="K154" s="14">
        <v>9</v>
      </c>
      <c r="L154" s="14">
        <v>9</v>
      </c>
      <c r="M154" s="14">
        <v>9</v>
      </c>
      <c r="N154" s="14">
        <v>9</v>
      </c>
      <c r="O154" s="14">
        <v>8</v>
      </c>
      <c r="P154" s="14">
        <v>8</v>
      </c>
      <c r="Q154" s="119">
        <f t="shared" si="75"/>
        <v>88</v>
      </c>
      <c r="R154" s="57"/>
      <c r="S154" s="124">
        <f t="shared" si="74"/>
        <v>1.6102175623501857E-3</v>
      </c>
      <c r="T154" s="129"/>
      <c r="U154" s="45"/>
    </row>
    <row r="155" spans="2:22" ht="14" customHeight="1" thickTop="1" thickBot="1" x14ac:dyDescent="0.2">
      <c r="B155" s="25"/>
      <c r="C155" s="32" t="str">
        <f t="shared" ref="C155" si="76">+C146</f>
        <v>Total</v>
      </c>
      <c r="D155" s="27">
        <f t="shared" ref="D155:L155" si="77">+D148+D149+D150+D151+D152+D153+D154</f>
        <v>21</v>
      </c>
      <c r="E155" s="1262">
        <f t="shared" si="77"/>
        <v>21</v>
      </c>
      <c r="F155" s="27">
        <f t="shared" si="77"/>
        <v>28</v>
      </c>
      <c r="G155" s="27">
        <f t="shared" si="77"/>
        <v>35</v>
      </c>
      <c r="H155" s="27">
        <f t="shared" si="77"/>
        <v>42</v>
      </c>
      <c r="I155" s="27">
        <f t="shared" si="77"/>
        <v>49</v>
      </c>
      <c r="J155" s="27">
        <f t="shared" si="77"/>
        <v>56</v>
      </c>
      <c r="K155" s="27">
        <f t="shared" si="77"/>
        <v>63</v>
      </c>
      <c r="L155" s="27">
        <f t="shared" si="77"/>
        <v>63</v>
      </c>
      <c r="M155" s="27">
        <f>+M148+M149+M150+M151+M152+M153+M154</f>
        <v>63</v>
      </c>
      <c r="N155" s="27">
        <f>+N148+N149+N150+N151+N152+N153+N154</f>
        <v>63</v>
      </c>
      <c r="O155" s="27">
        <f>+O148+O149+O150+O151+O152+O153+O154</f>
        <v>56</v>
      </c>
      <c r="P155" s="27">
        <f>+P148+P149+P150+P151+P152+P153+P154</f>
        <v>56</v>
      </c>
      <c r="Q155" s="105">
        <f>+SUM(D155:P155)</f>
        <v>616</v>
      </c>
      <c r="R155" s="59"/>
      <c r="S155" s="126" t="s">
        <v>1</v>
      </c>
      <c r="T155" s="130">
        <f t="shared" ref="T155:T210" si="78">SUM(S148:S154)</f>
        <v>1.1271522936451301E-2</v>
      </c>
      <c r="U155" s="47"/>
    </row>
    <row r="156" spans="2:22" ht="14" customHeight="1" thickTop="1" thickBot="1" x14ac:dyDescent="0.2">
      <c r="B156" s="29" t="s">
        <v>1</v>
      </c>
      <c r="C156" s="33" t="str">
        <f>C92</f>
        <v>Mercredi</v>
      </c>
      <c r="D156" s="21" t="s">
        <v>1</v>
      </c>
      <c r="E156" s="21">
        <f>'Calendrier 2023'!E24</f>
        <v>44972</v>
      </c>
      <c r="F156" s="21" t="s">
        <v>1</v>
      </c>
      <c r="G156" s="21" t="s">
        <v>1</v>
      </c>
      <c r="H156" s="21" t="s">
        <v>1</v>
      </c>
      <c r="I156" s="21" t="s">
        <v>1</v>
      </c>
      <c r="J156" s="21" t="s">
        <v>1</v>
      </c>
      <c r="K156" s="21" t="s">
        <v>1</v>
      </c>
      <c r="L156" s="21" t="s">
        <v>1</v>
      </c>
      <c r="M156" s="21" t="s">
        <v>1</v>
      </c>
      <c r="N156" s="21" t="s">
        <v>1</v>
      </c>
      <c r="O156" s="21" t="s">
        <v>1</v>
      </c>
      <c r="P156" s="109" t="s">
        <v>1</v>
      </c>
      <c r="Q156" s="110"/>
      <c r="R156" s="51"/>
      <c r="S156" s="19" t="s">
        <v>1</v>
      </c>
      <c r="T156" s="22" t="s">
        <v>1</v>
      </c>
      <c r="U156" s="51"/>
    </row>
    <row r="157" spans="2:22" ht="14" customHeight="1" thickTop="1" thickBot="1" x14ac:dyDescent="0.2">
      <c r="B157" s="23">
        <v>1</v>
      </c>
      <c r="C157" s="10" t="str">
        <f t="shared" ref="C157:C163" si="79">C148</f>
        <v>6 h à 9 h 30</v>
      </c>
      <c r="D157" s="11">
        <v>3</v>
      </c>
      <c r="E157" s="11">
        <v>3</v>
      </c>
      <c r="F157" s="11">
        <v>4</v>
      </c>
      <c r="G157" s="11">
        <v>5</v>
      </c>
      <c r="H157" s="11">
        <v>6</v>
      </c>
      <c r="I157" s="11">
        <v>7</v>
      </c>
      <c r="J157" s="11">
        <v>8</v>
      </c>
      <c r="K157" s="11">
        <v>9</v>
      </c>
      <c r="L157" s="11">
        <v>9</v>
      </c>
      <c r="M157" s="11">
        <v>9</v>
      </c>
      <c r="N157" s="11">
        <v>9</v>
      </c>
      <c r="O157" s="11">
        <v>8</v>
      </c>
      <c r="P157" s="11">
        <v>8</v>
      </c>
      <c r="Q157" s="118">
        <f>+SUM(D157:P157)</f>
        <v>88</v>
      </c>
      <c r="R157" s="57"/>
      <c r="S157" s="122">
        <f t="shared" ref="S157:S163" si="80">SUM(D157:P157)/$Q$267</f>
        <v>1.6102175623501857E-3</v>
      </c>
      <c r="T157" s="128"/>
      <c r="U157" s="45"/>
    </row>
    <row r="158" spans="2:22" ht="14" customHeight="1" thickTop="1" thickBot="1" x14ac:dyDescent="0.2">
      <c r="B158" s="24">
        <v>2</v>
      </c>
      <c r="C158" s="13" t="str">
        <f t="shared" si="79"/>
        <v>9 h 30 à 11 h 30</v>
      </c>
      <c r="D158" s="14">
        <v>3</v>
      </c>
      <c r="E158" s="14">
        <v>3</v>
      </c>
      <c r="F158" s="14">
        <v>4</v>
      </c>
      <c r="G158" s="14">
        <v>5</v>
      </c>
      <c r="H158" s="14">
        <v>6</v>
      </c>
      <c r="I158" s="14">
        <v>7</v>
      </c>
      <c r="J158" s="14">
        <v>8</v>
      </c>
      <c r="K158" s="14">
        <v>9</v>
      </c>
      <c r="L158" s="14">
        <v>9</v>
      </c>
      <c r="M158" s="14">
        <v>9</v>
      </c>
      <c r="N158" s="14">
        <v>9</v>
      </c>
      <c r="O158" s="14">
        <v>8</v>
      </c>
      <c r="P158" s="14">
        <v>8</v>
      </c>
      <c r="Q158" s="119">
        <f>+SUM(D158:P158)</f>
        <v>88</v>
      </c>
      <c r="R158" s="57"/>
      <c r="S158" s="124">
        <f t="shared" si="80"/>
        <v>1.6102175623501857E-3</v>
      </c>
      <c r="T158" s="129"/>
      <c r="U158" s="45"/>
    </row>
    <row r="159" spans="2:22" ht="14" customHeight="1" thickTop="1" thickBot="1" x14ac:dyDescent="0.2">
      <c r="B159" s="24">
        <v>3</v>
      </c>
      <c r="C159" s="13" t="str">
        <f t="shared" si="79"/>
        <v>11 h 30 à 14 h 30</v>
      </c>
      <c r="D159" s="14">
        <v>3</v>
      </c>
      <c r="E159" s="14">
        <v>3</v>
      </c>
      <c r="F159" s="14">
        <v>4</v>
      </c>
      <c r="G159" s="14">
        <v>5</v>
      </c>
      <c r="H159" s="14">
        <v>6</v>
      </c>
      <c r="I159" s="14">
        <v>7</v>
      </c>
      <c r="J159" s="14">
        <v>8</v>
      </c>
      <c r="K159" s="14">
        <v>9</v>
      </c>
      <c r="L159" s="14">
        <v>9</v>
      </c>
      <c r="M159" s="14">
        <v>9</v>
      </c>
      <c r="N159" s="14">
        <v>9</v>
      </c>
      <c r="O159" s="14">
        <v>8</v>
      </c>
      <c r="P159" s="14">
        <v>8</v>
      </c>
      <c r="Q159" s="119">
        <f t="shared" ref="Q159:Q163" si="81">+SUM(D159:P159)</f>
        <v>88</v>
      </c>
      <c r="R159" s="57"/>
      <c r="S159" s="124">
        <f t="shared" si="80"/>
        <v>1.6102175623501857E-3</v>
      </c>
      <c r="T159" s="129"/>
      <c r="U159" s="45"/>
    </row>
    <row r="160" spans="2:22" ht="14" customHeight="1" thickTop="1" thickBot="1" x14ac:dyDescent="0.2">
      <c r="B160" s="24">
        <v>4</v>
      </c>
      <c r="C160" s="13" t="str">
        <f t="shared" si="79"/>
        <v>14 h 30 à 17 h</v>
      </c>
      <c r="D160" s="14">
        <v>3</v>
      </c>
      <c r="E160" s="14">
        <v>3</v>
      </c>
      <c r="F160" s="14">
        <v>4</v>
      </c>
      <c r="G160" s="14">
        <v>5</v>
      </c>
      <c r="H160" s="14">
        <v>6</v>
      </c>
      <c r="I160" s="14">
        <v>7</v>
      </c>
      <c r="J160" s="14">
        <v>8</v>
      </c>
      <c r="K160" s="14">
        <v>9</v>
      </c>
      <c r="L160" s="14">
        <v>9</v>
      </c>
      <c r="M160" s="14">
        <v>9</v>
      </c>
      <c r="N160" s="14">
        <v>9</v>
      </c>
      <c r="O160" s="14">
        <v>8</v>
      </c>
      <c r="P160" s="14">
        <v>8</v>
      </c>
      <c r="Q160" s="119">
        <f t="shared" si="81"/>
        <v>88</v>
      </c>
      <c r="R160" s="57"/>
      <c r="S160" s="124">
        <f t="shared" si="80"/>
        <v>1.6102175623501857E-3</v>
      </c>
      <c r="T160" s="129"/>
      <c r="U160" s="45"/>
    </row>
    <row r="161" spans="2:24" ht="14" customHeight="1" thickTop="1" thickBot="1" x14ac:dyDescent="0.2">
      <c r="B161" s="24">
        <v>5</v>
      </c>
      <c r="C161" s="13" t="str">
        <f t="shared" si="79"/>
        <v>17 h à 19 h</v>
      </c>
      <c r="D161" s="14">
        <v>3</v>
      </c>
      <c r="E161" s="14">
        <v>3</v>
      </c>
      <c r="F161" s="14">
        <v>4</v>
      </c>
      <c r="G161" s="14">
        <v>5</v>
      </c>
      <c r="H161" s="14">
        <v>6</v>
      </c>
      <c r="I161" s="14">
        <v>7</v>
      </c>
      <c r="J161" s="14">
        <v>8</v>
      </c>
      <c r="K161" s="14">
        <v>9</v>
      </c>
      <c r="L161" s="14">
        <v>9</v>
      </c>
      <c r="M161" s="14">
        <v>9</v>
      </c>
      <c r="N161" s="14">
        <v>9</v>
      </c>
      <c r="O161" s="14">
        <v>8</v>
      </c>
      <c r="P161" s="14">
        <v>8</v>
      </c>
      <c r="Q161" s="119">
        <f t="shared" si="81"/>
        <v>88</v>
      </c>
      <c r="R161" s="57"/>
      <c r="S161" s="124">
        <f t="shared" si="80"/>
        <v>1.6102175623501857E-3</v>
      </c>
      <c r="T161" s="129"/>
      <c r="U161" s="45"/>
    </row>
    <row r="162" spans="2:24" ht="14" customHeight="1" thickTop="1" thickBot="1" x14ac:dyDescent="0.2">
      <c r="B162" s="24">
        <v>6</v>
      </c>
      <c r="C162" s="13" t="str">
        <f t="shared" si="79"/>
        <v>19 h à 23 h</v>
      </c>
      <c r="D162" s="14">
        <v>3</v>
      </c>
      <c r="E162" s="14">
        <v>3</v>
      </c>
      <c r="F162" s="14">
        <v>4</v>
      </c>
      <c r="G162" s="14">
        <v>5</v>
      </c>
      <c r="H162" s="14">
        <v>6</v>
      </c>
      <c r="I162" s="14">
        <v>7</v>
      </c>
      <c r="J162" s="14">
        <v>8</v>
      </c>
      <c r="K162" s="14">
        <v>9</v>
      </c>
      <c r="L162" s="14">
        <v>9</v>
      </c>
      <c r="M162" s="14">
        <v>9</v>
      </c>
      <c r="N162" s="14">
        <v>9</v>
      </c>
      <c r="O162" s="14">
        <v>8</v>
      </c>
      <c r="P162" s="14">
        <v>8</v>
      </c>
      <c r="Q162" s="119">
        <f t="shared" si="81"/>
        <v>88</v>
      </c>
      <c r="R162" s="57"/>
      <c r="S162" s="124">
        <f t="shared" si="80"/>
        <v>1.6102175623501857E-3</v>
      </c>
      <c r="T162" s="129"/>
      <c r="U162" s="45"/>
    </row>
    <row r="163" spans="2:24" ht="14" customHeight="1" thickTop="1" thickBot="1" x14ac:dyDescent="0.2">
      <c r="B163" s="24">
        <v>7</v>
      </c>
      <c r="C163" s="13" t="str">
        <f t="shared" si="79"/>
        <v>23 h à 6 h</v>
      </c>
      <c r="D163" s="14">
        <v>3</v>
      </c>
      <c r="E163" s="14">
        <v>3</v>
      </c>
      <c r="F163" s="14">
        <v>4</v>
      </c>
      <c r="G163" s="14">
        <v>5</v>
      </c>
      <c r="H163" s="14">
        <v>6</v>
      </c>
      <c r="I163" s="14">
        <v>7</v>
      </c>
      <c r="J163" s="14">
        <v>8</v>
      </c>
      <c r="K163" s="14">
        <v>9</v>
      </c>
      <c r="L163" s="14">
        <v>9</v>
      </c>
      <c r="M163" s="14">
        <v>9</v>
      </c>
      <c r="N163" s="14">
        <v>9</v>
      </c>
      <c r="O163" s="14">
        <v>8</v>
      </c>
      <c r="P163" s="14">
        <v>8</v>
      </c>
      <c r="Q163" s="119">
        <f t="shared" si="81"/>
        <v>88</v>
      </c>
      <c r="R163" s="57"/>
      <c r="S163" s="124">
        <f t="shared" si="80"/>
        <v>1.6102175623501857E-3</v>
      </c>
      <c r="T163" s="129"/>
      <c r="U163" s="45"/>
    </row>
    <row r="164" spans="2:24" ht="14" customHeight="1" thickTop="1" thickBot="1" x14ac:dyDescent="0.2">
      <c r="B164" s="25"/>
      <c r="C164" s="26" t="str">
        <f t="shared" ref="C164" si="82">+C146</f>
        <v>Total</v>
      </c>
      <c r="D164" s="27">
        <f t="shared" ref="D164:L164" si="83">+D157+D158+D159+D160+D161+D162+D163</f>
        <v>21</v>
      </c>
      <c r="E164" s="27">
        <f t="shared" si="83"/>
        <v>21</v>
      </c>
      <c r="F164" s="27">
        <f t="shared" si="83"/>
        <v>28</v>
      </c>
      <c r="G164" s="27">
        <f t="shared" si="83"/>
        <v>35</v>
      </c>
      <c r="H164" s="27">
        <f t="shared" si="83"/>
        <v>42</v>
      </c>
      <c r="I164" s="27">
        <f t="shared" si="83"/>
        <v>49</v>
      </c>
      <c r="J164" s="27">
        <f t="shared" si="83"/>
        <v>56</v>
      </c>
      <c r="K164" s="27">
        <f t="shared" si="83"/>
        <v>63</v>
      </c>
      <c r="L164" s="27">
        <f t="shared" si="83"/>
        <v>63</v>
      </c>
      <c r="M164" s="27">
        <f>+M157+M158+M159+M160+M161+M162+M163</f>
        <v>63</v>
      </c>
      <c r="N164" s="27">
        <f>+N157+N158+N159+N160+N161+N162+N163</f>
        <v>63</v>
      </c>
      <c r="O164" s="27">
        <f>+O157+O158+O159+O160+O161+O162+O163</f>
        <v>56</v>
      </c>
      <c r="P164" s="27">
        <f>+P157+P158+P159+P160+P161+P162+P163</f>
        <v>56</v>
      </c>
      <c r="Q164" s="105">
        <f>+SUM(D164:P164)</f>
        <v>616</v>
      </c>
      <c r="R164" s="59"/>
      <c r="S164" s="126" t="s">
        <v>1</v>
      </c>
      <c r="T164" s="127">
        <f t="shared" si="78"/>
        <v>1.1271522936451301E-2</v>
      </c>
      <c r="U164" s="47"/>
    </row>
    <row r="165" spans="2:24" ht="14" customHeight="1" thickTop="1" thickBot="1" x14ac:dyDescent="0.2">
      <c r="B165" s="29" t="s">
        <v>1</v>
      </c>
      <c r="C165" s="30" t="str">
        <f>C101</f>
        <v>Jeudi</v>
      </c>
      <c r="D165" s="21" t="s">
        <v>1</v>
      </c>
      <c r="E165" s="21">
        <f>'Calendrier 2023'!E25</f>
        <v>44973</v>
      </c>
      <c r="F165" s="21" t="s">
        <v>1</v>
      </c>
      <c r="G165" s="21" t="s">
        <v>1</v>
      </c>
      <c r="H165" s="21" t="s">
        <v>1</v>
      </c>
      <c r="I165" s="21" t="s">
        <v>1</v>
      </c>
      <c r="J165" s="21" t="s">
        <v>1</v>
      </c>
      <c r="K165" s="21" t="s">
        <v>1</v>
      </c>
      <c r="L165" s="21" t="s">
        <v>1</v>
      </c>
      <c r="M165" s="21" t="s">
        <v>1</v>
      </c>
      <c r="N165" s="21" t="s">
        <v>1</v>
      </c>
      <c r="O165" s="21" t="s">
        <v>1</v>
      </c>
      <c r="P165" s="109" t="s">
        <v>1</v>
      </c>
      <c r="Q165" s="110"/>
      <c r="R165" s="51"/>
      <c r="S165" s="19" t="s">
        <v>1</v>
      </c>
      <c r="T165" s="22" t="s">
        <v>1</v>
      </c>
      <c r="U165" s="51" t="s">
        <v>1</v>
      </c>
      <c r="V165" s="51" t="s">
        <v>1</v>
      </c>
      <c r="W165" s="51" t="s">
        <v>1</v>
      </c>
      <c r="X165" s="52"/>
    </row>
    <row r="166" spans="2:24" ht="14" customHeight="1" thickTop="1" thickBot="1" x14ac:dyDescent="0.2">
      <c r="B166" s="23">
        <v>1</v>
      </c>
      <c r="C166" s="10" t="str">
        <f t="shared" ref="C166:C172" si="84">C157</f>
        <v>6 h à 9 h 30</v>
      </c>
      <c r="D166" s="11">
        <v>3</v>
      </c>
      <c r="E166" s="11">
        <v>3</v>
      </c>
      <c r="F166" s="11">
        <v>4</v>
      </c>
      <c r="G166" s="11">
        <v>5</v>
      </c>
      <c r="H166" s="11">
        <v>6</v>
      </c>
      <c r="I166" s="11">
        <v>7</v>
      </c>
      <c r="J166" s="11">
        <v>8</v>
      </c>
      <c r="K166" s="11">
        <v>9</v>
      </c>
      <c r="L166" s="11">
        <v>9</v>
      </c>
      <c r="M166" s="11">
        <v>9</v>
      </c>
      <c r="N166" s="11">
        <v>9</v>
      </c>
      <c r="O166" s="11">
        <v>8</v>
      </c>
      <c r="P166" s="11">
        <v>8</v>
      </c>
      <c r="Q166" s="118">
        <f>+SUM(D166:P166)</f>
        <v>88</v>
      </c>
      <c r="R166" s="57"/>
      <c r="S166" s="122">
        <f t="shared" ref="S166:S172" si="85">SUM(D166:P166)/$Q$267</f>
        <v>1.6102175623501857E-3</v>
      </c>
      <c r="T166" s="128"/>
      <c r="U166" s="45"/>
    </row>
    <row r="167" spans="2:24" ht="14" customHeight="1" thickTop="1" thickBot="1" x14ac:dyDescent="0.2">
      <c r="B167" s="24">
        <v>2</v>
      </c>
      <c r="C167" s="13" t="str">
        <f t="shared" si="84"/>
        <v>9 h 30 à 11 h 30</v>
      </c>
      <c r="D167" s="14">
        <v>3</v>
      </c>
      <c r="E167" s="14">
        <v>3</v>
      </c>
      <c r="F167" s="14">
        <v>4</v>
      </c>
      <c r="G167" s="14">
        <v>5</v>
      </c>
      <c r="H167" s="14">
        <v>6</v>
      </c>
      <c r="I167" s="14">
        <v>7</v>
      </c>
      <c r="J167" s="14">
        <v>8</v>
      </c>
      <c r="K167" s="14">
        <v>9</v>
      </c>
      <c r="L167" s="14">
        <v>9</v>
      </c>
      <c r="M167" s="14">
        <v>9</v>
      </c>
      <c r="N167" s="14">
        <v>9</v>
      </c>
      <c r="O167" s="14">
        <v>8</v>
      </c>
      <c r="P167" s="14">
        <v>8</v>
      </c>
      <c r="Q167" s="119">
        <f>+SUM(D167:P167)</f>
        <v>88</v>
      </c>
      <c r="R167" s="57"/>
      <c r="S167" s="124">
        <f t="shared" si="85"/>
        <v>1.6102175623501857E-3</v>
      </c>
      <c r="T167" s="129"/>
      <c r="U167" s="45"/>
    </row>
    <row r="168" spans="2:24" ht="14" customHeight="1" thickTop="1" thickBot="1" x14ac:dyDescent="0.2">
      <c r="B168" s="24">
        <v>3</v>
      </c>
      <c r="C168" s="13" t="str">
        <f t="shared" si="84"/>
        <v>11 h 30 à 14 h 30</v>
      </c>
      <c r="D168" s="14">
        <v>3</v>
      </c>
      <c r="E168" s="14">
        <v>3</v>
      </c>
      <c r="F168" s="14">
        <v>4</v>
      </c>
      <c r="G168" s="14">
        <v>5</v>
      </c>
      <c r="H168" s="14">
        <v>6</v>
      </c>
      <c r="I168" s="14">
        <v>7</v>
      </c>
      <c r="J168" s="14">
        <v>8</v>
      </c>
      <c r="K168" s="14">
        <v>9</v>
      </c>
      <c r="L168" s="14">
        <v>9</v>
      </c>
      <c r="M168" s="14">
        <v>9</v>
      </c>
      <c r="N168" s="14">
        <v>9</v>
      </c>
      <c r="O168" s="14">
        <v>8</v>
      </c>
      <c r="P168" s="14">
        <v>8</v>
      </c>
      <c r="Q168" s="119">
        <f t="shared" ref="Q168:Q172" si="86">+SUM(D168:P168)</f>
        <v>88</v>
      </c>
      <c r="R168" s="57"/>
      <c r="S168" s="124">
        <f t="shared" si="85"/>
        <v>1.6102175623501857E-3</v>
      </c>
      <c r="T168" s="129"/>
      <c r="U168" s="45"/>
    </row>
    <row r="169" spans="2:24" ht="14" customHeight="1" thickTop="1" thickBot="1" x14ac:dyDescent="0.2">
      <c r="B169" s="24">
        <v>4</v>
      </c>
      <c r="C169" s="13" t="str">
        <f t="shared" si="84"/>
        <v>14 h 30 à 17 h</v>
      </c>
      <c r="D169" s="14">
        <v>3</v>
      </c>
      <c r="E169" s="14">
        <v>3</v>
      </c>
      <c r="F169" s="14">
        <v>4</v>
      </c>
      <c r="G169" s="14">
        <v>5</v>
      </c>
      <c r="H169" s="14">
        <v>6</v>
      </c>
      <c r="I169" s="14">
        <v>7</v>
      </c>
      <c r="J169" s="14">
        <v>8</v>
      </c>
      <c r="K169" s="14">
        <v>9</v>
      </c>
      <c r="L169" s="14">
        <v>9</v>
      </c>
      <c r="M169" s="14">
        <v>9</v>
      </c>
      <c r="N169" s="14">
        <v>9</v>
      </c>
      <c r="O169" s="14">
        <v>8</v>
      </c>
      <c r="P169" s="14">
        <v>8</v>
      </c>
      <c r="Q169" s="119">
        <f t="shared" si="86"/>
        <v>88</v>
      </c>
      <c r="R169" s="57"/>
      <c r="S169" s="124">
        <f t="shared" si="85"/>
        <v>1.6102175623501857E-3</v>
      </c>
      <c r="T169" s="129"/>
      <c r="U169" s="45"/>
    </row>
    <row r="170" spans="2:24" ht="14" customHeight="1" thickTop="1" thickBot="1" x14ac:dyDescent="0.2">
      <c r="B170" s="24">
        <v>5</v>
      </c>
      <c r="C170" s="13" t="str">
        <f t="shared" si="84"/>
        <v>17 h à 19 h</v>
      </c>
      <c r="D170" s="14">
        <v>3</v>
      </c>
      <c r="E170" s="14">
        <v>3</v>
      </c>
      <c r="F170" s="14">
        <v>4</v>
      </c>
      <c r="G170" s="14">
        <v>5</v>
      </c>
      <c r="H170" s="14">
        <v>6</v>
      </c>
      <c r="I170" s="14">
        <v>7</v>
      </c>
      <c r="J170" s="14">
        <v>8</v>
      </c>
      <c r="K170" s="14">
        <v>9</v>
      </c>
      <c r="L170" s="14">
        <v>9</v>
      </c>
      <c r="M170" s="14">
        <v>9</v>
      </c>
      <c r="N170" s="14">
        <v>9</v>
      </c>
      <c r="O170" s="14">
        <v>8</v>
      </c>
      <c r="P170" s="14">
        <v>8</v>
      </c>
      <c r="Q170" s="119">
        <f t="shared" si="86"/>
        <v>88</v>
      </c>
      <c r="R170" s="57"/>
      <c r="S170" s="124">
        <f t="shared" si="85"/>
        <v>1.6102175623501857E-3</v>
      </c>
      <c r="T170" s="129"/>
      <c r="U170" s="45"/>
    </row>
    <row r="171" spans="2:24" ht="14" customHeight="1" thickTop="1" thickBot="1" x14ac:dyDescent="0.2">
      <c r="B171" s="24">
        <v>6</v>
      </c>
      <c r="C171" s="13" t="str">
        <f t="shared" si="84"/>
        <v>19 h à 23 h</v>
      </c>
      <c r="D171" s="14">
        <v>3</v>
      </c>
      <c r="E171" s="14">
        <v>3</v>
      </c>
      <c r="F171" s="14">
        <v>4</v>
      </c>
      <c r="G171" s="14">
        <v>5</v>
      </c>
      <c r="H171" s="14">
        <v>6</v>
      </c>
      <c r="I171" s="14">
        <v>7</v>
      </c>
      <c r="J171" s="14">
        <v>8</v>
      </c>
      <c r="K171" s="14">
        <v>9</v>
      </c>
      <c r="L171" s="14">
        <v>9</v>
      </c>
      <c r="M171" s="14">
        <v>9</v>
      </c>
      <c r="N171" s="14">
        <v>9</v>
      </c>
      <c r="O171" s="14">
        <v>8</v>
      </c>
      <c r="P171" s="14">
        <v>8</v>
      </c>
      <c r="Q171" s="119">
        <f t="shared" si="86"/>
        <v>88</v>
      </c>
      <c r="R171" s="57"/>
      <c r="S171" s="124">
        <f t="shared" si="85"/>
        <v>1.6102175623501857E-3</v>
      </c>
      <c r="T171" s="129"/>
      <c r="U171" s="45"/>
    </row>
    <row r="172" spans="2:24" ht="14" customHeight="1" thickTop="1" thickBot="1" x14ac:dyDescent="0.2">
      <c r="B172" s="24">
        <v>7</v>
      </c>
      <c r="C172" s="13" t="str">
        <f t="shared" si="84"/>
        <v>23 h à 6 h</v>
      </c>
      <c r="D172" s="14">
        <v>3</v>
      </c>
      <c r="E172" s="14">
        <v>3</v>
      </c>
      <c r="F172" s="14">
        <v>4</v>
      </c>
      <c r="G172" s="14">
        <v>5</v>
      </c>
      <c r="H172" s="14">
        <v>6</v>
      </c>
      <c r="I172" s="14">
        <v>7</v>
      </c>
      <c r="J172" s="14">
        <v>8</v>
      </c>
      <c r="K172" s="14">
        <v>9</v>
      </c>
      <c r="L172" s="14">
        <v>9</v>
      </c>
      <c r="M172" s="14">
        <v>9</v>
      </c>
      <c r="N172" s="14">
        <v>9</v>
      </c>
      <c r="O172" s="14">
        <v>8</v>
      </c>
      <c r="P172" s="14">
        <v>8</v>
      </c>
      <c r="Q172" s="119">
        <f t="shared" si="86"/>
        <v>88</v>
      </c>
      <c r="R172" s="57"/>
      <c r="S172" s="124">
        <f t="shared" si="85"/>
        <v>1.6102175623501857E-3</v>
      </c>
      <c r="T172" s="129"/>
      <c r="U172" s="45"/>
    </row>
    <row r="173" spans="2:24" ht="14" customHeight="1" thickTop="1" thickBot="1" x14ac:dyDescent="0.2">
      <c r="B173" s="25"/>
      <c r="C173" s="54" t="str">
        <f>C164</f>
        <v>Total</v>
      </c>
      <c r="D173" s="27">
        <f t="shared" ref="D173:L173" si="87">+D166+D167+D168+D169+D170+D171+D172</f>
        <v>21</v>
      </c>
      <c r="E173" s="27">
        <f t="shared" si="87"/>
        <v>21</v>
      </c>
      <c r="F173" s="27">
        <f t="shared" si="87"/>
        <v>28</v>
      </c>
      <c r="G173" s="27">
        <f t="shared" si="87"/>
        <v>35</v>
      </c>
      <c r="H173" s="27">
        <f t="shared" si="87"/>
        <v>42</v>
      </c>
      <c r="I173" s="27">
        <f t="shared" si="87"/>
        <v>49</v>
      </c>
      <c r="J173" s="27">
        <f t="shared" si="87"/>
        <v>56</v>
      </c>
      <c r="K173" s="27">
        <f t="shared" si="87"/>
        <v>63</v>
      </c>
      <c r="L173" s="27">
        <f t="shared" si="87"/>
        <v>63</v>
      </c>
      <c r="M173" s="27">
        <f>+M166+M167+M168+M169+M170+M171+M172</f>
        <v>63</v>
      </c>
      <c r="N173" s="27">
        <f>+N166+N167+N168+N169+N170+N171+N172</f>
        <v>63</v>
      </c>
      <c r="O173" s="27">
        <f>+O166+O167+O168+O169+O170+O171+O172</f>
        <v>56</v>
      </c>
      <c r="P173" s="27">
        <f>+P166+P167+P168+P169+P170+P171+P172</f>
        <v>56</v>
      </c>
      <c r="Q173" s="105">
        <f>+SUM(D173:P173)</f>
        <v>616</v>
      </c>
      <c r="R173" s="59"/>
      <c r="S173" s="126" t="s">
        <v>1</v>
      </c>
      <c r="T173" s="130">
        <f t="shared" si="78"/>
        <v>1.1271522936451301E-2</v>
      </c>
      <c r="U173" s="47"/>
    </row>
    <row r="174" spans="2:24" ht="14" customHeight="1" thickTop="1" thickBot="1" x14ac:dyDescent="0.2">
      <c r="B174" s="29" t="s">
        <v>1</v>
      </c>
      <c r="C174" s="33" t="str">
        <f>C110</f>
        <v>Vendredi</v>
      </c>
      <c r="D174" s="21" t="s">
        <v>1</v>
      </c>
      <c r="E174" s="21">
        <f>'Calendrier 2023'!E26</f>
        <v>44974</v>
      </c>
      <c r="F174" s="21" t="s">
        <v>1</v>
      </c>
      <c r="G174" s="21" t="s">
        <v>1</v>
      </c>
      <c r="H174" s="21" t="s">
        <v>1</v>
      </c>
      <c r="I174" s="21" t="s">
        <v>1</v>
      </c>
      <c r="J174" s="21" t="s">
        <v>1</v>
      </c>
      <c r="K174" s="21" t="s">
        <v>1</v>
      </c>
      <c r="L174" s="21" t="s">
        <v>1</v>
      </c>
      <c r="M174" s="21" t="s">
        <v>1</v>
      </c>
      <c r="N174" s="21" t="s">
        <v>1</v>
      </c>
      <c r="O174" s="21" t="s">
        <v>1</v>
      </c>
      <c r="P174" s="109" t="s">
        <v>1</v>
      </c>
      <c r="Q174" s="110"/>
      <c r="R174" s="51"/>
      <c r="S174" s="19" t="s">
        <v>1</v>
      </c>
      <c r="T174" s="22" t="s">
        <v>1</v>
      </c>
      <c r="U174" s="51" t="s">
        <v>1</v>
      </c>
      <c r="V174" s="51" t="s">
        <v>1</v>
      </c>
      <c r="W174" s="52"/>
    </row>
    <row r="175" spans="2:24" ht="14" customHeight="1" thickTop="1" thickBot="1" x14ac:dyDescent="0.2">
      <c r="B175" s="23">
        <v>1</v>
      </c>
      <c r="C175" s="10" t="str">
        <f t="shared" ref="C175:C181" si="88">C166</f>
        <v>6 h à 9 h 30</v>
      </c>
      <c r="D175" s="11">
        <v>3</v>
      </c>
      <c r="E175" s="11">
        <v>3</v>
      </c>
      <c r="F175" s="11">
        <v>4</v>
      </c>
      <c r="G175" s="11">
        <v>5</v>
      </c>
      <c r="H175" s="11">
        <v>6</v>
      </c>
      <c r="I175" s="11">
        <v>7</v>
      </c>
      <c r="J175" s="11">
        <v>8</v>
      </c>
      <c r="K175" s="11">
        <v>9</v>
      </c>
      <c r="L175" s="11">
        <v>9</v>
      </c>
      <c r="M175" s="11">
        <v>9</v>
      </c>
      <c r="N175" s="11">
        <v>9</v>
      </c>
      <c r="O175" s="11">
        <v>8</v>
      </c>
      <c r="P175" s="11">
        <v>8</v>
      </c>
      <c r="Q175" s="118">
        <f>+SUM(D175:P175)</f>
        <v>88</v>
      </c>
      <c r="R175" s="57"/>
      <c r="S175" s="131">
        <f t="shared" ref="S175:S181" si="89">SUM(D175:P175)/$Q$267</f>
        <v>1.6102175623501857E-3</v>
      </c>
      <c r="T175" s="132"/>
      <c r="U175" s="45"/>
    </row>
    <row r="176" spans="2:24" ht="14" customHeight="1" thickTop="1" thickBot="1" x14ac:dyDescent="0.2">
      <c r="B176" s="24">
        <v>2</v>
      </c>
      <c r="C176" s="13" t="str">
        <f t="shared" si="88"/>
        <v>9 h 30 à 11 h 30</v>
      </c>
      <c r="D176" s="14">
        <v>3</v>
      </c>
      <c r="E176" s="14">
        <v>3</v>
      </c>
      <c r="F176" s="14">
        <v>4</v>
      </c>
      <c r="G176" s="14">
        <v>5</v>
      </c>
      <c r="H176" s="14">
        <v>6</v>
      </c>
      <c r="I176" s="14">
        <v>7</v>
      </c>
      <c r="J176" s="14">
        <v>8</v>
      </c>
      <c r="K176" s="14">
        <v>9</v>
      </c>
      <c r="L176" s="14">
        <v>9</v>
      </c>
      <c r="M176" s="14">
        <v>9</v>
      </c>
      <c r="N176" s="14">
        <v>9</v>
      </c>
      <c r="O176" s="14">
        <v>8</v>
      </c>
      <c r="P176" s="14">
        <v>8</v>
      </c>
      <c r="Q176" s="119">
        <f>+SUM(D176:P176)</f>
        <v>88</v>
      </c>
      <c r="R176" s="57"/>
      <c r="S176" s="133">
        <f t="shared" si="89"/>
        <v>1.6102175623501857E-3</v>
      </c>
      <c r="T176" s="134"/>
      <c r="U176" s="45"/>
    </row>
    <row r="177" spans="2:24" ht="14" customHeight="1" thickTop="1" thickBot="1" x14ac:dyDescent="0.2">
      <c r="B177" s="24">
        <v>3</v>
      </c>
      <c r="C177" s="13" t="str">
        <f t="shared" si="88"/>
        <v>11 h 30 à 14 h 30</v>
      </c>
      <c r="D177" s="37">
        <v>3</v>
      </c>
      <c r="E177" s="37">
        <v>3</v>
      </c>
      <c r="F177" s="37">
        <v>4</v>
      </c>
      <c r="G177" s="37">
        <v>5</v>
      </c>
      <c r="H177" s="37">
        <v>6</v>
      </c>
      <c r="I177" s="37">
        <v>7</v>
      </c>
      <c r="J177" s="37">
        <v>8</v>
      </c>
      <c r="K177" s="37">
        <v>9</v>
      </c>
      <c r="L177" s="37">
        <v>9</v>
      </c>
      <c r="M177" s="37">
        <v>9</v>
      </c>
      <c r="N177" s="37">
        <v>9</v>
      </c>
      <c r="O177" s="37">
        <v>8</v>
      </c>
      <c r="P177" s="37">
        <v>8</v>
      </c>
      <c r="Q177" s="119">
        <f t="shared" ref="Q177:Q181" si="90">+SUM(D177:P177)</f>
        <v>88</v>
      </c>
      <c r="R177" s="57"/>
      <c r="S177" s="133">
        <f t="shared" si="89"/>
        <v>1.6102175623501857E-3</v>
      </c>
      <c r="T177" s="134"/>
      <c r="U177" s="45"/>
    </row>
    <row r="178" spans="2:24" ht="14" customHeight="1" thickTop="1" thickBot="1" x14ac:dyDescent="0.2">
      <c r="B178" s="24">
        <v>4</v>
      </c>
      <c r="C178" s="13" t="str">
        <f t="shared" si="88"/>
        <v>14 h 30 à 17 h</v>
      </c>
      <c r="D178" s="37">
        <v>3</v>
      </c>
      <c r="E178" s="37">
        <v>3</v>
      </c>
      <c r="F178" s="37">
        <v>4</v>
      </c>
      <c r="G178" s="37">
        <v>5</v>
      </c>
      <c r="H178" s="37">
        <v>6</v>
      </c>
      <c r="I178" s="37">
        <v>7</v>
      </c>
      <c r="J178" s="37">
        <v>8</v>
      </c>
      <c r="K178" s="37">
        <v>9</v>
      </c>
      <c r="L178" s="37">
        <v>9</v>
      </c>
      <c r="M178" s="37">
        <v>9</v>
      </c>
      <c r="N178" s="37">
        <v>9</v>
      </c>
      <c r="O178" s="37">
        <v>8</v>
      </c>
      <c r="P178" s="37">
        <v>8</v>
      </c>
      <c r="Q178" s="119">
        <f t="shared" si="90"/>
        <v>88</v>
      </c>
      <c r="R178" s="57"/>
      <c r="S178" s="133">
        <f t="shared" si="89"/>
        <v>1.6102175623501857E-3</v>
      </c>
      <c r="T178" s="134"/>
      <c r="U178" s="45"/>
    </row>
    <row r="179" spans="2:24" ht="14" customHeight="1" thickTop="1" thickBot="1" x14ac:dyDescent="0.2">
      <c r="B179" s="24">
        <v>5</v>
      </c>
      <c r="C179" s="13" t="str">
        <f t="shared" si="88"/>
        <v>17 h à 19 h</v>
      </c>
      <c r="D179" s="37">
        <v>3</v>
      </c>
      <c r="E179" s="37">
        <v>3</v>
      </c>
      <c r="F179" s="37">
        <v>4</v>
      </c>
      <c r="G179" s="37">
        <v>5</v>
      </c>
      <c r="H179" s="37">
        <v>6</v>
      </c>
      <c r="I179" s="37">
        <v>7</v>
      </c>
      <c r="J179" s="37">
        <v>8</v>
      </c>
      <c r="K179" s="37">
        <v>9</v>
      </c>
      <c r="L179" s="37">
        <v>9</v>
      </c>
      <c r="M179" s="37">
        <v>9</v>
      </c>
      <c r="N179" s="37">
        <v>9</v>
      </c>
      <c r="O179" s="37">
        <v>8</v>
      </c>
      <c r="P179" s="37">
        <v>8</v>
      </c>
      <c r="Q179" s="119">
        <f t="shared" si="90"/>
        <v>88</v>
      </c>
      <c r="R179" s="57"/>
      <c r="S179" s="133">
        <f t="shared" si="89"/>
        <v>1.6102175623501857E-3</v>
      </c>
      <c r="T179" s="134"/>
      <c r="U179" s="45"/>
    </row>
    <row r="180" spans="2:24" ht="14" customHeight="1" thickTop="1" thickBot="1" x14ac:dyDescent="0.2">
      <c r="B180" s="24">
        <v>6</v>
      </c>
      <c r="C180" s="13" t="str">
        <f t="shared" si="88"/>
        <v>19 h à 23 h</v>
      </c>
      <c r="D180" s="37">
        <v>3</v>
      </c>
      <c r="E180" s="37">
        <v>3</v>
      </c>
      <c r="F180" s="37">
        <v>4</v>
      </c>
      <c r="G180" s="37">
        <v>5</v>
      </c>
      <c r="H180" s="37">
        <v>6</v>
      </c>
      <c r="I180" s="37">
        <v>7</v>
      </c>
      <c r="J180" s="37">
        <v>8</v>
      </c>
      <c r="K180" s="37">
        <v>9</v>
      </c>
      <c r="L180" s="37">
        <v>9</v>
      </c>
      <c r="M180" s="37">
        <v>9</v>
      </c>
      <c r="N180" s="37">
        <v>9</v>
      </c>
      <c r="O180" s="37">
        <v>8</v>
      </c>
      <c r="P180" s="37">
        <v>8</v>
      </c>
      <c r="Q180" s="119">
        <f t="shared" si="90"/>
        <v>88</v>
      </c>
      <c r="R180" s="57"/>
      <c r="S180" s="133">
        <f t="shared" si="89"/>
        <v>1.6102175623501857E-3</v>
      </c>
      <c r="T180" s="134"/>
      <c r="U180" s="45"/>
    </row>
    <row r="181" spans="2:24" ht="14" customHeight="1" thickTop="1" thickBot="1" x14ac:dyDescent="0.2">
      <c r="B181" s="24">
        <v>7</v>
      </c>
      <c r="C181" s="13" t="str">
        <f t="shared" si="88"/>
        <v>23 h à 6 h</v>
      </c>
      <c r="D181" s="14">
        <v>3</v>
      </c>
      <c r="E181" s="14">
        <v>3</v>
      </c>
      <c r="F181" s="14">
        <v>4</v>
      </c>
      <c r="G181" s="14">
        <v>5</v>
      </c>
      <c r="H181" s="14">
        <v>6</v>
      </c>
      <c r="I181" s="14">
        <v>7</v>
      </c>
      <c r="J181" s="14">
        <v>8</v>
      </c>
      <c r="K181" s="14">
        <v>9</v>
      </c>
      <c r="L181" s="14">
        <v>9</v>
      </c>
      <c r="M181" s="14">
        <v>9</v>
      </c>
      <c r="N181" s="14">
        <v>9</v>
      </c>
      <c r="O181" s="14">
        <v>8</v>
      </c>
      <c r="P181" s="14">
        <v>8</v>
      </c>
      <c r="Q181" s="119">
        <f t="shared" si="90"/>
        <v>88</v>
      </c>
      <c r="R181" s="57"/>
      <c r="S181" s="133">
        <f t="shared" si="89"/>
        <v>1.6102175623501857E-3</v>
      </c>
      <c r="T181" s="134"/>
      <c r="U181" s="45"/>
    </row>
    <row r="182" spans="2:24" ht="14" customHeight="1" thickTop="1" thickBot="1" x14ac:dyDescent="0.2">
      <c r="B182" s="25"/>
      <c r="C182" s="26" t="str">
        <f t="shared" ref="C182" si="91">+C173</f>
        <v>Total</v>
      </c>
      <c r="D182" s="27">
        <f t="shared" ref="D182:L182" si="92">+D175+D176+D177+D178+D179+D180+D181</f>
        <v>21</v>
      </c>
      <c r="E182" s="27">
        <f t="shared" si="92"/>
        <v>21</v>
      </c>
      <c r="F182" s="27">
        <f t="shared" si="92"/>
        <v>28</v>
      </c>
      <c r="G182" s="27">
        <f t="shared" si="92"/>
        <v>35</v>
      </c>
      <c r="H182" s="27">
        <f t="shared" si="92"/>
        <v>42</v>
      </c>
      <c r="I182" s="27">
        <f t="shared" si="92"/>
        <v>49</v>
      </c>
      <c r="J182" s="27">
        <f t="shared" si="92"/>
        <v>56</v>
      </c>
      <c r="K182" s="27">
        <f t="shared" si="92"/>
        <v>63</v>
      </c>
      <c r="L182" s="27">
        <f t="shared" si="92"/>
        <v>63</v>
      </c>
      <c r="M182" s="27">
        <f>+M175+M176+M177+M178+M179+M180+M181</f>
        <v>63</v>
      </c>
      <c r="N182" s="27">
        <f>+N175+N176+N177+N178+N179+N180+N181</f>
        <v>63</v>
      </c>
      <c r="O182" s="27">
        <f>+O175+O176+O177+O178+O179+O180+O181</f>
        <v>56</v>
      </c>
      <c r="P182" s="27">
        <f>+P175+P176+P177+P178+P179+P180+P181</f>
        <v>56</v>
      </c>
      <c r="Q182" s="105">
        <f>+SUM(D182:P182)</f>
        <v>616</v>
      </c>
      <c r="R182" s="59"/>
      <c r="S182" s="135" t="s">
        <v>1</v>
      </c>
      <c r="T182" s="136">
        <f t="shared" si="78"/>
        <v>1.1271522936451301E-2</v>
      </c>
      <c r="U182" s="47"/>
    </row>
    <row r="183" spans="2:24" ht="14" customHeight="1" thickTop="1" thickBot="1" x14ac:dyDescent="0.2">
      <c r="B183" s="29" t="s">
        <v>1</v>
      </c>
      <c r="C183" s="30" t="str">
        <f>C119</f>
        <v>Samedi</v>
      </c>
      <c r="D183" s="21" t="s">
        <v>1</v>
      </c>
      <c r="E183" s="21">
        <f>'Calendrier 2023'!E27</f>
        <v>44975</v>
      </c>
      <c r="F183" s="21" t="s">
        <v>1</v>
      </c>
      <c r="G183" s="21" t="s">
        <v>1</v>
      </c>
      <c r="H183" s="21" t="s">
        <v>1</v>
      </c>
      <c r="I183" s="21" t="s">
        <v>1</v>
      </c>
      <c r="J183" s="21" t="s">
        <v>1</v>
      </c>
      <c r="K183" s="21" t="s">
        <v>1</v>
      </c>
      <c r="L183" s="21" t="s">
        <v>1</v>
      </c>
      <c r="M183" s="21" t="s">
        <v>1</v>
      </c>
      <c r="N183" s="21" t="s">
        <v>1</v>
      </c>
      <c r="O183" s="21" t="s">
        <v>1</v>
      </c>
      <c r="P183" s="109" t="s">
        <v>1</v>
      </c>
      <c r="Q183" s="110"/>
      <c r="R183" s="51"/>
      <c r="S183" s="19" t="s">
        <v>1</v>
      </c>
      <c r="T183" s="22" t="s">
        <v>1</v>
      </c>
      <c r="U183" s="51" t="s">
        <v>1</v>
      </c>
      <c r="V183" s="51" t="s">
        <v>1</v>
      </c>
      <c r="W183" s="51" t="s">
        <v>1</v>
      </c>
    </row>
    <row r="184" spans="2:24" ht="14" customHeight="1" thickTop="1" thickBot="1" x14ac:dyDescent="0.2">
      <c r="B184" s="23">
        <v>1</v>
      </c>
      <c r="C184" s="10" t="str">
        <f t="shared" ref="C184:C190" si="93">C175</f>
        <v>6 h à 9 h 30</v>
      </c>
      <c r="D184" s="11">
        <v>3</v>
      </c>
      <c r="E184" s="11">
        <v>3</v>
      </c>
      <c r="F184" s="11">
        <v>4</v>
      </c>
      <c r="G184" s="11">
        <v>5</v>
      </c>
      <c r="H184" s="11">
        <v>6</v>
      </c>
      <c r="I184" s="11">
        <v>7</v>
      </c>
      <c r="J184" s="11">
        <v>8</v>
      </c>
      <c r="K184" s="11">
        <v>9</v>
      </c>
      <c r="L184" s="11">
        <v>9</v>
      </c>
      <c r="M184" s="11">
        <v>9</v>
      </c>
      <c r="N184" s="11">
        <v>9</v>
      </c>
      <c r="O184" s="11">
        <v>8</v>
      </c>
      <c r="P184" s="11">
        <v>8</v>
      </c>
      <c r="Q184" s="118">
        <f>+SUM(D184:P184)</f>
        <v>88</v>
      </c>
      <c r="R184" s="57"/>
      <c r="S184" s="122">
        <f t="shared" ref="S184:S190" si="94">SUM(D184:P184)/$Q$267</f>
        <v>1.6102175623501857E-3</v>
      </c>
      <c r="T184" s="128"/>
      <c r="U184" s="45"/>
    </row>
    <row r="185" spans="2:24" ht="14" customHeight="1" thickTop="1" thickBot="1" x14ac:dyDescent="0.2">
      <c r="B185" s="23">
        <v>2</v>
      </c>
      <c r="C185" s="13" t="str">
        <f t="shared" si="93"/>
        <v>9 h 30 à 11 h 30</v>
      </c>
      <c r="D185" s="14">
        <v>3</v>
      </c>
      <c r="E185" s="14">
        <v>3</v>
      </c>
      <c r="F185" s="14">
        <v>4</v>
      </c>
      <c r="G185" s="14">
        <v>5</v>
      </c>
      <c r="H185" s="14">
        <v>6</v>
      </c>
      <c r="I185" s="14">
        <v>7</v>
      </c>
      <c r="J185" s="14">
        <v>8</v>
      </c>
      <c r="K185" s="14">
        <v>9</v>
      </c>
      <c r="L185" s="14">
        <v>9</v>
      </c>
      <c r="M185" s="14">
        <v>9</v>
      </c>
      <c r="N185" s="14">
        <v>9</v>
      </c>
      <c r="O185" s="14">
        <v>8</v>
      </c>
      <c r="P185" s="14">
        <v>8</v>
      </c>
      <c r="Q185" s="119">
        <f>+SUM(D185:P185)</f>
        <v>88</v>
      </c>
      <c r="R185" s="57"/>
      <c r="S185" s="124">
        <f t="shared" si="94"/>
        <v>1.6102175623501857E-3</v>
      </c>
      <c r="T185" s="129"/>
      <c r="U185" s="45"/>
    </row>
    <row r="186" spans="2:24" ht="14" customHeight="1" thickTop="1" thickBot="1" x14ac:dyDescent="0.2">
      <c r="B186" s="23">
        <v>3</v>
      </c>
      <c r="C186" s="13" t="str">
        <f t="shared" si="93"/>
        <v>11 h 30 à 14 h 30</v>
      </c>
      <c r="D186" s="37">
        <v>3</v>
      </c>
      <c r="E186" s="37">
        <v>3</v>
      </c>
      <c r="F186" s="37">
        <v>4</v>
      </c>
      <c r="G186" s="37">
        <v>5</v>
      </c>
      <c r="H186" s="37">
        <v>6</v>
      </c>
      <c r="I186" s="37">
        <v>7</v>
      </c>
      <c r="J186" s="37">
        <v>8</v>
      </c>
      <c r="K186" s="37">
        <v>9</v>
      </c>
      <c r="L186" s="37">
        <v>9</v>
      </c>
      <c r="M186" s="37">
        <v>9</v>
      </c>
      <c r="N186" s="37">
        <v>9</v>
      </c>
      <c r="O186" s="37">
        <v>8</v>
      </c>
      <c r="P186" s="37">
        <v>8</v>
      </c>
      <c r="Q186" s="119">
        <f t="shared" ref="Q186:Q190" si="95">+SUM(D186:P186)</f>
        <v>88</v>
      </c>
      <c r="R186" s="57"/>
      <c r="S186" s="124">
        <f t="shared" si="94"/>
        <v>1.6102175623501857E-3</v>
      </c>
      <c r="T186" s="129"/>
      <c r="U186" s="45"/>
    </row>
    <row r="187" spans="2:24" ht="14" customHeight="1" thickTop="1" thickBot="1" x14ac:dyDescent="0.2">
      <c r="B187" s="23">
        <v>4</v>
      </c>
      <c r="C187" s="13" t="str">
        <f t="shared" si="93"/>
        <v>14 h 30 à 17 h</v>
      </c>
      <c r="D187" s="37">
        <v>3</v>
      </c>
      <c r="E187" s="37">
        <v>3</v>
      </c>
      <c r="F187" s="37">
        <v>4</v>
      </c>
      <c r="G187" s="37">
        <v>5</v>
      </c>
      <c r="H187" s="37">
        <v>6</v>
      </c>
      <c r="I187" s="37">
        <v>7</v>
      </c>
      <c r="J187" s="37">
        <v>8</v>
      </c>
      <c r="K187" s="37">
        <v>9</v>
      </c>
      <c r="L187" s="37">
        <v>9</v>
      </c>
      <c r="M187" s="37">
        <v>9</v>
      </c>
      <c r="N187" s="37">
        <v>9</v>
      </c>
      <c r="O187" s="37">
        <v>8</v>
      </c>
      <c r="P187" s="37">
        <v>8</v>
      </c>
      <c r="Q187" s="119">
        <f t="shared" si="95"/>
        <v>88</v>
      </c>
      <c r="R187" s="57"/>
      <c r="S187" s="124">
        <f t="shared" si="94"/>
        <v>1.6102175623501857E-3</v>
      </c>
      <c r="T187" s="129"/>
      <c r="U187" s="45"/>
    </row>
    <row r="188" spans="2:24" ht="14" customHeight="1" thickTop="1" thickBot="1" x14ac:dyDescent="0.2">
      <c r="B188" s="23">
        <v>5</v>
      </c>
      <c r="C188" s="13" t="str">
        <f t="shared" si="93"/>
        <v>17 h à 19 h</v>
      </c>
      <c r="D188" s="37">
        <v>3</v>
      </c>
      <c r="E188" s="37">
        <v>3</v>
      </c>
      <c r="F188" s="37">
        <v>4</v>
      </c>
      <c r="G188" s="37">
        <v>5</v>
      </c>
      <c r="H188" s="37">
        <v>6</v>
      </c>
      <c r="I188" s="37">
        <v>7</v>
      </c>
      <c r="J188" s="37">
        <v>8</v>
      </c>
      <c r="K188" s="37">
        <v>9</v>
      </c>
      <c r="L188" s="37">
        <v>9</v>
      </c>
      <c r="M188" s="37">
        <v>9</v>
      </c>
      <c r="N188" s="37">
        <v>9</v>
      </c>
      <c r="O188" s="37">
        <v>8</v>
      </c>
      <c r="P188" s="37">
        <v>8</v>
      </c>
      <c r="Q188" s="119">
        <f t="shared" si="95"/>
        <v>88</v>
      </c>
      <c r="R188" s="57"/>
      <c r="S188" s="124">
        <f t="shared" si="94"/>
        <v>1.6102175623501857E-3</v>
      </c>
      <c r="T188" s="129"/>
      <c r="U188" s="45"/>
    </row>
    <row r="189" spans="2:24" ht="14" customHeight="1" thickTop="1" thickBot="1" x14ac:dyDescent="0.2">
      <c r="B189" s="23">
        <v>6</v>
      </c>
      <c r="C189" s="13" t="str">
        <f t="shared" si="93"/>
        <v>19 h à 23 h</v>
      </c>
      <c r="D189" s="37">
        <v>3</v>
      </c>
      <c r="E189" s="37">
        <v>3</v>
      </c>
      <c r="F189" s="37">
        <v>4</v>
      </c>
      <c r="G189" s="37">
        <v>5</v>
      </c>
      <c r="H189" s="37">
        <v>6</v>
      </c>
      <c r="I189" s="37">
        <v>7</v>
      </c>
      <c r="J189" s="37">
        <v>8</v>
      </c>
      <c r="K189" s="37">
        <v>9</v>
      </c>
      <c r="L189" s="37">
        <v>9</v>
      </c>
      <c r="M189" s="37">
        <v>9</v>
      </c>
      <c r="N189" s="37">
        <v>9</v>
      </c>
      <c r="O189" s="37">
        <v>8</v>
      </c>
      <c r="P189" s="37">
        <v>8</v>
      </c>
      <c r="Q189" s="119">
        <f t="shared" si="95"/>
        <v>88</v>
      </c>
      <c r="R189" s="57"/>
      <c r="S189" s="124">
        <f t="shared" si="94"/>
        <v>1.6102175623501857E-3</v>
      </c>
      <c r="T189" s="129"/>
      <c r="U189" s="45"/>
    </row>
    <row r="190" spans="2:24" ht="14" customHeight="1" thickTop="1" thickBot="1" x14ac:dyDescent="0.2">
      <c r="B190" s="23">
        <v>7</v>
      </c>
      <c r="C190" s="13" t="str">
        <f t="shared" si="93"/>
        <v>23 h à 6 h</v>
      </c>
      <c r="D190" s="14">
        <v>3</v>
      </c>
      <c r="E190" s="14">
        <v>3</v>
      </c>
      <c r="F190" s="14">
        <v>4</v>
      </c>
      <c r="G190" s="14">
        <v>5</v>
      </c>
      <c r="H190" s="14">
        <v>6</v>
      </c>
      <c r="I190" s="14">
        <v>7</v>
      </c>
      <c r="J190" s="14">
        <v>8</v>
      </c>
      <c r="K190" s="14">
        <v>9</v>
      </c>
      <c r="L190" s="14">
        <v>9</v>
      </c>
      <c r="M190" s="14">
        <v>9</v>
      </c>
      <c r="N190" s="14">
        <v>9</v>
      </c>
      <c r="O190" s="14">
        <v>8</v>
      </c>
      <c r="P190" s="14">
        <v>8</v>
      </c>
      <c r="Q190" s="119">
        <f t="shared" si="95"/>
        <v>88</v>
      </c>
      <c r="R190" s="57"/>
      <c r="S190" s="124">
        <f t="shared" si="94"/>
        <v>1.6102175623501857E-3</v>
      </c>
      <c r="T190" s="129"/>
      <c r="U190" s="45"/>
    </row>
    <row r="191" spans="2:24" ht="14" customHeight="1" thickTop="1" thickBot="1" x14ac:dyDescent="0.2">
      <c r="B191" s="25"/>
      <c r="C191" s="54" t="str">
        <f>C173</f>
        <v>Total</v>
      </c>
      <c r="D191" s="27">
        <f t="shared" ref="D191:L191" si="96">+D184+D185+D186+D187+D188+D189+D190</f>
        <v>21</v>
      </c>
      <c r="E191" s="27">
        <f t="shared" si="96"/>
        <v>21</v>
      </c>
      <c r="F191" s="27">
        <f t="shared" si="96"/>
        <v>28</v>
      </c>
      <c r="G191" s="27">
        <f t="shared" si="96"/>
        <v>35</v>
      </c>
      <c r="H191" s="27">
        <f t="shared" si="96"/>
        <v>42</v>
      </c>
      <c r="I191" s="27">
        <f t="shared" si="96"/>
        <v>49</v>
      </c>
      <c r="J191" s="27">
        <f t="shared" si="96"/>
        <v>56</v>
      </c>
      <c r="K191" s="27">
        <f t="shared" si="96"/>
        <v>63</v>
      </c>
      <c r="L191" s="27">
        <f t="shared" si="96"/>
        <v>63</v>
      </c>
      <c r="M191" s="27">
        <f>+M184+M185+M186+M187+M188+M189+M190</f>
        <v>63</v>
      </c>
      <c r="N191" s="27">
        <f>+N184+N185+N186+N187+N188+N189+N190</f>
        <v>63</v>
      </c>
      <c r="O191" s="27">
        <f>+O184+O185+O186+O187+O188+O189+O190</f>
        <v>56</v>
      </c>
      <c r="P191" s="27">
        <f>+P184+P185+P186+P187+P188+P189+P190</f>
        <v>56</v>
      </c>
      <c r="Q191" s="105">
        <f>+SUM(D191:P191)</f>
        <v>616</v>
      </c>
      <c r="R191" s="59"/>
      <c r="S191" s="126" t="s">
        <v>1</v>
      </c>
      <c r="T191" s="127">
        <f t="shared" si="78"/>
        <v>1.1271522936451301E-2</v>
      </c>
      <c r="U191" s="47"/>
    </row>
    <row r="192" spans="2:24" ht="14" customHeight="1" thickTop="1" thickBot="1" x14ac:dyDescent="0.2">
      <c r="B192" s="29" t="s">
        <v>1</v>
      </c>
      <c r="C192" s="33" t="str">
        <f>C128</f>
        <v>Dimanche</v>
      </c>
      <c r="D192" s="21" t="s">
        <v>1</v>
      </c>
      <c r="E192" s="21">
        <f>'Calendrier 2023'!E28</f>
        <v>44976</v>
      </c>
      <c r="F192" s="21" t="s">
        <v>1</v>
      </c>
      <c r="G192" s="21" t="s">
        <v>1</v>
      </c>
      <c r="H192" s="21" t="s">
        <v>1</v>
      </c>
      <c r="I192" s="21" t="s">
        <v>1</v>
      </c>
      <c r="J192" s="21" t="s">
        <v>1</v>
      </c>
      <c r="K192" s="21" t="s">
        <v>1</v>
      </c>
      <c r="L192" s="21" t="s">
        <v>1</v>
      </c>
      <c r="M192" s="21" t="s">
        <v>1</v>
      </c>
      <c r="N192" s="21" t="s">
        <v>1</v>
      </c>
      <c r="O192" s="21" t="s">
        <v>1</v>
      </c>
      <c r="P192" s="109" t="s">
        <v>1</v>
      </c>
      <c r="Q192" s="110"/>
      <c r="R192" s="51"/>
      <c r="S192" s="19" t="s">
        <v>1</v>
      </c>
      <c r="T192" s="22" t="s">
        <v>1</v>
      </c>
      <c r="U192" s="51" t="s">
        <v>1</v>
      </c>
      <c r="V192" s="51" t="s">
        <v>1</v>
      </c>
      <c r="W192" s="51" t="s">
        <v>1</v>
      </c>
      <c r="X192" s="52"/>
    </row>
    <row r="193" spans="2:23" ht="14" customHeight="1" thickTop="1" thickBot="1" x14ac:dyDescent="0.2">
      <c r="B193" s="24">
        <v>1</v>
      </c>
      <c r="C193" s="10" t="str">
        <f t="shared" ref="C193:C199" si="97">C184</f>
        <v>6 h à 9 h 30</v>
      </c>
      <c r="D193" s="11">
        <v>3</v>
      </c>
      <c r="E193" s="11">
        <v>3</v>
      </c>
      <c r="F193" s="11">
        <v>4</v>
      </c>
      <c r="G193" s="11">
        <v>5</v>
      </c>
      <c r="H193" s="11">
        <v>6</v>
      </c>
      <c r="I193" s="11">
        <v>7</v>
      </c>
      <c r="J193" s="11">
        <v>8</v>
      </c>
      <c r="K193" s="11">
        <v>9</v>
      </c>
      <c r="L193" s="11">
        <v>9</v>
      </c>
      <c r="M193" s="11">
        <v>9</v>
      </c>
      <c r="N193" s="11">
        <v>9</v>
      </c>
      <c r="O193" s="11">
        <v>8</v>
      </c>
      <c r="P193" s="11">
        <v>8</v>
      </c>
      <c r="Q193" s="118">
        <f>+SUM(D193:P193)</f>
        <v>88</v>
      </c>
      <c r="R193" s="57"/>
      <c r="S193" s="122">
        <f t="shared" ref="S193:S199" si="98">SUM(D193:P193)/$Q$267</f>
        <v>1.6102175623501857E-3</v>
      </c>
      <c r="T193" s="128"/>
      <c r="U193" s="45"/>
    </row>
    <row r="194" spans="2:23" ht="14" customHeight="1" thickTop="1" thickBot="1" x14ac:dyDescent="0.2">
      <c r="B194" s="23">
        <v>2</v>
      </c>
      <c r="C194" s="13" t="str">
        <f t="shared" si="97"/>
        <v>9 h 30 à 11 h 30</v>
      </c>
      <c r="D194" s="14">
        <v>3</v>
      </c>
      <c r="E194" s="14">
        <v>3</v>
      </c>
      <c r="F194" s="14">
        <v>4</v>
      </c>
      <c r="G194" s="14">
        <v>5</v>
      </c>
      <c r="H194" s="14">
        <v>6</v>
      </c>
      <c r="I194" s="14">
        <v>7</v>
      </c>
      <c r="J194" s="14">
        <v>8</v>
      </c>
      <c r="K194" s="14">
        <v>9</v>
      </c>
      <c r="L194" s="14">
        <v>9</v>
      </c>
      <c r="M194" s="14">
        <v>9</v>
      </c>
      <c r="N194" s="14">
        <v>9</v>
      </c>
      <c r="O194" s="14">
        <v>8</v>
      </c>
      <c r="P194" s="14">
        <v>8</v>
      </c>
      <c r="Q194" s="119">
        <f>+SUM(D194:P194)</f>
        <v>88</v>
      </c>
      <c r="R194" s="57"/>
      <c r="S194" s="124">
        <f t="shared" si="98"/>
        <v>1.6102175623501857E-3</v>
      </c>
      <c r="T194" s="129"/>
      <c r="U194" s="45"/>
    </row>
    <row r="195" spans="2:23" ht="14" customHeight="1" thickTop="1" thickBot="1" x14ac:dyDescent="0.2">
      <c r="B195" s="23">
        <v>3</v>
      </c>
      <c r="C195" s="13" t="str">
        <f t="shared" si="97"/>
        <v>11 h 30 à 14 h 30</v>
      </c>
      <c r="D195" s="37">
        <v>3</v>
      </c>
      <c r="E195" s="37">
        <v>3</v>
      </c>
      <c r="F195" s="37">
        <v>4</v>
      </c>
      <c r="G195" s="37">
        <v>5</v>
      </c>
      <c r="H195" s="37">
        <v>6</v>
      </c>
      <c r="I195" s="37">
        <v>7</v>
      </c>
      <c r="J195" s="37">
        <v>8</v>
      </c>
      <c r="K195" s="37">
        <v>9</v>
      </c>
      <c r="L195" s="37">
        <v>9</v>
      </c>
      <c r="M195" s="37">
        <v>9</v>
      </c>
      <c r="N195" s="37">
        <v>9</v>
      </c>
      <c r="O195" s="37">
        <v>8</v>
      </c>
      <c r="P195" s="37">
        <v>8</v>
      </c>
      <c r="Q195" s="119">
        <f t="shared" ref="Q195:Q199" si="99">+SUM(D195:P195)</f>
        <v>88</v>
      </c>
      <c r="R195" s="57"/>
      <c r="S195" s="124">
        <f t="shared" si="98"/>
        <v>1.6102175623501857E-3</v>
      </c>
      <c r="T195" s="129"/>
      <c r="U195" s="45"/>
    </row>
    <row r="196" spans="2:23" ht="14" customHeight="1" thickTop="1" thickBot="1" x14ac:dyDescent="0.2">
      <c r="B196" s="23">
        <v>4</v>
      </c>
      <c r="C196" s="13" t="str">
        <f t="shared" si="97"/>
        <v>14 h 30 à 17 h</v>
      </c>
      <c r="D196" s="37">
        <v>3</v>
      </c>
      <c r="E196" s="37">
        <v>3</v>
      </c>
      <c r="F196" s="37">
        <v>4</v>
      </c>
      <c r="G196" s="37">
        <v>5</v>
      </c>
      <c r="H196" s="37">
        <v>6</v>
      </c>
      <c r="I196" s="37">
        <v>7</v>
      </c>
      <c r="J196" s="37">
        <v>8</v>
      </c>
      <c r="K196" s="37">
        <v>9</v>
      </c>
      <c r="L196" s="37">
        <v>9</v>
      </c>
      <c r="M196" s="37">
        <v>9</v>
      </c>
      <c r="N196" s="37">
        <v>9</v>
      </c>
      <c r="O196" s="37">
        <v>8</v>
      </c>
      <c r="P196" s="37">
        <v>8</v>
      </c>
      <c r="Q196" s="119">
        <f t="shared" si="99"/>
        <v>88</v>
      </c>
      <c r="R196" s="57"/>
      <c r="S196" s="124">
        <f t="shared" si="98"/>
        <v>1.6102175623501857E-3</v>
      </c>
      <c r="T196" s="129"/>
      <c r="U196" s="45"/>
    </row>
    <row r="197" spans="2:23" ht="14" customHeight="1" thickTop="1" thickBot="1" x14ac:dyDescent="0.2">
      <c r="B197" s="23">
        <v>5</v>
      </c>
      <c r="C197" s="13" t="str">
        <f t="shared" si="97"/>
        <v>17 h à 19 h</v>
      </c>
      <c r="D197" s="37">
        <v>3</v>
      </c>
      <c r="E197" s="37">
        <v>3</v>
      </c>
      <c r="F197" s="37">
        <v>4</v>
      </c>
      <c r="G197" s="37">
        <v>5</v>
      </c>
      <c r="H197" s="37">
        <v>6</v>
      </c>
      <c r="I197" s="37">
        <v>7</v>
      </c>
      <c r="J197" s="37">
        <v>8</v>
      </c>
      <c r="K197" s="37">
        <v>9</v>
      </c>
      <c r="L197" s="37">
        <v>9</v>
      </c>
      <c r="M197" s="37">
        <v>9</v>
      </c>
      <c r="N197" s="37">
        <v>9</v>
      </c>
      <c r="O197" s="37">
        <v>8</v>
      </c>
      <c r="P197" s="37">
        <v>8</v>
      </c>
      <c r="Q197" s="119">
        <f t="shared" si="99"/>
        <v>88</v>
      </c>
      <c r="R197" s="57"/>
      <c r="S197" s="124">
        <f t="shared" si="98"/>
        <v>1.6102175623501857E-3</v>
      </c>
      <c r="T197" s="129"/>
      <c r="U197" s="45"/>
    </row>
    <row r="198" spans="2:23" ht="14" customHeight="1" thickTop="1" thickBot="1" x14ac:dyDescent="0.2">
      <c r="B198" s="23">
        <v>6</v>
      </c>
      <c r="C198" s="13" t="str">
        <f t="shared" si="97"/>
        <v>19 h à 23 h</v>
      </c>
      <c r="D198" s="37">
        <v>3</v>
      </c>
      <c r="E198" s="37">
        <v>3</v>
      </c>
      <c r="F198" s="37">
        <v>4</v>
      </c>
      <c r="G198" s="37">
        <v>5</v>
      </c>
      <c r="H198" s="37">
        <v>6</v>
      </c>
      <c r="I198" s="37">
        <v>7</v>
      </c>
      <c r="J198" s="37">
        <v>8</v>
      </c>
      <c r="K198" s="37">
        <v>9</v>
      </c>
      <c r="L198" s="37">
        <v>9</v>
      </c>
      <c r="M198" s="37">
        <v>9</v>
      </c>
      <c r="N198" s="37">
        <v>9</v>
      </c>
      <c r="O198" s="37">
        <v>8</v>
      </c>
      <c r="P198" s="37">
        <v>8</v>
      </c>
      <c r="Q198" s="119">
        <f t="shared" si="99"/>
        <v>88</v>
      </c>
      <c r="R198" s="57"/>
      <c r="S198" s="124">
        <f t="shared" si="98"/>
        <v>1.6102175623501857E-3</v>
      </c>
      <c r="T198" s="129"/>
      <c r="U198" s="45"/>
    </row>
    <row r="199" spans="2:23" ht="14" customHeight="1" thickTop="1" thickBot="1" x14ac:dyDescent="0.2">
      <c r="B199" s="23">
        <v>7</v>
      </c>
      <c r="C199" s="13" t="str">
        <f t="shared" si="97"/>
        <v>23 h à 6 h</v>
      </c>
      <c r="D199" s="14">
        <v>3</v>
      </c>
      <c r="E199" s="14">
        <v>3</v>
      </c>
      <c r="F199" s="14">
        <v>4</v>
      </c>
      <c r="G199" s="14">
        <v>5</v>
      </c>
      <c r="H199" s="14">
        <v>6</v>
      </c>
      <c r="I199" s="14">
        <v>7</v>
      </c>
      <c r="J199" s="14">
        <v>8</v>
      </c>
      <c r="K199" s="14">
        <v>9</v>
      </c>
      <c r="L199" s="14">
        <v>9</v>
      </c>
      <c r="M199" s="14">
        <v>9</v>
      </c>
      <c r="N199" s="14">
        <v>9</v>
      </c>
      <c r="O199" s="14">
        <v>8</v>
      </c>
      <c r="P199" s="14">
        <v>8</v>
      </c>
      <c r="Q199" s="119">
        <f t="shared" si="99"/>
        <v>88</v>
      </c>
      <c r="R199" s="57"/>
      <c r="S199" s="124">
        <f t="shared" si="98"/>
        <v>1.6102175623501857E-3</v>
      </c>
      <c r="T199" s="129"/>
      <c r="U199" s="45"/>
    </row>
    <row r="200" spans="2:23" ht="14" customHeight="1" thickTop="1" thickBot="1" x14ac:dyDescent="0.2">
      <c r="B200" s="25"/>
      <c r="C200" s="114" t="str">
        <f t="shared" ref="C200" si="100">+C191</f>
        <v>Total</v>
      </c>
      <c r="D200" s="115">
        <f t="shared" ref="D200:L200" si="101">+D193+D194+D195+D196+D197+D198+D199</f>
        <v>21</v>
      </c>
      <c r="E200" s="115">
        <f t="shared" si="101"/>
        <v>21</v>
      </c>
      <c r="F200" s="115">
        <f t="shared" si="101"/>
        <v>28</v>
      </c>
      <c r="G200" s="115">
        <f t="shared" si="101"/>
        <v>35</v>
      </c>
      <c r="H200" s="115">
        <f t="shared" si="101"/>
        <v>42</v>
      </c>
      <c r="I200" s="115">
        <f t="shared" si="101"/>
        <v>49</v>
      </c>
      <c r="J200" s="115">
        <f t="shared" si="101"/>
        <v>56</v>
      </c>
      <c r="K200" s="115">
        <f t="shared" si="101"/>
        <v>63</v>
      </c>
      <c r="L200" s="115">
        <f t="shared" si="101"/>
        <v>63</v>
      </c>
      <c r="M200" s="115">
        <f>+M193+M194+M195+M196+M197+M198+M199</f>
        <v>63</v>
      </c>
      <c r="N200" s="115">
        <f>+N193+N194+N195+N196+N197+N198+N199</f>
        <v>63</v>
      </c>
      <c r="O200" s="115">
        <f>+O193+O194+O195+O196+O197+O198+O199</f>
        <v>56</v>
      </c>
      <c r="P200" s="115">
        <f>+P193+P194+P195+P196+P197+P198+P199</f>
        <v>56</v>
      </c>
      <c r="Q200" s="105">
        <f>+SUM(D200:P200)</f>
        <v>616</v>
      </c>
      <c r="R200" s="59"/>
      <c r="S200" s="126" t="s">
        <v>1</v>
      </c>
      <c r="T200" s="127">
        <f t="shared" si="78"/>
        <v>1.1271522936451301E-2</v>
      </c>
      <c r="U200" s="47"/>
    </row>
    <row r="201" spans="2:23" ht="14" customHeight="1" thickTop="1" thickBot="1" x14ac:dyDescent="0.2">
      <c r="B201" s="1298" t="s">
        <v>12</v>
      </c>
      <c r="C201" s="1299"/>
      <c r="D201" s="1299"/>
      <c r="E201" s="1299"/>
      <c r="F201" s="1299"/>
      <c r="G201" s="1299"/>
      <c r="H201" s="1299"/>
      <c r="I201" s="1299"/>
      <c r="J201" s="1299"/>
      <c r="K201" s="1299"/>
      <c r="L201" s="1299"/>
      <c r="M201" s="1299"/>
      <c r="N201" s="1299"/>
      <c r="O201" s="1299"/>
      <c r="P201" s="1300"/>
      <c r="Q201" s="1301"/>
      <c r="R201" s="50"/>
      <c r="S201" s="1312" t="s">
        <v>12</v>
      </c>
      <c r="T201" s="1313"/>
      <c r="U201" s="44"/>
    </row>
    <row r="202" spans="2:23" ht="14" customHeight="1" thickTop="1" thickBot="1" x14ac:dyDescent="0.2">
      <c r="B202" s="102">
        <v>4</v>
      </c>
      <c r="C202" s="116" t="str">
        <f>C138</f>
        <v>Lundi</v>
      </c>
      <c r="D202" s="104" t="s">
        <v>1</v>
      </c>
      <c r="E202" s="104">
        <f>'Calendrier 2023'!E29</f>
        <v>44977</v>
      </c>
      <c r="F202" s="104" t="s">
        <v>1</v>
      </c>
      <c r="G202" s="104" t="s">
        <v>1</v>
      </c>
      <c r="H202" s="104" t="s">
        <v>1</v>
      </c>
      <c r="I202" s="104" t="s">
        <v>1</v>
      </c>
      <c r="J202" s="104" t="s">
        <v>1</v>
      </c>
      <c r="K202" s="104" t="s">
        <v>1</v>
      </c>
      <c r="L202" s="104" t="s">
        <v>1</v>
      </c>
      <c r="M202" s="104" t="s">
        <v>1</v>
      </c>
      <c r="N202" s="104" t="s">
        <v>1</v>
      </c>
      <c r="O202" s="104" t="s">
        <v>1</v>
      </c>
      <c r="P202" s="117" t="s">
        <v>1</v>
      </c>
      <c r="Q202" s="113"/>
      <c r="R202" s="51"/>
      <c r="S202" s="69" t="s">
        <v>1</v>
      </c>
      <c r="T202" s="8" t="s">
        <v>1</v>
      </c>
      <c r="U202" s="51" t="s">
        <v>1</v>
      </c>
      <c r="V202" s="51" t="s">
        <v>1</v>
      </c>
      <c r="W202" s="52"/>
    </row>
    <row r="203" spans="2:23" ht="14" customHeight="1" thickTop="1" x14ac:dyDescent="0.15">
      <c r="B203" s="9">
        <v>1</v>
      </c>
      <c r="C203" s="10" t="str">
        <f t="shared" ref="C203:C209" si="102">C193</f>
        <v>6 h à 9 h 30</v>
      </c>
      <c r="D203" s="11">
        <v>3</v>
      </c>
      <c r="E203" s="11">
        <v>3</v>
      </c>
      <c r="F203" s="11">
        <v>4</v>
      </c>
      <c r="G203" s="11">
        <v>5</v>
      </c>
      <c r="H203" s="11">
        <v>6</v>
      </c>
      <c r="I203" s="11">
        <v>7</v>
      </c>
      <c r="J203" s="11">
        <v>8</v>
      </c>
      <c r="K203" s="11">
        <v>9</v>
      </c>
      <c r="L203" s="11">
        <v>9</v>
      </c>
      <c r="M203" s="11">
        <v>9</v>
      </c>
      <c r="N203" s="11">
        <v>9</v>
      </c>
      <c r="O203" s="11">
        <v>8</v>
      </c>
      <c r="P203" s="11">
        <v>8</v>
      </c>
      <c r="Q203" s="118">
        <f>+SUM(D203:P203)</f>
        <v>88</v>
      </c>
      <c r="R203" s="57"/>
      <c r="S203" s="122">
        <f t="shared" ref="S203:S209" si="103">SUM(D203:P203)/$Q$267</f>
        <v>1.6102175623501857E-3</v>
      </c>
      <c r="T203" s="128"/>
      <c r="U203" s="45"/>
    </row>
    <row r="204" spans="2:23" ht="14" customHeight="1" x14ac:dyDescent="0.15">
      <c r="B204" s="12">
        <v>2</v>
      </c>
      <c r="C204" s="13" t="str">
        <f t="shared" si="102"/>
        <v>9 h 30 à 11 h 30</v>
      </c>
      <c r="D204" s="14">
        <v>3</v>
      </c>
      <c r="E204" s="14">
        <v>3</v>
      </c>
      <c r="F204" s="14">
        <v>4</v>
      </c>
      <c r="G204" s="14">
        <v>5</v>
      </c>
      <c r="H204" s="14">
        <v>6</v>
      </c>
      <c r="I204" s="14">
        <v>7</v>
      </c>
      <c r="J204" s="14">
        <v>8</v>
      </c>
      <c r="K204" s="14">
        <v>9</v>
      </c>
      <c r="L204" s="14">
        <v>9</v>
      </c>
      <c r="M204" s="14">
        <v>9</v>
      </c>
      <c r="N204" s="14">
        <v>9</v>
      </c>
      <c r="O204" s="14">
        <v>8</v>
      </c>
      <c r="P204" s="14">
        <v>8</v>
      </c>
      <c r="Q204" s="119">
        <f>+SUM(D204:P204)</f>
        <v>88</v>
      </c>
      <c r="R204" s="57"/>
      <c r="S204" s="124">
        <f t="shared" si="103"/>
        <v>1.6102175623501857E-3</v>
      </c>
      <c r="T204" s="129"/>
      <c r="U204" s="45"/>
    </row>
    <row r="205" spans="2:23" ht="14" customHeight="1" x14ac:dyDescent="0.15">
      <c r="B205" s="12">
        <v>3</v>
      </c>
      <c r="C205" s="13" t="str">
        <f t="shared" si="102"/>
        <v>11 h 30 à 14 h 30</v>
      </c>
      <c r="D205" s="37">
        <v>3</v>
      </c>
      <c r="E205" s="37">
        <v>3</v>
      </c>
      <c r="F205" s="37">
        <v>4</v>
      </c>
      <c r="G205" s="37">
        <v>5</v>
      </c>
      <c r="H205" s="37">
        <v>6</v>
      </c>
      <c r="I205" s="37">
        <v>7</v>
      </c>
      <c r="J205" s="37">
        <v>8</v>
      </c>
      <c r="K205" s="37">
        <v>9</v>
      </c>
      <c r="L205" s="37">
        <v>9</v>
      </c>
      <c r="M205" s="37">
        <v>9</v>
      </c>
      <c r="N205" s="37">
        <v>9</v>
      </c>
      <c r="O205" s="37">
        <v>8</v>
      </c>
      <c r="P205" s="37">
        <v>8</v>
      </c>
      <c r="Q205" s="119">
        <f t="shared" ref="Q205:Q209" si="104">+SUM(D205:P205)</f>
        <v>88</v>
      </c>
      <c r="R205" s="57"/>
      <c r="S205" s="124">
        <f t="shared" si="103"/>
        <v>1.6102175623501857E-3</v>
      </c>
      <c r="T205" s="129"/>
      <c r="U205" s="45"/>
    </row>
    <row r="206" spans="2:23" ht="14" customHeight="1" x14ac:dyDescent="0.15">
      <c r="B206" s="12">
        <v>4</v>
      </c>
      <c r="C206" s="13" t="str">
        <f t="shared" si="102"/>
        <v>14 h 30 à 17 h</v>
      </c>
      <c r="D206" s="37">
        <v>3</v>
      </c>
      <c r="E206" s="37">
        <v>3</v>
      </c>
      <c r="F206" s="37">
        <v>4</v>
      </c>
      <c r="G206" s="37">
        <v>5</v>
      </c>
      <c r="H206" s="37">
        <v>6</v>
      </c>
      <c r="I206" s="37">
        <v>7</v>
      </c>
      <c r="J206" s="37">
        <v>8</v>
      </c>
      <c r="K206" s="37">
        <v>9</v>
      </c>
      <c r="L206" s="37">
        <v>9</v>
      </c>
      <c r="M206" s="37">
        <v>9</v>
      </c>
      <c r="N206" s="37">
        <v>9</v>
      </c>
      <c r="O206" s="37">
        <v>8</v>
      </c>
      <c r="P206" s="37">
        <v>8</v>
      </c>
      <c r="Q206" s="119">
        <f t="shared" si="104"/>
        <v>88</v>
      </c>
      <c r="R206" s="57"/>
      <c r="S206" s="124">
        <f t="shared" si="103"/>
        <v>1.6102175623501857E-3</v>
      </c>
      <c r="T206" s="129"/>
      <c r="U206" s="45"/>
    </row>
    <row r="207" spans="2:23" ht="14" customHeight="1" x14ac:dyDescent="0.15">
      <c r="B207" s="12">
        <v>5</v>
      </c>
      <c r="C207" s="13" t="str">
        <f t="shared" si="102"/>
        <v>17 h à 19 h</v>
      </c>
      <c r="D207" s="37">
        <v>3</v>
      </c>
      <c r="E207" s="37">
        <v>3</v>
      </c>
      <c r="F207" s="37">
        <v>4</v>
      </c>
      <c r="G207" s="37">
        <v>5</v>
      </c>
      <c r="H207" s="37">
        <v>6</v>
      </c>
      <c r="I207" s="37">
        <v>7</v>
      </c>
      <c r="J207" s="37">
        <v>8</v>
      </c>
      <c r="K207" s="37">
        <v>9</v>
      </c>
      <c r="L207" s="37">
        <v>9</v>
      </c>
      <c r="M207" s="37">
        <v>9</v>
      </c>
      <c r="N207" s="37">
        <v>9</v>
      </c>
      <c r="O207" s="37">
        <v>8</v>
      </c>
      <c r="P207" s="37">
        <v>8</v>
      </c>
      <c r="Q207" s="119">
        <f t="shared" si="104"/>
        <v>88</v>
      </c>
      <c r="R207" s="57"/>
      <c r="S207" s="124">
        <f t="shared" si="103"/>
        <v>1.6102175623501857E-3</v>
      </c>
      <c r="T207" s="129"/>
      <c r="U207" s="45"/>
    </row>
    <row r="208" spans="2:23" ht="14" customHeight="1" x14ac:dyDescent="0.15">
      <c r="B208" s="12">
        <v>6</v>
      </c>
      <c r="C208" s="13" t="str">
        <f t="shared" si="102"/>
        <v>19 h à 23 h</v>
      </c>
      <c r="D208" s="37">
        <v>3</v>
      </c>
      <c r="E208" s="37">
        <v>3</v>
      </c>
      <c r="F208" s="37">
        <v>4</v>
      </c>
      <c r="G208" s="37">
        <v>5</v>
      </c>
      <c r="H208" s="37">
        <v>6</v>
      </c>
      <c r="I208" s="37">
        <v>7</v>
      </c>
      <c r="J208" s="37">
        <v>8</v>
      </c>
      <c r="K208" s="37">
        <v>9</v>
      </c>
      <c r="L208" s="37">
        <v>9</v>
      </c>
      <c r="M208" s="37">
        <v>9</v>
      </c>
      <c r="N208" s="37">
        <v>9</v>
      </c>
      <c r="O208" s="37">
        <v>8</v>
      </c>
      <c r="P208" s="37">
        <v>8</v>
      </c>
      <c r="Q208" s="119">
        <f t="shared" si="104"/>
        <v>88</v>
      </c>
      <c r="R208" s="57"/>
      <c r="S208" s="124">
        <f t="shared" si="103"/>
        <v>1.6102175623501857E-3</v>
      </c>
      <c r="T208" s="129"/>
      <c r="U208" s="45"/>
    </row>
    <row r="209" spans="2:23" ht="14" customHeight="1" x14ac:dyDescent="0.15">
      <c r="B209" s="12">
        <v>7</v>
      </c>
      <c r="C209" s="13" t="str">
        <f t="shared" si="102"/>
        <v>23 h à 6 h</v>
      </c>
      <c r="D209" s="14">
        <v>3</v>
      </c>
      <c r="E209" s="14">
        <v>3</v>
      </c>
      <c r="F209" s="14">
        <v>4</v>
      </c>
      <c r="G209" s="14">
        <v>5</v>
      </c>
      <c r="H209" s="14">
        <v>6</v>
      </c>
      <c r="I209" s="14">
        <v>7</v>
      </c>
      <c r="J209" s="14">
        <v>8</v>
      </c>
      <c r="K209" s="14">
        <v>9</v>
      </c>
      <c r="L209" s="14">
        <v>9</v>
      </c>
      <c r="M209" s="14">
        <v>9</v>
      </c>
      <c r="N209" s="14">
        <v>9</v>
      </c>
      <c r="O209" s="14">
        <v>8</v>
      </c>
      <c r="P209" s="14">
        <v>8</v>
      </c>
      <c r="Q209" s="119">
        <f t="shared" si="104"/>
        <v>88</v>
      </c>
      <c r="R209" s="57"/>
      <c r="S209" s="124">
        <f t="shared" si="103"/>
        <v>1.6102175623501857E-3</v>
      </c>
      <c r="T209" s="129"/>
      <c r="U209" s="45"/>
    </row>
    <row r="210" spans="2:23" ht="14" customHeight="1" thickBot="1" x14ac:dyDescent="0.2">
      <c r="B210" s="15"/>
      <c r="C210" s="36" t="str">
        <f>+C200</f>
        <v>Total</v>
      </c>
      <c r="D210" s="27">
        <f t="shared" ref="D210:L210" si="105">+D203+D204+D205+D206+D207+D208+D209</f>
        <v>21</v>
      </c>
      <c r="E210" s="27">
        <f t="shared" si="105"/>
        <v>21</v>
      </c>
      <c r="F210" s="27">
        <f t="shared" si="105"/>
        <v>28</v>
      </c>
      <c r="G210" s="27">
        <f t="shared" si="105"/>
        <v>35</v>
      </c>
      <c r="H210" s="27">
        <f t="shared" si="105"/>
        <v>42</v>
      </c>
      <c r="I210" s="27">
        <f t="shared" si="105"/>
        <v>49</v>
      </c>
      <c r="J210" s="27">
        <f t="shared" si="105"/>
        <v>56</v>
      </c>
      <c r="K210" s="27">
        <f t="shared" si="105"/>
        <v>63</v>
      </c>
      <c r="L210" s="27">
        <f t="shared" si="105"/>
        <v>63</v>
      </c>
      <c r="M210" s="27">
        <f>+M203+M204+M205+M206+M207+M208+M209</f>
        <v>63</v>
      </c>
      <c r="N210" s="27">
        <f>+N203+N204+N205+N206+N207+N208+N209</f>
        <v>63</v>
      </c>
      <c r="O210" s="27">
        <f>+O203+O204+O205+O206+O207+O208+O209</f>
        <v>56</v>
      </c>
      <c r="P210" s="27">
        <f>+P203+P204+P205+P206+P207+P208+P209</f>
        <v>56</v>
      </c>
      <c r="Q210" s="105">
        <f>+SUM(D210:P210)</f>
        <v>616</v>
      </c>
      <c r="R210" s="59"/>
      <c r="S210" s="126" t="s">
        <v>1</v>
      </c>
      <c r="T210" s="127">
        <f t="shared" si="78"/>
        <v>1.1271522936451301E-2</v>
      </c>
      <c r="U210" s="47"/>
    </row>
    <row r="211" spans="2:23" ht="14" customHeight="1" thickTop="1" thickBot="1" x14ac:dyDescent="0.2">
      <c r="B211" s="29" t="s">
        <v>1</v>
      </c>
      <c r="C211" s="33" t="str">
        <f>C147</f>
        <v>Mardi</v>
      </c>
      <c r="D211" s="21" t="s">
        <v>1</v>
      </c>
      <c r="E211" s="21">
        <f>'Calendrier 2023'!E30</f>
        <v>44978</v>
      </c>
      <c r="F211" s="21" t="s">
        <v>1</v>
      </c>
      <c r="G211" s="21" t="s">
        <v>1</v>
      </c>
      <c r="H211" s="21" t="s">
        <v>1</v>
      </c>
      <c r="I211" s="21" t="s">
        <v>1</v>
      </c>
      <c r="J211" s="21" t="s">
        <v>1</v>
      </c>
      <c r="K211" s="21" t="s">
        <v>1</v>
      </c>
      <c r="L211" s="21" t="s">
        <v>1</v>
      </c>
      <c r="M211" s="21" t="s">
        <v>1</v>
      </c>
      <c r="N211" s="21" t="s">
        <v>1</v>
      </c>
      <c r="O211" s="21" t="s">
        <v>1</v>
      </c>
      <c r="P211" s="109" t="s">
        <v>1</v>
      </c>
      <c r="Q211" s="110"/>
      <c r="R211" s="51"/>
      <c r="S211" s="19" t="s">
        <v>1</v>
      </c>
      <c r="T211" s="22" t="s">
        <v>1</v>
      </c>
      <c r="U211" s="51" t="s">
        <v>1</v>
      </c>
      <c r="V211" s="51" t="s">
        <v>1</v>
      </c>
      <c r="W211" s="51" t="s">
        <v>1</v>
      </c>
    </row>
    <row r="212" spans="2:23" ht="14" customHeight="1" thickTop="1" thickBot="1" x14ac:dyDescent="0.2">
      <c r="B212" s="23">
        <v>1</v>
      </c>
      <c r="C212" s="10" t="str">
        <f t="shared" ref="C212:C218" si="106">C203</f>
        <v>6 h à 9 h 30</v>
      </c>
      <c r="D212" s="11">
        <v>3</v>
      </c>
      <c r="E212" s="11">
        <v>3</v>
      </c>
      <c r="F212" s="11">
        <v>4</v>
      </c>
      <c r="G212" s="11">
        <v>5</v>
      </c>
      <c r="H212" s="11">
        <v>6</v>
      </c>
      <c r="I212" s="11">
        <v>7</v>
      </c>
      <c r="J212" s="11">
        <v>8</v>
      </c>
      <c r="K212" s="11">
        <v>9</v>
      </c>
      <c r="L212" s="11">
        <v>9</v>
      </c>
      <c r="M212" s="11">
        <v>9</v>
      </c>
      <c r="N212" s="11">
        <v>9</v>
      </c>
      <c r="O212" s="11">
        <v>8</v>
      </c>
      <c r="P212" s="11">
        <v>8</v>
      </c>
      <c r="Q212" s="118">
        <f>+SUM(D212:P212)</f>
        <v>88</v>
      </c>
      <c r="R212" s="57"/>
      <c r="S212" s="122">
        <f t="shared" ref="S212:S218" si="107">SUM(D212:P212)/$Q$267</f>
        <v>1.6102175623501857E-3</v>
      </c>
      <c r="T212" s="128"/>
      <c r="U212" s="45"/>
    </row>
    <row r="213" spans="2:23" ht="14" customHeight="1" thickTop="1" thickBot="1" x14ac:dyDescent="0.2">
      <c r="B213" s="24">
        <v>2</v>
      </c>
      <c r="C213" s="13" t="str">
        <f t="shared" si="106"/>
        <v>9 h 30 à 11 h 30</v>
      </c>
      <c r="D213" s="14">
        <v>3</v>
      </c>
      <c r="E213" s="14">
        <v>3</v>
      </c>
      <c r="F213" s="14">
        <v>4</v>
      </c>
      <c r="G213" s="14">
        <v>5</v>
      </c>
      <c r="H213" s="14">
        <v>6</v>
      </c>
      <c r="I213" s="14">
        <v>7</v>
      </c>
      <c r="J213" s="14"/>
      <c r="K213" s="14">
        <v>9</v>
      </c>
      <c r="L213" s="14">
        <v>9</v>
      </c>
      <c r="M213" s="14">
        <v>9</v>
      </c>
      <c r="N213" s="14">
        <v>9</v>
      </c>
      <c r="O213" s="14">
        <v>8</v>
      </c>
      <c r="P213" s="14">
        <v>8</v>
      </c>
      <c r="Q213" s="119">
        <f>+SUM(D213:P213)</f>
        <v>80</v>
      </c>
      <c r="R213" s="57"/>
      <c r="S213" s="124">
        <f t="shared" si="107"/>
        <v>1.4638341475910778E-3</v>
      </c>
      <c r="T213" s="129"/>
      <c r="U213" s="45"/>
    </row>
    <row r="214" spans="2:23" ht="14" customHeight="1" thickTop="1" thickBot="1" x14ac:dyDescent="0.2">
      <c r="B214" s="24">
        <v>3</v>
      </c>
      <c r="C214" s="13" t="str">
        <f t="shared" si="106"/>
        <v>11 h 30 à 14 h 30</v>
      </c>
      <c r="D214" s="37">
        <v>3</v>
      </c>
      <c r="E214" s="37">
        <v>3</v>
      </c>
      <c r="F214" s="37">
        <v>4</v>
      </c>
      <c r="G214" s="37">
        <v>5</v>
      </c>
      <c r="H214" s="37">
        <v>6</v>
      </c>
      <c r="I214" s="37">
        <v>7</v>
      </c>
      <c r="J214" s="37">
        <v>8</v>
      </c>
      <c r="K214" s="37">
        <v>9</v>
      </c>
      <c r="L214" s="37">
        <v>9</v>
      </c>
      <c r="M214" s="37">
        <v>9</v>
      </c>
      <c r="N214" s="37">
        <v>9</v>
      </c>
      <c r="O214" s="37">
        <v>8</v>
      </c>
      <c r="P214" s="37">
        <v>8</v>
      </c>
      <c r="Q214" s="119">
        <f t="shared" ref="Q214:Q218" si="108">+SUM(D214:P214)</f>
        <v>88</v>
      </c>
      <c r="R214" s="57"/>
      <c r="S214" s="124">
        <f t="shared" si="107"/>
        <v>1.6102175623501857E-3</v>
      </c>
      <c r="T214" s="129"/>
      <c r="U214" s="45"/>
    </row>
    <row r="215" spans="2:23" ht="14" customHeight="1" thickTop="1" thickBot="1" x14ac:dyDescent="0.2">
      <c r="B215" s="24">
        <v>4</v>
      </c>
      <c r="C215" s="13" t="str">
        <f t="shared" si="106"/>
        <v>14 h 30 à 17 h</v>
      </c>
      <c r="D215" s="37">
        <v>3</v>
      </c>
      <c r="E215" s="37">
        <v>3</v>
      </c>
      <c r="F215" s="37">
        <v>4</v>
      </c>
      <c r="G215" s="37">
        <v>5</v>
      </c>
      <c r="H215" s="37">
        <v>6</v>
      </c>
      <c r="I215" s="37">
        <v>7</v>
      </c>
      <c r="J215" s="37">
        <v>8</v>
      </c>
      <c r="K215" s="37">
        <v>9</v>
      </c>
      <c r="L215" s="37">
        <v>9</v>
      </c>
      <c r="M215" s="37">
        <v>9</v>
      </c>
      <c r="N215" s="37">
        <v>9</v>
      </c>
      <c r="O215" s="37">
        <v>8</v>
      </c>
      <c r="P215" s="37">
        <v>8</v>
      </c>
      <c r="Q215" s="119">
        <f t="shared" si="108"/>
        <v>88</v>
      </c>
      <c r="R215" s="57"/>
      <c r="S215" s="124">
        <f t="shared" si="107"/>
        <v>1.6102175623501857E-3</v>
      </c>
      <c r="T215" s="129"/>
      <c r="U215" s="45"/>
    </row>
    <row r="216" spans="2:23" ht="14" customHeight="1" thickTop="1" thickBot="1" x14ac:dyDescent="0.2">
      <c r="B216" s="24">
        <v>5</v>
      </c>
      <c r="C216" s="13" t="str">
        <f t="shared" si="106"/>
        <v>17 h à 19 h</v>
      </c>
      <c r="D216" s="37">
        <v>3</v>
      </c>
      <c r="E216" s="37">
        <v>3</v>
      </c>
      <c r="F216" s="37">
        <v>4</v>
      </c>
      <c r="G216" s="37">
        <v>5</v>
      </c>
      <c r="H216" s="37">
        <v>6</v>
      </c>
      <c r="I216" s="37">
        <v>7</v>
      </c>
      <c r="J216" s="37">
        <v>8</v>
      </c>
      <c r="K216" s="37">
        <v>9</v>
      </c>
      <c r="L216" s="37">
        <v>9</v>
      </c>
      <c r="M216" s="37">
        <v>9</v>
      </c>
      <c r="N216" s="37">
        <v>9</v>
      </c>
      <c r="O216" s="37">
        <v>8</v>
      </c>
      <c r="P216" s="37">
        <v>8</v>
      </c>
      <c r="Q216" s="119">
        <f t="shared" si="108"/>
        <v>88</v>
      </c>
      <c r="R216" s="57"/>
      <c r="S216" s="124">
        <f t="shared" si="107"/>
        <v>1.6102175623501857E-3</v>
      </c>
      <c r="T216" s="129"/>
      <c r="U216" s="45"/>
    </row>
    <row r="217" spans="2:23" ht="14" customHeight="1" thickTop="1" thickBot="1" x14ac:dyDescent="0.2">
      <c r="B217" s="24">
        <v>6</v>
      </c>
      <c r="C217" s="13" t="str">
        <f t="shared" si="106"/>
        <v>19 h à 23 h</v>
      </c>
      <c r="D217" s="37">
        <v>3</v>
      </c>
      <c r="E217" s="37">
        <v>3</v>
      </c>
      <c r="F217" s="37">
        <v>4</v>
      </c>
      <c r="G217" s="37">
        <v>5</v>
      </c>
      <c r="H217" s="37">
        <v>6</v>
      </c>
      <c r="I217" s="37">
        <v>7</v>
      </c>
      <c r="J217" s="37">
        <v>8</v>
      </c>
      <c r="K217" s="37">
        <v>9</v>
      </c>
      <c r="L217" s="37">
        <v>9</v>
      </c>
      <c r="M217" s="37">
        <v>9</v>
      </c>
      <c r="N217" s="37">
        <v>9</v>
      </c>
      <c r="O217" s="37">
        <v>8</v>
      </c>
      <c r="P217" s="37">
        <v>8</v>
      </c>
      <c r="Q217" s="119">
        <f t="shared" si="108"/>
        <v>88</v>
      </c>
      <c r="R217" s="57"/>
      <c r="S217" s="124">
        <f t="shared" si="107"/>
        <v>1.6102175623501857E-3</v>
      </c>
      <c r="T217" s="129"/>
      <c r="U217" s="45"/>
    </row>
    <row r="218" spans="2:23" ht="14" customHeight="1" thickTop="1" thickBot="1" x14ac:dyDescent="0.2">
      <c r="B218" s="24">
        <v>7</v>
      </c>
      <c r="C218" s="13" t="str">
        <f t="shared" si="106"/>
        <v>23 h à 6 h</v>
      </c>
      <c r="D218" s="14">
        <v>3</v>
      </c>
      <c r="E218" s="14">
        <v>3</v>
      </c>
      <c r="F218" s="14">
        <v>4</v>
      </c>
      <c r="G218" s="14">
        <v>5</v>
      </c>
      <c r="H218" s="14">
        <v>6</v>
      </c>
      <c r="I218" s="14">
        <v>7</v>
      </c>
      <c r="J218" s="14">
        <v>8</v>
      </c>
      <c r="K218" s="14">
        <v>9</v>
      </c>
      <c r="L218" s="14">
        <v>9</v>
      </c>
      <c r="M218" s="14">
        <v>9</v>
      </c>
      <c r="N218" s="14">
        <v>9</v>
      </c>
      <c r="O218" s="14">
        <v>8</v>
      </c>
      <c r="P218" s="14">
        <v>8</v>
      </c>
      <c r="Q218" s="119">
        <f t="shared" si="108"/>
        <v>88</v>
      </c>
      <c r="R218" s="57"/>
      <c r="S218" s="124">
        <f t="shared" si="107"/>
        <v>1.6102175623501857E-3</v>
      </c>
      <c r="T218" s="129"/>
      <c r="U218" s="45"/>
    </row>
    <row r="219" spans="2:23" ht="14" customHeight="1" thickTop="1" thickBot="1" x14ac:dyDescent="0.2">
      <c r="B219" s="25"/>
      <c r="C219" s="26" t="str">
        <f t="shared" ref="C219" si="109">+C210</f>
        <v>Total</v>
      </c>
      <c r="D219" s="27">
        <f t="shared" ref="D219:L219" si="110">+D212+D213+D214+D215+D216+D217+D218</f>
        <v>21</v>
      </c>
      <c r="E219" s="27">
        <f t="shared" si="110"/>
        <v>21</v>
      </c>
      <c r="F219" s="27">
        <f t="shared" si="110"/>
        <v>28</v>
      </c>
      <c r="G219" s="27">
        <f t="shared" si="110"/>
        <v>35</v>
      </c>
      <c r="H219" s="27">
        <f t="shared" si="110"/>
        <v>42</v>
      </c>
      <c r="I219" s="27">
        <f t="shared" si="110"/>
        <v>49</v>
      </c>
      <c r="J219" s="27">
        <f t="shared" si="110"/>
        <v>48</v>
      </c>
      <c r="K219" s="27">
        <f t="shared" si="110"/>
        <v>63</v>
      </c>
      <c r="L219" s="27">
        <f t="shared" si="110"/>
        <v>63</v>
      </c>
      <c r="M219" s="27">
        <f>+M212+M213+M214+M215+M216+M217+M218</f>
        <v>63</v>
      </c>
      <c r="N219" s="27">
        <f>+N212+N213+N214+N215+N216+N217+N218</f>
        <v>63</v>
      </c>
      <c r="O219" s="27">
        <f>+O212+O213+O214+O215+O216+O217+O218</f>
        <v>56</v>
      </c>
      <c r="P219" s="27">
        <f>+P212+P213+P214+P215+P216+P217+P218</f>
        <v>56</v>
      </c>
      <c r="Q219" s="105">
        <f>+SUM(D219:P219)</f>
        <v>608</v>
      </c>
      <c r="R219" s="59"/>
      <c r="S219" s="126" t="s">
        <v>1</v>
      </c>
      <c r="T219" s="127">
        <f t="shared" ref="T219:T264" si="111">SUM(S212:S218)</f>
        <v>1.1125139521692194E-2</v>
      </c>
      <c r="U219" s="47"/>
    </row>
    <row r="220" spans="2:23" ht="14" customHeight="1" thickTop="1" thickBot="1" x14ac:dyDescent="0.2">
      <c r="B220" s="29" t="s">
        <v>1</v>
      </c>
      <c r="C220" s="30" t="str">
        <f>C156</f>
        <v>Mercredi</v>
      </c>
      <c r="D220" s="21" t="s">
        <v>1</v>
      </c>
      <c r="E220" s="21">
        <f>'Calendrier 2023'!E31</f>
        <v>44979</v>
      </c>
      <c r="F220" s="21" t="s">
        <v>1</v>
      </c>
      <c r="G220" s="21" t="s">
        <v>1</v>
      </c>
      <c r="H220" s="21" t="s">
        <v>1</v>
      </c>
      <c r="I220" s="21" t="s">
        <v>1</v>
      </c>
      <c r="J220" s="21" t="s">
        <v>1</v>
      </c>
      <c r="K220" s="21" t="s">
        <v>1</v>
      </c>
      <c r="L220" s="21" t="s">
        <v>1</v>
      </c>
      <c r="M220" s="21" t="s">
        <v>1</v>
      </c>
      <c r="N220" s="21" t="s">
        <v>1</v>
      </c>
      <c r="O220" s="21" t="s">
        <v>1</v>
      </c>
      <c r="P220" s="109" t="s">
        <v>1</v>
      </c>
      <c r="Q220" s="110"/>
      <c r="R220" s="51"/>
      <c r="S220" s="19" t="s">
        <v>1</v>
      </c>
      <c r="T220" s="22" t="s">
        <v>1</v>
      </c>
      <c r="U220" s="51" t="s">
        <v>1</v>
      </c>
      <c r="V220" s="51" t="s">
        <v>1</v>
      </c>
      <c r="W220" s="52"/>
    </row>
    <row r="221" spans="2:23" ht="14" customHeight="1" thickTop="1" thickBot="1" x14ac:dyDescent="0.2">
      <c r="B221" s="23">
        <v>1</v>
      </c>
      <c r="C221" s="10" t="str">
        <f t="shared" ref="C221:C227" si="112">C212</f>
        <v>6 h à 9 h 30</v>
      </c>
      <c r="D221" s="11">
        <v>3</v>
      </c>
      <c r="E221" s="11">
        <v>3</v>
      </c>
      <c r="F221" s="11">
        <v>4</v>
      </c>
      <c r="G221" s="11">
        <v>5</v>
      </c>
      <c r="H221" s="11">
        <v>6</v>
      </c>
      <c r="I221" s="11">
        <v>7</v>
      </c>
      <c r="J221" s="11">
        <v>8</v>
      </c>
      <c r="K221" s="11">
        <v>9</v>
      </c>
      <c r="L221" s="11">
        <v>9</v>
      </c>
      <c r="M221" s="11">
        <v>9</v>
      </c>
      <c r="N221" s="11">
        <v>9</v>
      </c>
      <c r="O221" s="11">
        <v>8</v>
      </c>
      <c r="P221" s="11">
        <v>8</v>
      </c>
      <c r="Q221" s="118">
        <f>+SUM(D221:P221)</f>
        <v>88</v>
      </c>
      <c r="R221" s="57"/>
      <c r="S221" s="122">
        <f t="shared" ref="S221:S227" si="113">SUM(D221:P221)/$Q$267</f>
        <v>1.6102175623501857E-3</v>
      </c>
      <c r="T221" s="128"/>
      <c r="U221" s="45"/>
    </row>
    <row r="222" spans="2:23" ht="14" customHeight="1" thickTop="1" thickBot="1" x14ac:dyDescent="0.2">
      <c r="B222" s="24">
        <v>2</v>
      </c>
      <c r="C222" s="13" t="str">
        <f t="shared" si="112"/>
        <v>9 h 30 à 11 h 30</v>
      </c>
      <c r="D222" s="14">
        <v>3</v>
      </c>
      <c r="E222" s="14">
        <v>3</v>
      </c>
      <c r="F222" s="14">
        <v>4</v>
      </c>
      <c r="G222" s="14">
        <v>5</v>
      </c>
      <c r="H222" s="14">
        <v>6</v>
      </c>
      <c r="I222" s="14">
        <v>7</v>
      </c>
      <c r="J222" s="14">
        <v>8</v>
      </c>
      <c r="K222" s="14">
        <v>9</v>
      </c>
      <c r="L222" s="14">
        <v>9</v>
      </c>
      <c r="M222" s="14">
        <v>9</v>
      </c>
      <c r="N222" s="14">
        <v>9</v>
      </c>
      <c r="O222" s="14">
        <v>8</v>
      </c>
      <c r="P222" s="14">
        <v>8</v>
      </c>
      <c r="Q222" s="119">
        <f>+SUM(D222:P222)</f>
        <v>88</v>
      </c>
      <c r="R222" s="57"/>
      <c r="S222" s="124">
        <f t="shared" si="113"/>
        <v>1.6102175623501857E-3</v>
      </c>
      <c r="T222" s="129"/>
      <c r="U222" s="45"/>
    </row>
    <row r="223" spans="2:23" ht="14" customHeight="1" thickTop="1" thickBot="1" x14ac:dyDescent="0.2">
      <c r="B223" s="24">
        <v>3</v>
      </c>
      <c r="C223" s="13" t="str">
        <f t="shared" si="112"/>
        <v>11 h 30 à 14 h 30</v>
      </c>
      <c r="D223" s="37">
        <v>3</v>
      </c>
      <c r="E223" s="37">
        <v>3</v>
      </c>
      <c r="F223" s="37">
        <v>4</v>
      </c>
      <c r="G223" s="37">
        <v>5</v>
      </c>
      <c r="H223" s="37">
        <v>6</v>
      </c>
      <c r="I223" s="37">
        <v>7</v>
      </c>
      <c r="J223" s="37">
        <v>8</v>
      </c>
      <c r="K223" s="37">
        <v>9</v>
      </c>
      <c r="L223" s="37">
        <v>9</v>
      </c>
      <c r="M223" s="37">
        <v>9</v>
      </c>
      <c r="N223" s="37">
        <v>9</v>
      </c>
      <c r="O223" s="37">
        <v>8</v>
      </c>
      <c r="P223" s="37">
        <v>8</v>
      </c>
      <c r="Q223" s="119">
        <f t="shared" ref="Q223:Q227" si="114">+SUM(D223:P223)</f>
        <v>88</v>
      </c>
      <c r="R223" s="57"/>
      <c r="S223" s="124">
        <f t="shared" si="113"/>
        <v>1.6102175623501857E-3</v>
      </c>
      <c r="T223" s="129"/>
      <c r="U223" s="45"/>
    </row>
    <row r="224" spans="2:23" ht="14" customHeight="1" thickTop="1" thickBot="1" x14ac:dyDescent="0.2">
      <c r="B224" s="24">
        <v>4</v>
      </c>
      <c r="C224" s="13" t="str">
        <f t="shared" si="112"/>
        <v>14 h 30 à 17 h</v>
      </c>
      <c r="D224" s="37">
        <v>3</v>
      </c>
      <c r="E224" s="37">
        <v>3</v>
      </c>
      <c r="F224" s="37">
        <v>4</v>
      </c>
      <c r="G224" s="37">
        <v>5</v>
      </c>
      <c r="H224" s="37">
        <v>6</v>
      </c>
      <c r="I224" s="37">
        <v>7</v>
      </c>
      <c r="J224" s="37">
        <v>8</v>
      </c>
      <c r="K224" s="37">
        <v>9</v>
      </c>
      <c r="L224" s="37">
        <v>9</v>
      </c>
      <c r="M224" s="37">
        <v>9</v>
      </c>
      <c r="N224" s="37">
        <v>9</v>
      </c>
      <c r="O224" s="37">
        <v>8</v>
      </c>
      <c r="P224" s="37">
        <v>8</v>
      </c>
      <c r="Q224" s="119">
        <f t="shared" si="114"/>
        <v>88</v>
      </c>
      <c r="R224" s="57"/>
      <c r="S224" s="124">
        <f t="shared" si="113"/>
        <v>1.6102175623501857E-3</v>
      </c>
      <c r="T224" s="129"/>
      <c r="U224" s="45"/>
    </row>
    <row r="225" spans="2:23" ht="14" customHeight="1" thickTop="1" thickBot="1" x14ac:dyDescent="0.2">
      <c r="B225" s="24">
        <v>5</v>
      </c>
      <c r="C225" s="13" t="str">
        <f t="shared" si="112"/>
        <v>17 h à 19 h</v>
      </c>
      <c r="D225" s="37">
        <v>3</v>
      </c>
      <c r="E225" s="37">
        <v>3</v>
      </c>
      <c r="F225" s="37">
        <v>4</v>
      </c>
      <c r="G225" s="37">
        <v>5</v>
      </c>
      <c r="H225" s="37">
        <v>6</v>
      </c>
      <c r="I225" s="37">
        <v>7</v>
      </c>
      <c r="J225" s="37">
        <v>8</v>
      </c>
      <c r="K225" s="37">
        <v>9</v>
      </c>
      <c r="L225" s="37">
        <v>9</v>
      </c>
      <c r="M225" s="37">
        <v>9</v>
      </c>
      <c r="N225" s="37">
        <v>9</v>
      </c>
      <c r="O225" s="37">
        <v>8</v>
      </c>
      <c r="P225" s="37">
        <v>8</v>
      </c>
      <c r="Q225" s="119">
        <f t="shared" si="114"/>
        <v>88</v>
      </c>
      <c r="R225" s="57"/>
      <c r="S225" s="124">
        <f t="shared" si="113"/>
        <v>1.6102175623501857E-3</v>
      </c>
      <c r="T225" s="129"/>
      <c r="U225" s="45"/>
    </row>
    <row r="226" spans="2:23" ht="14" customHeight="1" thickTop="1" thickBot="1" x14ac:dyDescent="0.2">
      <c r="B226" s="24">
        <v>6</v>
      </c>
      <c r="C226" s="13" t="str">
        <f t="shared" si="112"/>
        <v>19 h à 23 h</v>
      </c>
      <c r="D226" s="37">
        <v>3</v>
      </c>
      <c r="E226" s="37">
        <v>3</v>
      </c>
      <c r="F226" s="37">
        <v>4</v>
      </c>
      <c r="G226" s="37">
        <v>5</v>
      </c>
      <c r="H226" s="37">
        <v>6</v>
      </c>
      <c r="I226" s="37">
        <v>7</v>
      </c>
      <c r="J226" s="37">
        <v>8</v>
      </c>
      <c r="K226" s="37">
        <v>9</v>
      </c>
      <c r="L226" s="37">
        <v>9</v>
      </c>
      <c r="M226" s="37">
        <v>9</v>
      </c>
      <c r="N226" s="37">
        <v>9</v>
      </c>
      <c r="O226" s="37">
        <v>8</v>
      </c>
      <c r="P226" s="37">
        <v>8</v>
      </c>
      <c r="Q226" s="119">
        <f t="shared" si="114"/>
        <v>88</v>
      </c>
      <c r="R226" s="57"/>
      <c r="S226" s="124">
        <f t="shared" si="113"/>
        <v>1.6102175623501857E-3</v>
      </c>
      <c r="T226" s="129"/>
      <c r="U226" s="45"/>
    </row>
    <row r="227" spans="2:23" ht="14" customHeight="1" thickTop="1" thickBot="1" x14ac:dyDescent="0.2">
      <c r="B227" s="24">
        <v>7</v>
      </c>
      <c r="C227" s="13" t="str">
        <f t="shared" si="112"/>
        <v>23 h à 6 h</v>
      </c>
      <c r="D227" s="14">
        <v>3</v>
      </c>
      <c r="E227" s="14">
        <v>3</v>
      </c>
      <c r="F227" s="14">
        <v>4</v>
      </c>
      <c r="G227" s="14">
        <v>5</v>
      </c>
      <c r="H227" s="14">
        <v>6</v>
      </c>
      <c r="I227" s="14">
        <v>7</v>
      </c>
      <c r="J227" s="14">
        <v>8</v>
      </c>
      <c r="K227" s="14">
        <v>9</v>
      </c>
      <c r="L227" s="14">
        <v>9</v>
      </c>
      <c r="M227" s="14">
        <v>9</v>
      </c>
      <c r="N227" s="14">
        <v>9</v>
      </c>
      <c r="O227" s="14">
        <v>8</v>
      </c>
      <c r="P227" s="14">
        <v>8</v>
      </c>
      <c r="Q227" s="119">
        <f t="shared" si="114"/>
        <v>88</v>
      </c>
      <c r="R227" s="57"/>
      <c r="S227" s="124">
        <f t="shared" si="113"/>
        <v>1.6102175623501857E-3</v>
      </c>
      <c r="T227" s="129"/>
      <c r="U227" s="45"/>
    </row>
    <row r="228" spans="2:23" ht="14" customHeight="1" thickTop="1" thickBot="1" x14ac:dyDescent="0.2">
      <c r="B228" s="25"/>
      <c r="C228" s="32" t="str">
        <f t="shared" ref="C228" si="115">+C210</f>
        <v>Total</v>
      </c>
      <c r="D228" s="27">
        <f t="shared" ref="D228:L228" si="116">+D221+D222+D223+D224+D225+D226+D227</f>
        <v>21</v>
      </c>
      <c r="E228" s="27">
        <f t="shared" si="116"/>
        <v>21</v>
      </c>
      <c r="F228" s="27">
        <f t="shared" si="116"/>
        <v>28</v>
      </c>
      <c r="G228" s="27">
        <f t="shared" si="116"/>
        <v>35</v>
      </c>
      <c r="H228" s="27">
        <f t="shared" si="116"/>
        <v>42</v>
      </c>
      <c r="I228" s="27">
        <f t="shared" si="116"/>
        <v>49</v>
      </c>
      <c r="J228" s="27">
        <f t="shared" si="116"/>
        <v>56</v>
      </c>
      <c r="K228" s="27">
        <f t="shared" si="116"/>
        <v>63</v>
      </c>
      <c r="L228" s="27">
        <f t="shared" si="116"/>
        <v>63</v>
      </c>
      <c r="M228" s="27">
        <f>+M221+M222+M223+M224+M225+M226+M227</f>
        <v>63</v>
      </c>
      <c r="N228" s="27">
        <f>+N221+N222+N223+N224+N225+N226+N227</f>
        <v>63</v>
      </c>
      <c r="O228" s="27">
        <f>+O221+O222+O223+O224+O225+O226+O227</f>
        <v>56</v>
      </c>
      <c r="P228" s="27">
        <f>+P221+P222+P223+P224+P225+P226+P227</f>
        <v>56</v>
      </c>
      <c r="Q228" s="105">
        <f>+SUM(D228:P228)</f>
        <v>616</v>
      </c>
      <c r="R228" s="59"/>
      <c r="S228" s="126" t="s">
        <v>1</v>
      </c>
      <c r="T228" s="127">
        <f t="shared" si="111"/>
        <v>1.1271522936451301E-2</v>
      </c>
      <c r="U228" s="47"/>
    </row>
    <row r="229" spans="2:23" ht="14" customHeight="1" thickTop="1" thickBot="1" x14ac:dyDescent="0.2">
      <c r="B229" s="29" t="s">
        <v>1</v>
      </c>
      <c r="C229" s="33" t="str">
        <f>C165</f>
        <v>Jeudi</v>
      </c>
      <c r="D229" s="21" t="s">
        <v>1</v>
      </c>
      <c r="E229" s="21">
        <f>'Calendrier 2023'!E32</f>
        <v>44980</v>
      </c>
      <c r="F229" s="21" t="s">
        <v>1</v>
      </c>
      <c r="G229" s="21" t="s">
        <v>1</v>
      </c>
      <c r="H229" s="21" t="s">
        <v>1</v>
      </c>
      <c r="I229" s="21" t="s">
        <v>1</v>
      </c>
      <c r="J229" s="21" t="s">
        <v>1</v>
      </c>
      <c r="K229" s="21" t="s">
        <v>1</v>
      </c>
      <c r="L229" s="21" t="s">
        <v>1</v>
      </c>
      <c r="M229" s="21" t="s">
        <v>1</v>
      </c>
      <c r="N229" s="21" t="s">
        <v>1</v>
      </c>
      <c r="O229" s="21" t="s">
        <v>1</v>
      </c>
      <c r="P229" s="109" t="s">
        <v>1</v>
      </c>
      <c r="Q229" s="110"/>
      <c r="R229" s="51"/>
      <c r="S229" s="19" t="s">
        <v>1</v>
      </c>
      <c r="T229" s="22" t="s">
        <v>1</v>
      </c>
      <c r="U229" s="51"/>
    </row>
    <row r="230" spans="2:23" ht="14" customHeight="1" thickTop="1" thickBot="1" x14ac:dyDescent="0.2">
      <c r="B230" s="23">
        <v>1</v>
      </c>
      <c r="C230" s="10" t="str">
        <f t="shared" ref="C230:C236" si="117">C221</f>
        <v>6 h à 9 h 30</v>
      </c>
      <c r="D230" s="11">
        <v>3</v>
      </c>
      <c r="E230" s="11">
        <v>3</v>
      </c>
      <c r="F230" s="11">
        <v>4</v>
      </c>
      <c r="G230" s="11">
        <v>5</v>
      </c>
      <c r="H230" s="11">
        <v>6</v>
      </c>
      <c r="I230" s="11">
        <v>7</v>
      </c>
      <c r="J230" s="14">
        <v>8</v>
      </c>
      <c r="K230" s="11">
        <v>9</v>
      </c>
      <c r="L230" s="11">
        <v>9</v>
      </c>
      <c r="M230" s="11">
        <v>9</v>
      </c>
      <c r="N230" s="11">
        <v>9</v>
      </c>
      <c r="O230" s="11">
        <v>8</v>
      </c>
      <c r="P230" s="11">
        <v>8</v>
      </c>
      <c r="Q230" s="118">
        <f>+SUM(D230:P230)</f>
        <v>88</v>
      </c>
      <c r="R230" s="57"/>
      <c r="S230" s="122">
        <f t="shared" ref="S230:S236" si="118">SUM(D230:P230)/$Q$267</f>
        <v>1.6102175623501857E-3</v>
      </c>
      <c r="T230" s="128"/>
      <c r="U230" s="45"/>
    </row>
    <row r="231" spans="2:23" ht="14" customHeight="1" thickTop="1" thickBot="1" x14ac:dyDescent="0.2">
      <c r="B231" s="24">
        <v>2</v>
      </c>
      <c r="C231" s="13" t="str">
        <f t="shared" si="117"/>
        <v>9 h 30 à 11 h 30</v>
      </c>
      <c r="D231" s="14">
        <v>3</v>
      </c>
      <c r="E231" s="14">
        <v>3</v>
      </c>
      <c r="F231" s="14">
        <v>4</v>
      </c>
      <c r="G231" s="14">
        <v>5</v>
      </c>
      <c r="H231" s="14">
        <v>6</v>
      </c>
      <c r="I231" s="14">
        <v>7</v>
      </c>
      <c r="J231" s="14">
        <v>8</v>
      </c>
      <c r="K231" s="14">
        <v>9</v>
      </c>
      <c r="L231" s="14">
        <v>9</v>
      </c>
      <c r="M231" s="14">
        <v>9</v>
      </c>
      <c r="N231" s="14">
        <v>9</v>
      </c>
      <c r="O231" s="14">
        <v>8</v>
      </c>
      <c r="P231" s="14">
        <v>8</v>
      </c>
      <c r="Q231" s="119">
        <f>+SUM(D231:P231)</f>
        <v>88</v>
      </c>
      <c r="R231" s="57"/>
      <c r="S231" s="124">
        <f t="shared" si="118"/>
        <v>1.6102175623501857E-3</v>
      </c>
      <c r="T231" s="129"/>
      <c r="U231" s="45"/>
    </row>
    <row r="232" spans="2:23" ht="14" customHeight="1" thickTop="1" thickBot="1" x14ac:dyDescent="0.2">
      <c r="B232" s="24">
        <v>3</v>
      </c>
      <c r="C232" s="13" t="str">
        <f t="shared" si="117"/>
        <v>11 h 30 à 14 h 30</v>
      </c>
      <c r="D232" s="37">
        <v>3</v>
      </c>
      <c r="E232" s="37">
        <v>3</v>
      </c>
      <c r="F232" s="37">
        <v>4</v>
      </c>
      <c r="G232" s="37">
        <v>5</v>
      </c>
      <c r="H232" s="37">
        <v>6</v>
      </c>
      <c r="I232" s="37">
        <v>7</v>
      </c>
      <c r="J232" s="37">
        <v>8</v>
      </c>
      <c r="K232" s="37">
        <v>9</v>
      </c>
      <c r="L232" s="37">
        <v>9</v>
      </c>
      <c r="M232" s="37">
        <v>9</v>
      </c>
      <c r="N232" s="37">
        <v>9</v>
      </c>
      <c r="O232" s="37">
        <v>8</v>
      </c>
      <c r="P232" s="37">
        <v>8</v>
      </c>
      <c r="Q232" s="119">
        <f t="shared" ref="Q232:Q236" si="119">+SUM(D232:P232)</f>
        <v>88</v>
      </c>
      <c r="R232" s="57"/>
      <c r="S232" s="124">
        <f t="shared" si="118"/>
        <v>1.6102175623501857E-3</v>
      </c>
      <c r="T232" s="129"/>
      <c r="U232" s="45"/>
    </row>
    <row r="233" spans="2:23" ht="14" customHeight="1" thickTop="1" thickBot="1" x14ac:dyDescent="0.2">
      <c r="B233" s="24">
        <v>4</v>
      </c>
      <c r="C233" s="13" t="str">
        <f t="shared" si="117"/>
        <v>14 h 30 à 17 h</v>
      </c>
      <c r="D233" s="37">
        <v>3</v>
      </c>
      <c r="E233" s="37">
        <v>3</v>
      </c>
      <c r="F233" s="37">
        <v>4</v>
      </c>
      <c r="G233" s="37">
        <v>5</v>
      </c>
      <c r="H233" s="37">
        <v>6</v>
      </c>
      <c r="I233" s="37">
        <v>7</v>
      </c>
      <c r="J233" s="37">
        <v>8</v>
      </c>
      <c r="K233" s="37">
        <v>9</v>
      </c>
      <c r="L233" s="37">
        <v>9</v>
      </c>
      <c r="M233" s="37">
        <v>9</v>
      </c>
      <c r="N233" s="37">
        <v>9</v>
      </c>
      <c r="O233" s="37">
        <v>8</v>
      </c>
      <c r="P233" s="37">
        <v>8</v>
      </c>
      <c r="Q233" s="119">
        <f t="shared" si="119"/>
        <v>88</v>
      </c>
      <c r="R233" s="57"/>
      <c r="S233" s="124">
        <f t="shared" si="118"/>
        <v>1.6102175623501857E-3</v>
      </c>
      <c r="T233" s="129"/>
      <c r="U233" s="45"/>
    </row>
    <row r="234" spans="2:23" ht="14" customHeight="1" thickTop="1" thickBot="1" x14ac:dyDescent="0.2">
      <c r="B234" s="24">
        <v>5</v>
      </c>
      <c r="C234" s="13" t="str">
        <f t="shared" si="117"/>
        <v>17 h à 19 h</v>
      </c>
      <c r="D234" s="37">
        <v>3</v>
      </c>
      <c r="E234" s="37">
        <v>3</v>
      </c>
      <c r="F234" s="37">
        <v>4</v>
      </c>
      <c r="G234" s="37">
        <v>5</v>
      </c>
      <c r="H234" s="37">
        <v>6</v>
      </c>
      <c r="I234" s="37">
        <v>7</v>
      </c>
      <c r="J234" s="37">
        <v>8</v>
      </c>
      <c r="K234" s="37">
        <v>9</v>
      </c>
      <c r="L234" s="37">
        <v>9</v>
      </c>
      <c r="M234" s="37">
        <v>9</v>
      </c>
      <c r="N234" s="37">
        <v>9</v>
      </c>
      <c r="O234" s="37">
        <v>8</v>
      </c>
      <c r="P234" s="37">
        <v>8</v>
      </c>
      <c r="Q234" s="119">
        <f t="shared" si="119"/>
        <v>88</v>
      </c>
      <c r="R234" s="57"/>
      <c r="S234" s="124">
        <f t="shared" si="118"/>
        <v>1.6102175623501857E-3</v>
      </c>
      <c r="T234" s="129"/>
      <c r="U234" s="45"/>
    </row>
    <row r="235" spans="2:23" ht="14" customHeight="1" thickTop="1" thickBot="1" x14ac:dyDescent="0.2">
      <c r="B235" s="24">
        <v>6</v>
      </c>
      <c r="C235" s="13" t="str">
        <f t="shared" si="117"/>
        <v>19 h à 23 h</v>
      </c>
      <c r="D235" s="37">
        <v>3</v>
      </c>
      <c r="E235" s="37">
        <v>3</v>
      </c>
      <c r="F235" s="37">
        <v>4</v>
      </c>
      <c r="G235" s="37">
        <v>5</v>
      </c>
      <c r="H235" s="37">
        <v>6</v>
      </c>
      <c r="I235" s="37">
        <v>7</v>
      </c>
      <c r="J235" s="37">
        <v>8</v>
      </c>
      <c r="K235" s="37">
        <v>9</v>
      </c>
      <c r="L235" s="37">
        <v>9</v>
      </c>
      <c r="M235" s="37">
        <v>9</v>
      </c>
      <c r="N235" s="37">
        <v>9</v>
      </c>
      <c r="O235" s="37">
        <v>8</v>
      </c>
      <c r="P235" s="37">
        <v>8</v>
      </c>
      <c r="Q235" s="119">
        <f t="shared" si="119"/>
        <v>88</v>
      </c>
      <c r="R235" s="57"/>
      <c r="S235" s="124">
        <f t="shared" si="118"/>
        <v>1.6102175623501857E-3</v>
      </c>
      <c r="T235" s="129"/>
      <c r="U235" s="45"/>
    </row>
    <row r="236" spans="2:23" ht="14" customHeight="1" thickTop="1" thickBot="1" x14ac:dyDescent="0.2">
      <c r="B236" s="24">
        <v>7</v>
      </c>
      <c r="C236" s="13" t="str">
        <f t="shared" si="117"/>
        <v>23 h à 6 h</v>
      </c>
      <c r="D236" s="14">
        <v>3</v>
      </c>
      <c r="E236" s="14">
        <v>3</v>
      </c>
      <c r="F236" s="14">
        <v>4</v>
      </c>
      <c r="G236" s="14">
        <v>5</v>
      </c>
      <c r="H236" s="14">
        <v>6</v>
      </c>
      <c r="I236" s="14">
        <v>7</v>
      </c>
      <c r="J236" s="14">
        <v>8</v>
      </c>
      <c r="K236" s="14">
        <v>9</v>
      </c>
      <c r="L236" s="14">
        <v>9</v>
      </c>
      <c r="M236" s="14">
        <v>9</v>
      </c>
      <c r="N236" s="14">
        <v>9</v>
      </c>
      <c r="O236" s="14">
        <v>8</v>
      </c>
      <c r="P236" s="14">
        <v>8</v>
      </c>
      <c r="Q236" s="119">
        <f t="shared" si="119"/>
        <v>88</v>
      </c>
      <c r="R236" s="57"/>
      <c r="S236" s="124">
        <f t="shared" si="118"/>
        <v>1.6102175623501857E-3</v>
      </c>
      <c r="T236" s="129"/>
      <c r="U236" s="45"/>
    </row>
    <row r="237" spans="2:23" ht="14" customHeight="1" thickTop="1" thickBot="1" x14ac:dyDescent="0.2">
      <c r="B237" s="25"/>
      <c r="C237" s="26" t="str">
        <f>+C228</f>
        <v>Total</v>
      </c>
      <c r="D237" s="27">
        <f t="shared" ref="D237:L237" si="120">+D230+D231+D232+D233+D234+D235+D236</f>
        <v>21</v>
      </c>
      <c r="E237" s="27">
        <f t="shared" si="120"/>
        <v>21</v>
      </c>
      <c r="F237" s="27">
        <f t="shared" si="120"/>
        <v>28</v>
      </c>
      <c r="G237" s="27">
        <f t="shared" si="120"/>
        <v>35</v>
      </c>
      <c r="H237" s="27">
        <f t="shared" si="120"/>
        <v>42</v>
      </c>
      <c r="I237" s="27">
        <f>+I230+I231+I232+I233+I234+I235+I236</f>
        <v>49</v>
      </c>
      <c r="J237" s="27">
        <f>+I230+J231+J232+J233+J234+J235+J236</f>
        <v>55</v>
      </c>
      <c r="K237" s="27">
        <f t="shared" si="120"/>
        <v>63</v>
      </c>
      <c r="L237" s="27">
        <f t="shared" si="120"/>
        <v>63</v>
      </c>
      <c r="M237" s="27">
        <f>+M230+M231+M232+M233+M234+M235+M236</f>
        <v>63</v>
      </c>
      <c r="N237" s="27">
        <f>+N230+N231+N232+N233+N234+N235+N236</f>
        <v>63</v>
      </c>
      <c r="O237" s="27">
        <f>+O230+O231+O232+O233+O234+O235+O236</f>
        <v>56</v>
      </c>
      <c r="P237" s="27">
        <f>+P230+P231+P232+P233+P234+P235+P236</f>
        <v>56</v>
      </c>
      <c r="Q237" s="105">
        <f>+SUM(D237:P237)</f>
        <v>615</v>
      </c>
      <c r="R237" s="59"/>
      <c r="S237" s="126" t="s">
        <v>1</v>
      </c>
      <c r="T237" s="127">
        <f t="shared" si="111"/>
        <v>1.1271522936451301E-2</v>
      </c>
      <c r="U237" s="47"/>
    </row>
    <row r="238" spans="2:23" ht="14" customHeight="1" thickTop="1" thickBot="1" x14ac:dyDescent="0.2">
      <c r="B238" s="29" t="s">
        <v>1</v>
      </c>
      <c r="C238" s="30" t="str">
        <f>+'[1]Calendrier 2021'!C34</f>
        <v>Vendredi</v>
      </c>
      <c r="D238" s="21" t="s">
        <v>1</v>
      </c>
      <c r="E238" s="21">
        <f>'Calendrier 2023'!E33</f>
        <v>44981</v>
      </c>
      <c r="F238" s="21" t="s">
        <v>1</v>
      </c>
      <c r="G238" s="21" t="s">
        <v>1</v>
      </c>
      <c r="H238" s="21" t="s">
        <v>1</v>
      </c>
      <c r="I238" s="21" t="s">
        <v>1</v>
      </c>
      <c r="J238" s="21" t="s">
        <v>1</v>
      </c>
      <c r="K238" s="21" t="s">
        <v>1</v>
      </c>
      <c r="L238" s="21" t="s">
        <v>1</v>
      </c>
      <c r="M238" s="21" t="s">
        <v>1</v>
      </c>
      <c r="N238" s="21" t="s">
        <v>1</v>
      </c>
      <c r="O238" s="21" t="s">
        <v>1</v>
      </c>
      <c r="P238" s="109" t="s">
        <v>1</v>
      </c>
      <c r="Q238" s="110"/>
      <c r="R238" s="51"/>
      <c r="S238" s="19" t="s">
        <v>1</v>
      </c>
      <c r="T238" s="22" t="s">
        <v>1</v>
      </c>
      <c r="U238" s="51"/>
      <c r="V238" s="51" t="s">
        <v>1</v>
      </c>
      <c r="W238" s="52"/>
    </row>
    <row r="239" spans="2:23" ht="14" customHeight="1" thickTop="1" thickBot="1" x14ac:dyDescent="0.2">
      <c r="B239" s="23">
        <v>1</v>
      </c>
      <c r="C239" s="10" t="str">
        <f t="shared" ref="C239:C245" si="121">C230</f>
        <v>6 h à 9 h 30</v>
      </c>
      <c r="D239" s="11">
        <v>3</v>
      </c>
      <c r="E239" s="11">
        <v>3</v>
      </c>
      <c r="F239" s="11">
        <v>4</v>
      </c>
      <c r="G239" s="11">
        <v>5</v>
      </c>
      <c r="H239" s="11">
        <v>6</v>
      </c>
      <c r="I239" s="11">
        <v>7</v>
      </c>
      <c r="J239" s="11">
        <v>8</v>
      </c>
      <c r="K239" s="11">
        <v>9</v>
      </c>
      <c r="L239" s="11">
        <v>9</v>
      </c>
      <c r="M239" s="11">
        <v>9</v>
      </c>
      <c r="N239" s="11">
        <v>9</v>
      </c>
      <c r="O239" s="11">
        <v>8</v>
      </c>
      <c r="P239" s="11">
        <v>8</v>
      </c>
      <c r="Q239" s="118">
        <f>+SUM(D239:P239)</f>
        <v>88</v>
      </c>
      <c r="R239" s="57"/>
      <c r="S239" s="122">
        <f t="shared" ref="S239:S245" si="122">SUM(D239:P239)/$Q$267</f>
        <v>1.6102175623501857E-3</v>
      </c>
      <c r="T239" s="128"/>
      <c r="U239" s="45"/>
    </row>
    <row r="240" spans="2:23" ht="14" customHeight="1" thickTop="1" thickBot="1" x14ac:dyDescent="0.2">
      <c r="B240" s="24">
        <v>2</v>
      </c>
      <c r="C240" s="13" t="str">
        <f t="shared" si="121"/>
        <v>9 h 30 à 11 h 30</v>
      </c>
      <c r="D240" s="14">
        <v>3</v>
      </c>
      <c r="E240" s="14">
        <v>3</v>
      </c>
      <c r="F240" s="14">
        <v>4</v>
      </c>
      <c r="G240" s="14">
        <v>5</v>
      </c>
      <c r="H240" s="14">
        <v>6</v>
      </c>
      <c r="I240" s="14">
        <v>7</v>
      </c>
      <c r="J240" s="14">
        <v>8</v>
      </c>
      <c r="K240" s="14">
        <v>9</v>
      </c>
      <c r="L240" s="14">
        <v>9</v>
      </c>
      <c r="M240" s="14">
        <v>9</v>
      </c>
      <c r="N240" s="14">
        <v>9</v>
      </c>
      <c r="O240" s="14">
        <v>8</v>
      </c>
      <c r="P240" s="14">
        <v>8</v>
      </c>
      <c r="Q240" s="119">
        <f>+SUM(D240:P240)</f>
        <v>88</v>
      </c>
      <c r="R240" s="57"/>
      <c r="S240" s="124">
        <f t="shared" si="122"/>
        <v>1.6102175623501857E-3</v>
      </c>
      <c r="T240" s="129"/>
      <c r="U240" s="45"/>
    </row>
    <row r="241" spans="2:23" ht="14" customHeight="1" thickTop="1" thickBot="1" x14ac:dyDescent="0.2">
      <c r="B241" s="24">
        <v>3</v>
      </c>
      <c r="C241" s="13" t="str">
        <f t="shared" si="121"/>
        <v>11 h 30 à 14 h 30</v>
      </c>
      <c r="D241" s="37">
        <v>3</v>
      </c>
      <c r="E241" s="37">
        <v>3</v>
      </c>
      <c r="F241" s="37">
        <v>4</v>
      </c>
      <c r="G241" s="37">
        <v>5</v>
      </c>
      <c r="H241" s="37">
        <v>6</v>
      </c>
      <c r="I241" s="37">
        <v>7</v>
      </c>
      <c r="J241" s="37">
        <v>8</v>
      </c>
      <c r="K241" s="37">
        <v>9</v>
      </c>
      <c r="L241" s="37">
        <v>9</v>
      </c>
      <c r="M241" s="37">
        <v>9</v>
      </c>
      <c r="N241" s="37">
        <v>9</v>
      </c>
      <c r="O241" s="37">
        <v>8</v>
      </c>
      <c r="P241" s="37">
        <v>8</v>
      </c>
      <c r="Q241" s="119">
        <f t="shared" ref="Q241:Q245" si="123">+SUM(D241:P241)</f>
        <v>88</v>
      </c>
      <c r="R241" s="57"/>
      <c r="S241" s="124">
        <f t="shared" si="122"/>
        <v>1.6102175623501857E-3</v>
      </c>
      <c r="T241" s="129"/>
      <c r="U241" s="45"/>
    </row>
    <row r="242" spans="2:23" ht="14" customHeight="1" thickTop="1" thickBot="1" x14ac:dyDescent="0.2">
      <c r="B242" s="24">
        <v>4</v>
      </c>
      <c r="C242" s="13" t="str">
        <f t="shared" si="121"/>
        <v>14 h 30 à 17 h</v>
      </c>
      <c r="D242" s="37">
        <v>3</v>
      </c>
      <c r="E242" s="37">
        <v>3</v>
      </c>
      <c r="F242" s="37">
        <v>4</v>
      </c>
      <c r="G242" s="37">
        <v>5</v>
      </c>
      <c r="H242" s="37">
        <v>6</v>
      </c>
      <c r="I242" s="37">
        <v>7</v>
      </c>
      <c r="J242" s="37">
        <v>8</v>
      </c>
      <c r="K242" s="37">
        <v>9</v>
      </c>
      <c r="L242" s="37">
        <v>9</v>
      </c>
      <c r="M242" s="37">
        <v>9</v>
      </c>
      <c r="N242" s="37">
        <v>9</v>
      </c>
      <c r="O242" s="37">
        <v>8</v>
      </c>
      <c r="P242" s="37">
        <v>8</v>
      </c>
      <c r="Q242" s="119">
        <f t="shared" si="123"/>
        <v>88</v>
      </c>
      <c r="R242" s="57"/>
      <c r="S242" s="124">
        <f t="shared" si="122"/>
        <v>1.6102175623501857E-3</v>
      </c>
      <c r="T242" s="129"/>
      <c r="U242" s="45"/>
    </row>
    <row r="243" spans="2:23" ht="14" customHeight="1" thickTop="1" thickBot="1" x14ac:dyDescent="0.2">
      <c r="B243" s="24">
        <v>5</v>
      </c>
      <c r="C243" s="13" t="str">
        <f t="shared" si="121"/>
        <v>17 h à 19 h</v>
      </c>
      <c r="D243" s="37">
        <v>3</v>
      </c>
      <c r="E243" s="37">
        <v>3</v>
      </c>
      <c r="F243" s="37">
        <v>4</v>
      </c>
      <c r="G243" s="37">
        <v>5</v>
      </c>
      <c r="H243" s="37">
        <v>6</v>
      </c>
      <c r="I243" s="37">
        <v>7</v>
      </c>
      <c r="J243" s="37">
        <v>8</v>
      </c>
      <c r="K243" s="37">
        <v>9</v>
      </c>
      <c r="L243" s="37">
        <v>9</v>
      </c>
      <c r="M243" s="37">
        <v>9</v>
      </c>
      <c r="N243" s="37">
        <v>9</v>
      </c>
      <c r="O243" s="37">
        <v>8</v>
      </c>
      <c r="P243" s="37">
        <v>8</v>
      </c>
      <c r="Q243" s="119">
        <f t="shared" si="123"/>
        <v>88</v>
      </c>
      <c r="R243" s="57"/>
      <c r="S243" s="124">
        <f t="shared" si="122"/>
        <v>1.6102175623501857E-3</v>
      </c>
      <c r="T243" s="129"/>
      <c r="U243" s="45"/>
    </row>
    <row r="244" spans="2:23" ht="14" customHeight="1" thickTop="1" thickBot="1" x14ac:dyDescent="0.2">
      <c r="B244" s="24">
        <v>6</v>
      </c>
      <c r="C244" s="13" t="str">
        <f t="shared" si="121"/>
        <v>19 h à 23 h</v>
      </c>
      <c r="D244" s="37">
        <v>3</v>
      </c>
      <c r="E244" s="37">
        <v>3</v>
      </c>
      <c r="F244" s="37">
        <v>4</v>
      </c>
      <c r="G244" s="37">
        <v>5</v>
      </c>
      <c r="H244" s="37">
        <v>6</v>
      </c>
      <c r="I244" s="37">
        <v>7</v>
      </c>
      <c r="J244" s="37">
        <v>8</v>
      </c>
      <c r="K244" s="37">
        <v>9</v>
      </c>
      <c r="L244" s="37">
        <v>9</v>
      </c>
      <c r="M244" s="37">
        <v>9</v>
      </c>
      <c r="N244" s="37">
        <v>9</v>
      </c>
      <c r="O244" s="37">
        <v>8</v>
      </c>
      <c r="P244" s="37">
        <v>8</v>
      </c>
      <c r="Q244" s="119">
        <f t="shared" si="123"/>
        <v>88</v>
      </c>
      <c r="R244" s="57"/>
      <c r="S244" s="124">
        <f t="shared" si="122"/>
        <v>1.6102175623501857E-3</v>
      </c>
      <c r="T244" s="129"/>
      <c r="U244" s="45"/>
    </row>
    <row r="245" spans="2:23" ht="14" customHeight="1" thickTop="1" thickBot="1" x14ac:dyDescent="0.2">
      <c r="B245" s="24">
        <v>7</v>
      </c>
      <c r="C245" s="13" t="str">
        <f t="shared" si="121"/>
        <v>23 h à 6 h</v>
      </c>
      <c r="D245" s="14">
        <v>3</v>
      </c>
      <c r="E245" s="14">
        <v>3</v>
      </c>
      <c r="F245" s="14">
        <v>4</v>
      </c>
      <c r="G245" s="14">
        <v>5</v>
      </c>
      <c r="H245" s="14">
        <v>6</v>
      </c>
      <c r="I245" s="14">
        <v>7</v>
      </c>
      <c r="J245" s="14">
        <v>8</v>
      </c>
      <c r="K245" s="14">
        <v>9</v>
      </c>
      <c r="L245" s="14">
        <v>9</v>
      </c>
      <c r="M245" s="14">
        <v>9</v>
      </c>
      <c r="N245" s="14">
        <v>9</v>
      </c>
      <c r="O245" s="14">
        <v>8</v>
      </c>
      <c r="P245" s="14">
        <v>8</v>
      </c>
      <c r="Q245" s="119">
        <f t="shared" si="123"/>
        <v>88</v>
      </c>
      <c r="R245" s="57"/>
      <c r="S245" s="124">
        <f t="shared" si="122"/>
        <v>1.6102175623501857E-3</v>
      </c>
      <c r="T245" s="129"/>
      <c r="U245" s="45"/>
    </row>
    <row r="246" spans="2:23" ht="14" customHeight="1" thickTop="1" thickBot="1" x14ac:dyDescent="0.2">
      <c r="B246" s="25"/>
      <c r="C246" s="32" t="str">
        <f t="shared" ref="C246" si="124">+C237</f>
        <v>Total</v>
      </c>
      <c r="D246" s="27">
        <f t="shared" ref="D246:L246" si="125">+D239+D240+D241+D242+D243+D244+D245</f>
        <v>21</v>
      </c>
      <c r="E246" s="27">
        <f t="shared" si="125"/>
        <v>21</v>
      </c>
      <c r="F246" s="27">
        <f t="shared" si="125"/>
        <v>28</v>
      </c>
      <c r="G246" s="27">
        <f t="shared" si="125"/>
        <v>35</v>
      </c>
      <c r="H246" s="27">
        <f t="shared" si="125"/>
        <v>42</v>
      </c>
      <c r="I246" s="27">
        <f t="shared" si="125"/>
        <v>49</v>
      </c>
      <c r="J246" s="27">
        <f t="shared" si="125"/>
        <v>56</v>
      </c>
      <c r="K246" s="27">
        <f t="shared" si="125"/>
        <v>63</v>
      </c>
      <c r="L246" s="27">
        <f t="shared" si="125"/>
        <v>63</v>
      </c>
      <c r="M246" s="27">
        <f>+M239+M240+M241+M242+M243+M244+M245</f>
        <v>63</v>
      </c>
      <c r="N246" s="27">
        <f>+N239+N240+N241+N242+N243+N244+N245</f>
        <v>63</v>
      </c>
      <c r="O246" s="27">
        <f>+O239+O240+O241+O242+O243+O244+O245</f>
        <v>56</v>
      </c>
      <c r="P246" s="27">
        <f>+P239+P240+P241+P242+P243+P244+P245</f>
        <v>56</v>
      </c>
      <c r="Q246" s="105">
        <f>+SUM(D246:P246)</f>
        <v>616</v>
      </c>
      <c r="R246" s="59"/>
      <c r="S246" s="126" t="s">
        <v>1</v>
      </c>
      <c r="T246" s="127">
        <f t="shared" si="111"/>
        <v>1.1271522936451301E-2</v>
      </c>
      <c r="U246" s="47"/>
      <c r="W246" s="51" t="s">
        <v>1</v>
      </c>
    </row>
    <row r="247" spans="2:23" ht="14" customHeight="1" thickTop="1" thickBot="1" x14ac:dyDescent="0.2">
      <c r="B247" s="29" t="s">
        <v>1</v>
      </c>
      <c r="C247" s="33" t="str">
        <f>C183</f>
        <v>Samedi</v>
      </c>
      <c r="D247" s="21" t="s">
        <v>1</v>
      </c>
      <c r="E247" s="21">
        <f>'Calendrier 2023'!E34</f>
        <v>44982</v>
      </c>
      <c r="F247" s="21" t="s">
        <v>1</v>
      </c>
      <c r="G247" s="21" t="s">
        <v>1</v>
      </c>
      <c r="H247" s="21" t="s">
        <v>1</v>
      </c>
      <c r="I247" s="21" t="s">
        <v>1</v>
      </c>
      <c r="J247" s="21" t="s">
        <v>1</v>
      </c>
      <c r="K247" s="21" t="s">
        <v>1</v>
      </c>
      <c r="L247" s="21" t="s">
        <v>1</v>
      </c>
      <c r="M247" s="21" t="s">
        <v>1</v>
      </c>
      <c r="N247" s="21" t="s">
        <v>1</v>
      </c>
      <c r="O247" s="21" t="s">
        <v>1</v>
      </c>
      <c r="P247" s="109" t="s">
        <v>1</v>
      </c>
      <c r="Q247" s="110"/>
      <c r="R247" s="51"/>
      <c r="S247" s="19" t="s">
        <v>1</v>
      </c>
      <c r="T247" s="22" t="s">
        <v>1</v>
      </c>
      <c r="U247" s="51" t="s">
        <v>1</v>
      </c>
      <c r="W247" s="51" t="s">
        <v>1</v>
      </c>
    </row>
    <row r="248" spans="2:23" ht="14" customHeight="1" thickTop="1" thickBot="1" x14ac:dyDescent="0.2">
      <c r="B248" s="23">
        <v>1</v>
      </c>
      <c r="C248" s="10" t="str">
        <f t="shared" ref="C248:C254" si="126">C239</f>
        <v>6 h à 9 h 30</v>
      </c>
      <c r="D248" s="11">
        <v>3</v>
      </c>
      <c r="E248" s="11">
        <v>3</v>
      </c>
      <c r="F248" s="11">
        <v>4</v>
      </c>
      <c r="G248" s="11">
        <v>5</v>
      </c>
      <c r="H248" s="11">
        <v>6</v>
      </c>
      <c r="I248" s="11">
        <v>7</v>
      </c>
      <c r="J248" s="11">
        <v>8</v>
      </c>
      <c r="K248" s="11">
        <v>9</v>
      </c>
      <c r="L248" s="11">
        <v>9</v>
      </c>
      <c r="M248" s="11">
        <v>9</v>
      </c>
      <c r="N248" s="11">
        <v>9</v>
      </c>
      <c r="O248" s="11">
        <v>8</v>
      </c>
      <c r="P248" s="11">
        <v>8</v>
      </c>
      <c r="Q248" s="118">
        <f>+SUM(D248:P248)</f>
        <v>88</v>
      </c>
      <c r="R248" s="57"/>
      <c r="S248" s="122">
        <f t="shared" ref="S248:S254" si="127">SUM(D248:P248)/$Q$267</f>
        <v>1.6102175623501857E-3</v>
      </c>
      <c r="T248" s="128"/>
      <c r="U248" s="45"/>
      <c r="W248" s="52"/>
    </row>
    <row r="249" spans="2:23" ht="14" customHeight="1" thickTop="1" thickBot="1" x14ac:dyDescent="0.2">
      <c r="B249" s="23">
        <v>2</v>
      </c>
      <c r="C249" s="13" t="str">
        <f t="shared" si="126"/>
        <v>9 h 30 à 11 h 30</v>
      </c>
      <c r="D249" s="14">
        <v>3</v>
      </c>
      <c r="E249" s="14">
        <v>3</v>
      </c>
      <c r="F249" s="14">
        <v>4</v>
      </c>
      <c r="G249" s="14">
        <v>5</v>
      </c>
      <c r="H249" s="14">
        <v>6</v>
      </c>
      <c r="I249" s="14">
        <v>7</v>
      </c>
      <c r="J249" s="14">
        <v>8</v>
      </c>
      <c r="K249" s="14">
        <v>9</v>
      </c>
      <c r="L249" s="14">
        <v>9</v>
      </c>
      <c r="M249" s="14">
        <v>9</v>
      </c>
      <c r="N249" s="14">
        <v>9</v>
      </c>
      <c r="O249" s="14">
        <v>8</v>
      </c>
      <c r="P249" s="14">
        <v>8</v>
      </c>
      <c r="Q249" s="119">
        <f>+SUM(D249:P249)</f>
        <v>88</v>
      </c>
      <c r="R249" s="57"/>
      <c r="S249" s="124">
        <f t="shared" si="127"/>
        <v>1.6102175623501857E-3</v>
      </c>
      <c r="T249" s="129"/>
      <c r="U249" s="45"/>
    </row>
    <row r="250" spans="2:23" ht="14" customHeight="1" thickTop="1" thickBot="1" x14ac:dyDescent="0.2">
      <c r="B250" s="23">
        <v>3</v>
      </c>
      <c r="C250" s="13" t="str">
        <f t="shared" si="126"/>
        <v>11 h 30 à 14 h 30</v>
      </c>
      <c r="D250" s="37">
        <v>3</v>
      </c>
      <c r="E250" s="37">
        <v>3</v>
      </c>
      <c r="F250" s="37">
        <v>4</v>
      </c>
      <c r="G250" s="37">
        <v>5</v>
      </c>
      <c r="H250" s="37">
        <v>6</v>
      </c>
      <c r="I250" s="37">
        <v>7</v>
      </c>
      <c r="J250" s="37">
        <v>8</v>
      </c>
      <c r="K250" s="37">
        <v>9</v>
      </c>
      <c r="L250" s="37">
        <v>9</v>
      </c>
      <c r="M250" s="37">
        <v>9</v>
      </c>
      <c r="N250" s="37">
        <v>9</v>
      </c>
      <c r="O250" s="37">
        <v>8</v>
      </c>
      <c r="P250" s="37">
        <v>8</v>
      </c>
      <c r="Q250" s="119">
        <f t="shared" ref="Q250:Q254" si="128">+SUM(D250:P250)</f>
        <v>88</v>
      </c>
      <c r="R250" s="57"/>
      <c r="S250" s="124">
        <f t="shared" si="127"/>
        <v>1.6102175623501857E-3</v>
      </c>
      <c r="T250" s="129"/>
      <c r="U250" s="45"/>
    </row>
    <row r="251" spans="2:23" ht="14" customHeight="1" thickTop="1" thickBot="1" x14ac:dyDescent="0.2">
      <c r="B251" s="23">
        <v>4</v>
      </c>
      <c r="C251" s="13" t="str">
        <f t="shared" si="126"/>
        <v>14 h 30 à 17 h</v>
      </c>
      <c r="D251" s="37">
        <v>3</v>
      </c>
      <c r="E251" s="37">
        <v>3</v>
      </c>
      <c r="F251" s="37">
        <v>4</v>
      </c>
      <c r="G251" s="37">
        <v>5</v>
      </c>
      <c r="H251" s="37">
        <v>6</v>
      </c>
      <c r="I251" s="37">
        <v>7</v>
      </c>
      <c r="J251" s="37">
        <v>8</v>
      </c>
      <c r="K251" s="37">
        <v>9</v>
      </c>
      <c r="L251" s="37">
        <v>9</v>
      </c>
      <c r="M251" s="37">
        <v>9</v>
      </c>
      <c r="N251" s="37">
        <v>9</v>
      </c>
      <c r="O251" s="37">
        <v>8</v>
      </c>
      <c r="P251" s="37">
        <v>8</v>
      </c>
      <c r="Q251" s="119">
        <f t="shared" si="128"/>
        <v>88</v>
      </c>
      <c r="R251" s="57"/>
      <c r="S251" s="124">
        <f t="shared" si="127"/>
        <v>1.6102175623501857E-3</v>
      </c>
      <c r="T251" s="129"/>
      <c r="U251" s="45"/>
    </row>
    <row r="252" spans="2:23" ht="14" customHeight="1" thickTop="1" thickBot="1" x14ac:dyDescent="0.2">
      <c r="B252" s="23">
        <v>5</v>
      </c>
      <c r="C252" s="13" t="str">
        <f t="shared" si="126"/>
        <v>17 h à 19 h</v>
      </c>
      <c r="D252" s="37">
        <v>3</v>
      </c>
      <c r="E252" s="37">
        <v>3</v>
      </c>
      <c r="F252" s="37">
        <v>4</v>
      </c>
      <c r="G252" s="37">
        <v>5</v>
      </c>
      <c r="H252" s="37">
        <v>6</v>
      </c>
      <c r="I252" s="37">
        <v>7</v>
      </c>
      <c r="J252" s="37">
        <v>8</v>
      </c>
      <c r="K252" s="37">
        <v>9</v>
      </c>
      <c r="L252" s="37">
        <v>9</v>
      </c>
      <c r="M252" s="37">
        <v>9</v>
      </c>
      <c r="N252" s="37">
        <v>9</v>
      </c>
      <c r="O252" s="37">
        <v>8</v>
      </c>
      <c r="P252" s="37">
        <v>8</v>
      </c>
      <c r="Q252" s="119">
        <f t="shared" si="128"/>
        <v>88</v>
      </c>
      <c r="R252" s="57"/>
      <c r="S252" s="124">
        <f t="shared" si="127"/>
        <v>1.6102175623501857E-3</v>
      </c>
      <c r="T252" s="129"/>
      <c r="U252" s="45"/>
    </row>
    <row r="253" spans="2:23" ht="14" customHeight="1" thickTop="1" thickBot="1" x14ac:dyDescent="0.2">
      <c r="B253" s="23">
        <v>6</v>
      </c>
      <c r="C253" s="13" t="str">
        <f t="shared" si="126"/>
        <v>19 h à 23 h</v>
      </c>
      <c r="D253" s="37">
        <v>3</v>
      </c>
      <c r="E253" s="37">
        <v>3</v>
      </c>
      <c r="F253" s="37">
        <v>4</v>
      </c>
      <c r="G253" s="37">
        <v>5</v>
      </c>
      <c r="H253" s="37">
        <v>6</v>
      </c>
      <c r="I253" s="37">
        <v>7</v>
      </c>
      <c r="J253" s="37">
        <v>8</v>
      </c>
      <c r="K253" s="37">
        <v>9</v>
      </c>
      <c r="L253" s="37">
        <v>9</v>
      </c>
      <c r="M253" s="37">
        <v>9</v>
      </c>
      <c r="N253" s="37">
        <v>9</v>
      </c>
      <c r="O253" s="37">
        <v>8</v>
      </c>
      <c r="P253" s="37">
        <v>8</v>
      </c>
      <c r="Q253" s="119">
        <f t="shared" si="128"/>
        <v>88</v>
      </c>
      <c r="R253" s="57"/>
      <c r="S253" s="124">
        <f t="shared" si="127"/>
        <v>1.6102175623501857E-3</v>
      </c>
      <c r="T253" s="129"/>
      <c r="U253" s="45"/>
    </row>
    <row r="254" spans="2:23" ht="14" customHeight="1" thickTop="1" thickBot="1" x14ac:dyDescent="0.2">
      <c r="B254" s="23">
        <v>7</v>
      </c>
      <c r="C254" s="13" t="str">
        <f t="shared" si="126"/>
        <v>23 h à 6 h</v>
      </c>
      <c r="D254" s="14">
        <v>3</v>
      </c>
      <c r="E254" s="14">
        <v>3</v>
      </c>
      <c r="F254" s="14">
        <v>4</v>
      </c>
      <c r="G254" s="14">
        <v>5</v>
      </c>
      <c r="H254" s="14">
        <v>6</v>
      </c>
      <c r="I254" s="14">
        <v>7</v>
      </c>
      <c r="J254" s="14">
        <v>8</v>
      </c>
      <c r="K254" s="14">
        <v>9</v>
      </c>
      <c r="L254" s="14">
        <v>9</v>
      </c>
      <c r="M254" s="14">
        <v>9</v>
      </c>
      <c r="N254" s="14">
        <v>9</v>
      </c>
      <c r="O254" s="14">
        <v>8</v>
      </c>
      <c r="P254" s="14">
        <v>8</v>
      </c>
      <c r="Q254" s="119">
        <f t="shared" si="128"/>
        <v>88</v>
      </c>
      <c r="R254" s="57"/>
      <c r="S254" s="124">
        <f t="shared" si="127"/>
        <v>1.6102175623501857E-3</v>
      </c>
      <c r="T254" s="129"/>
      <c r="U254" s="45"/>
    </row>
    <row r="255" spans="2:23" ht="14" customHeight="1" thickTop="1" thickBot="1" x14ac:dyDescent="0.2">
      <c r="B255" s="25"/>
      <c r="C255" s="32" t="str">
        <f t="shared" ref="C255" si="129">+C246</f>
        <v>Total</v>
      </c>
      <c r="D255" s="27">
        <f t="shared" ref="D255:L255" si="130">+D248+D249+D250+D251+D252+D253+D254</f>
        <v>21</v>
      </c>
      <c r="E255" s="27">
        <f t="shared" si="130"/>
        <v>21</v>
      </c>
      <c r="F255" s="27">
        <f t="shared" si="130"/>
        <v>28</v>
      </c>
      <c r="G255" s="27">
        <f t="shared" si="130"/>
        <v>35</v>
      </c>
      <c r="H255" s="27">
        <f t="shared" si="130"/>
        <v>42</v>
      </c>
      <c r="I255" s="27">
        <f t="shared" si="130"/>
        <v>49</v>
      </c>
      <c r="J255" s="27">
        <f t="shared" si="130"/>
        <v>56</v>
      </c>
      <c r="K255" s="27">
        <f t="shared" si="130"/>
        <v>63</v>
      </c>
      <c r="L255" s="27">
        <f t="shared" si="130"/>
        <v>63</v>
      </c>
      <c r="M255" s="27">
        <f>+M248+M249+M250+M251+M252+M253+M254</f>
        <v>63</v>
      </c>
      <c r="N255" s="27">
        <f>+N248+N249+N250+N251+N252+N253+N254</f>
        <v>63</v>
      </c>
      <c r="O255" s="27">
        <f>+O248+O249+O250+O251+O252+O253+O254</f>
        <v>56</v>
      </c>
      <c r="P255" s="27">
        <f>+P248+P249+P250+P251+P252+P253+P254</f>
        <v>56</v>
      </c>
      <c r="Q255" s="105">
        <f>+SUM(D255:P255)</f>
        <v>616</v>
      </c>
      <c r="R255" s="59"/>
      <c r="S255" s="126" t="s">
        <v>1</v>
      </c>
      <c r="T255" s="127">
        <f t="shared" si="111"/>
        <v>1.1271522936451301E-2</v>
      </c>
      <c r="U255" s="47"/>
      <c r="V255" s="52"/>
      <c r="W255" s="52"/>
    </row>
    <row r="256" spans="2:23" ht="14" customHeight="1" thickTop="1" thickBot="1" x14ac:dyDescent="0.2">
      <c r="B256" s="29" t="s">
        <v>1</v>
      </c>
      <c r="C256" s="30" t="str">
        <f>C192</f>
        <v>Dimanche</v>
      </c>
      <c r="D256" s="21" t="s">
        <v>1</v>
      </c>
      <c r="E256" s="21">
        <f>'Calendrier 2023'!E35</f>
        <v>44983</v>
      </c>
      <c r="F256" s="21" t="s">
        <v>1</v>
      </c>
      <c r="G256" s="21" t="s">
        <v>1</v>
      </c>
      <c r="H256" s="21" t="s">
        <v>1</v>
      </c>
      <c r="I256" s="21" t="s">
        <v>1</v>
      </c>
      <c r="J256" s="21" t="s">
        <v>1</v>
      </c>
      <c r="K256" s="21" t="s">
        <v>1</v>
      </c>
      <c r="L256" s="21" t="s">
        <v>1</v>
      </c>
      <c r="M256" s="21" t="s">
        <v>1</v>
      </c>
      <c r="N256" s="21" t="s">
        <v>1</v>
      </c>
      <c r="O256" s="21" t="s">
        <v>1</v>
      </c>
      <c r="P256" s="109" t="s">
        <v>1</v>
      </c>
      <c r="Q256" s="110"/>
      <c r="R256" s="51"/>
      <c r="S256" s="19" t="s">
        <v>1</v>
      </c>
      <c r="T256" s="22" t="s">
        <v>1</v>
      </c>
      <c r="U256" s="51" t="s">
        <v>1</v>
      </c>
      <c r="V256" s="51" t="s">
        <v>1</v>
      </c>
      <c r="W256" s="51" t="s">
        <v>1</v>
      </c>
    </row>
    <row r="257" spans="2:22" ht="14" customHeight="1" thickTop="1" thickBot="1" x14ac:dyDescent="0.2">
      <c r="B257" s="24">
        <v>1</v>
      </c>
      <c r="C257" s="10" t="str">
        <f t="shared" ref="C257:C263" si="131">C248</f>
        <v>6 h à 9 h 30</v>
      </c>
      <c r="D257" s="11">
        <v>3</v>
      </c>
      <c r="E257" s="11">
        <v>3</v>
      </c>
      <c r="F257" s="11">
        <v>4</v>
      </c>
      <c r="G257" s="11">
        <v>5</v>
      </c>
      <c r="H257" s="11">
        <v>6</v>
      </c>
      <c r="I257" s="11">
        <v>7</v>
      </c>
      <c r="J257" s="11">
        <v>8</v>
      </c>
      <c r="K257" s="11">
        <v>9</v>
      </c>
      <c r="L257" s="11">
        <v>9</v>
      </c>
      <c r="M257" s="11">
        <v>9</v>
      </c>
      <c r="N257" s="11">
        <v>9</v>
      </c>
      <c r="O257" s="11">
        <v>8</v>
      </c>
      <c r="P257" s="11">
        <v>8</v>
      </c>
      <c r="Q257" s="118">
        <f>+SUM(D257:P257)</f>
        <v>88</v>
      </c>
      <c r="R257" s="57"/>
      <c r="S257" s="122">
        <f t="shared" ref="S257:S263" si="132">SUM(D257:P257)/$Q$267</f>
        <v>1.6102175623501857E-3</v>
      </c>
      <c r="T257" s="128"/>
      <c r="U257" s="45"/>
    </row>
    <row r="258" spans="2:22" ht="14" customHeight="1" thickTop="1" thickBot="1" x14ac:dyDescent="0.2">
      <c r="B258" s="23">
        <v>2</v>
      </c>
      <c r="C258" s="13" t="str">
        <f t="shared" si="131"/>
        <v>9 h 30 à 11 h 30</v>
      </c>
      <c r="D258" s="14">
        <v>3</v>
      </c>
      <c r="E258" s="14">
        <v>3</v>
      </c>
      <c r="F258" s="14">
        <v>4</v>
      </c>
      <c r="G258" s="14">
        <v>5</v>
      </c>
      <c r="H258" s="14">
        <v>6</v>
      </c>
      <c r="I258" s="14">
        <v>7</v>
      </c>
      <c r="J258" s="14">
        <v>8</v>
      </c>
      <c r="K258" s="14">
        <v>9</v>
      </c>
      <c r="L258" s="14">
        <v>9</v>
      </c>
      <c r="M258" s="14">
        <v>9</v>
      </c>
      <c r="N258" s="14">
        <v>9</v>
      </c>
      <c r="O258" s="14">
        <v>8</v>
      </c>
      <c r="P258" s="14">
        <v>8</v>
      </c>
      <c r="Q258" s="119">
        <f>+SUM(D258:P258)</f>
        <v>88</v>
      </c>
      <c r="R258" s="57"/>
      <c r="S258" s="124">
        <f t="shared" si="132"/>
        <v>1.6102175623501857E-3</v>
      </c>
      <c r="T258" s="129"/>
      <c r="U258" s="45"/>
    </row>
    <row r="259" spans="2:22" ht="14" customHeight="1" thickTop="1" thickBot="1" x14ac:dyDescent="0.2">
      <c r="B259" s="23">
        <v>3</v>
      </c>
      <c r="C259" s="13" t="str">
        <f t="shared" si="131"/>
        <v>11 h 30 à 14 h 30</v>
      </c>
      <c r="D259" s="37">
        <v>3</v>
      </c>
      <c r="E259" s="37">
        <v>3</v>
      </c>
      <c r="F259" s="37">
        <v>4</v>
      </c>
      <c r="G259" s="37">
        <v>5</v>
      </c>
      <c r="H259" s="37">
        <v>6</v>
      </c>
      <c r="I259" s="37">
        <v>7</v>
      </c>
      <c r="J259" s="37">
        <v>8</v>
      </c>
      <c r="K259" s="37">
        <v>9</v>
      </c>
      <c r="L259" s="37">
        <v>9</v>
      </c>
      <c r="M259" s="37">
        <v>9</v>
      </c>
      <c r="N259" s="37">
        <v>9</v>
      </c>
      <c r="O259" s="37">
        <v>8</v>
      </c>
      <c r="P259" s="37">
        <v>8</v>
      </c>
      <c r="Q259" s="119">
        <f t="shared" ref="Q259:Q263" si="133">+SUM(D259:P259)</f>
        <v>88</v>
      </c>
      <c r="R259" s="57"/>
      <c r="S259" s="124">
        <f t="shared" si="132"/>
        <v>1.6102175623501857E-3</v>
      </c>
      <c r="T259" s="129"/>
      <c r="U259" s="45"/>
    </row>
    <row r="260" spans="2:22" ht="14" customHeight="1" thickTop="1" thickBot="1" x14ac:dyDescent="0.2">
      <c r="B260" s="23">
        <v>4</v>
      </c>
      <c r="C260" s="13" t="str">
        <f t="shared" si="131"/>
        <v>14 h 30 à 17 h</v>
      </c>
      <c r="D260" s="37">
        <v>3</v>
      </c>
      <c r="E260" s="37">
        <v>3</v>
      </c>
      <c r="F260" s="37">
        <v>4</v>
      </c>
      <c r="G260" s="37">
        <v>5</v>
      </c>
      <c r="H260" s="37">
        <v>6</v>
      </c>
      <c r="I260" s="37">
        <v>7</v>
      </c>
      <c r="J260" s="37">
        <v>8</v>
      </c>
      <c r="K260" s="37">
        <v>9</v>
      </c>
      <c r="L260" s="37">
        <v>9</v>
      </c>
      <c r="M260" s="37">
        <v>9</v>
      </c>
      <c r="N260" s="37">
        <v>9</v>
      </c>
      <c r="O260" s="37">
        <v>8</v>
      </c>
      <c r="P260" s="37">
        <v>8</v>
      </c>
      <c r="Q260" s="119">
        <f t="shared" si="133"/>
        <v>88</v>
      </c>
      <c r="R260" s="57"/>
      <c r="S260" s="124">
        <f t="shared" si="132"/>
        <v>1.6102175623501857E-3</v>
      </c>
      <c r="T260" s="129"/>
      <c r="U260" s="45"/>
    </row>
    <row r="261" spans="2:22" ht="14" customHeight="1" thickTop="1" thickBot="1" x14ac:dyDescent="0.2">
      <c r="B261" s="23">
        <v>5</v>
      </c>
      <c r="C261" s="13" t="str">
        <f t="shared" si="131"/>
        <v>17 h à 19 h</v>
      </c>
      <c r="D261" s="37">
        <v>3</v>
      </c>
      <c r="E261" s="37">
        <v>3</v>
      </c>
      <c r="F261" s="37">
        <v>4</v>
      </c>
      <c r="G261" s="37">
        <v>5</v>
      </c>
      <c r="H261" s="37">
        <v>6</v>
      </c>
      <c r="I261" s="37">
        <v>7</v>
      </c>
      <c r="J261" s="37">
        <v>8</v>
      </c>
      <c r="K261" s="37">
        <v>9</v>
      </c>
      <c r="L261" s="37">
        <v>9</v>
      </c>
      <c r="M261" s="37">
        <v>9</v>
      </c>
      <c r="N261" s="37">
        <v>9</v>
      </c>
      <c r="O261" s="37">
        <v>8</v>
      </c>
      <c r="P261" s="37">
        <v>8</v>
      </c>
      <c r="Q261" s="119">
        <f t="shared" si="133"/>
        <v>88</v>
      </c>
      <c r="R261" s="57"/>
      <c r="S261" s="124">
        <f t="shared" si="132"/>
        <v>1.6102175623501857E-3</v>
      </c>
      <c r="T261" s="129"/>
      <c r="U261" s="45"/>
    </row>
    <row r="262" spans="2:22" ht="14" customHeight="1" thickTop="1" thickBot="1" x14ac:dyDescent="0.2">
      <c r="B262" s="23">
        <v>6</v>
      </c>
      <c r="C262" s="13" t="str">
        <f t="shared" si="131"/>
        <v>19 h à 23 h</v>
      </c>
      <c r="D262" s="37">
        <v>3</v>
      </c>
      <c r="E262" s="37">
        <v>3</v>
      </c>
      <c r="F262" s="37">
        <v>4</v>
      </c>
      <c r="G262" s="37">
        <v>5</v>
      </c>
      <c r="H262" s="37">
        <v>6</v>
      </c>
      <c r="I262" s="37">
        <v>7</v>
      </c>
      <c r="J262" s="37">
        <v>8</v>
      </c>
      <c r="K262" s="37">
        <v>9</v>
      </c>
      <c r="L262" s="37">
        <v>9</v>
      </c>
      <c r="M262" s="37">
        <v>9</v>
      </c>
      <c r="N262" s="37">
        <v>9</v>
      </c>
      <c r="O262" s="37">
        <v>8</v>
      </c>
      <c r="P262" s="37">
        <v>8</v>
      </c>
      <c r="Q262" s="119">
        <f t="shared" si="133"/>
        <v>88</v>
      </c>
      <c r="R262" s="57"/>
      <c r="S262" s="124">
        <f t="shared" si="132"/>
        <v>1.6102175623501857E-3</v>
      </c>
      <c r="T262" s="129"/>
      <c r="U262" s="45"/>
    </row>
    <row r="263" spans="2:22" ht="14" customHeight="1" thickTop="1" thickBot="1" x14ac:dyDescent="0.2">
      <c r="B263" s="23">
        <v>7</v>
      </c>
      <c r="C263" s="13" t="str">
        <f t="shared" si="131"/>
        <v>23 h à 6 h</v>
      </c>
      <c r="D263" s="14">
        <v>1000</v>
      </c>
      <c r="E263" s="14">
        <v>1000</v>
      </c>
      <c r="F263" s="14">
        <v>1500</v>
      </c>
      <c r="G263" s="14">
        <v>2000</v>
      </c>
      <c r="H263" s="14">
        <v>2500</v>
      </c>
      <c r="I263" s="14">
        <v>3000</v>
      </c>
      <c r="J263" s="14">
        <v>3500</v>
      </c>
      <c r="K263" s="14">
        <v>4000</v>
      </c>
      <c r="L263" s="14">
        <v>4000</v>
      </c>
      <c r="M263" s="14">
        <v>4000</v>
      </c>
      <c r="N263" s="14">
        <v>4000</v>
      </c>
      <c r="O263" s="14">
        <v>3500</v>
      </c>
      <c r="P263" s="14">
        <v>3500</v>
      </c>
      <c r="Q263" s="119">
        <f t="shared" si="133"/>
        <v>37500</v>
      </c>
      <c r="R263" s="57"/>
      <c r="S263" s="124">
        <f t="shared" si="132"/>
        <v>0.68617225668331783</v>
      </c>
      <c r="T263" s="129"/>
      <c r="U263" s="45"/>
    </row>
    <row r="264" spans="2:22" ht="14" customHeight="1" thickTop="1" thickBot="1" x14ac:dyDescent="0.2">
      <c r="B264" s="25"/>
      <c r="C264" s="114" t="str">
        <f t="shared" ref="C264" si="134">+C255</f>
        <v>Total</v>
      </c>
      <c r="D264" s="115">
        <f t="shared" ref="D264:L264" si="135">+D257+D258+D259+D260+D261+D262+D263</f>
        <v>1018</v>
      </c>
      <c r="E264" s="115">
        <f t="shared" si="135"/>
        <v>1018</v>
      </c>
      <c r="F264" s="115">
        <f t="shared" si="135"/>
        <v>1524</v>
      </c>
      <c r="G264" s="115">
        <f t="shared" si="135"/>
        <v>2030</v>
      </c>
      <c r="H264" s="115">
        <f t="shared" si="135"/>
        <v>2536</v>
      </c>
      <c r="I264" s="115">
        <f t="shared" si="135"/>
        <v>3042</v>
      </c>
      <c r="J264" s="115">
        <f t="shared" si="135"/>
        <v>3548</v>
      </c>
      <c r="K264" s="115">
        <f t="shared" si="135"/>
        <v>4054</v>
      </c>
      <c r="L264" s="115">
        <f t="shared" si="135"/>
        <v>4054</v>
      </c>
      <c r="M264" s="115">
        <f>+M257+M258+M259+M260+M261+M262+M263</f>
        <v>4054</v>
      </c>
      <c r="N264" s="115">
        <f>+N257+N258+N259+N260+N261+N262+N263</f>
        <v>4054</v>
      </c>
      <c r="O264" s="115">
        <f>+O257+O258+O259+O260+O261+O262+O263</f>
        <v>3548</v>
      </c>
      <c r="P264" s="115">
        <f>+P257+P258+P259+P260+P261+P262+P263</f>
        <v>3548</v>
      </c>
      <c r="Q264" s="105">
        <f>+SUM(D264:P264)</f>
        <v>38028</v>
      </c>
      <c r="R264" s="59"/>
      <c r="S264" s="126" t="s">
        <v>1</v>
      </c>
      <c r="T264" s="127">
        <f t="shared" si="111"/>
        <v>0.69583356205741898</v>
      </c>
      <c r="U264" s="47"/>
    </row>
    <row r="265" spans="2:22" ht="14" customHeight="1" thickTop="1" thickBot="1" x14ac:dyDescent="0.2">
      <c r="B265" s="1298" t="s">
        <v>1</v>
      </c>
      <c r="C265" s="1299"/>
      <c r="D265" s="1299"/>
      <c r="E265" s="1299"/>
      <c r="F265" s="1299"/>
      <c r="G265" s="1299"/>
      <c r="H265" s="1299"/>
      <c r="I265" s="1299"/>
      <c r="J265" s="1299"/>
      <c r="K265" s="1299"/>
      <c r="L265" s="1299"/>
      <c r="M265" s="1299"/>
      <c r="N265" s="1299"/>
      <c r="O265" s="1299"/>
      <c r="P265" s="1300"/>
      <c r="Q265" s="1301"/>
      <c r="R265" s="50"/>
      <c r="S265" s="66">
        <f>SUM(S11:S264)</f>
        <v>1.0000182979268457</v>
      </c>
      <c r="T265" s="137">
        <f>SUM(T11:T264)</f>
        <v>1.000018297926845</v>
      </c>
      <c r="U265" s="121"/>
      <c r="V265" s="64"/>
    </row>
    <row r="266" spans="2:22" ht="14" customHeight="1" thickTop="1" thickBot="1" x14ac:dyDescent="0.2">
      <c r="R266" s="52"/>
      <c r="S266" s="52"/>
      <c r="T266" s="52"/>
    </row>
    <row r="267" spans="2:22" ht="14" customHeight="1" thickTop="1" x14ac:dyDescent="0.15">
      <c r="B267" s="1296" t="s">
        <v>14</v>
      </c>
      <c r="C267" s="1297"/>
      <c r="D267" s="38">
        <f>+D18+D27+D36+D45+D54+D63+D72+D82+D91+D100+D109+D118+D127+D136+D146+D155+D164+D173+D182+D191+D200+D210+D219+D228+D237+D246+D255+D264</f>
        <v>1585</v>
      </c>
      <c r="E267" s="38">
        <f t="shared" ref="E267:P267" si="136">+E18+E27+E36+E45+E54+E63+E72+E82+E91+E100+E109+E118+E127+E136+E146+E155+E164+E173+E182+E191+E200+E210+E219+E228+E237+E246+E255+E264</f>
        <v>1585</v>
      </c>
      <c r="F267" s="38">
        <f t="shared" si="136"/>
        <v>2280</v>
      </c>
      <c r="G267" s="38">
        <f>+G18+G27+G36+G45+G54+G63+G72+G82+G91+G100+G109+G118+G127+G136+G146+G155+G164+G173+G182+G191+G200+G210+G219+G228+G237+G246+G255+G264</f>
        <v>2975</v>
      </c>
      <c r="H267" s="38">
        <f t="shared" si="136"/>
        <v>3670</v>
      </c>
      <c r="I267" s="38">
        <f t="shared" si="136"/>
        <v>4365</v>
      </c>
      <c r="J267" s="38">
        <f t="shared" si="136"/>
        <v>5051</v>
      </c>
      <c r="K267" s="38">
        <f t="shared" si="136"/>
        <v>5755</v>
      </c>
      <c r="L267" s="38">
        <f t="shared" si="136"/>
        <v>5755</v>
      </c>
      <c r="M267" s="38">
        <f t="shared" si="136"/>
        <v>5755</v>
      </c>
      <c r="N267" s="38">
        <f t="shared" si="136"/>
        <v>5755</v>
      </c>
      <c r="O267" s="38">
        <f t="shared" si="136"/>
        <v>5060</v>
      </c>
      <c r="P267" s="38">
        <f t="shared" si="136"/>
        <v>5060</v>
      </c>
      <c r="Q267" s="1018">
        <f>+SUM(D267:P267)</f>
        <v>54651</v>
      </c>
      <c r="R267" s="1018"/>
      <c r="S267" s="1019" t="s">
        <v>13</v>
      </c>
      <c r="T267" s="1020"/>
    </row>
    <row r="268" spans="2:22" ht="14" customHeight="1" thickBot="1" x14ac:dyDescent="0.2">
      <c r="B268" s="1302" t="s">
        <v>401</v>
      </c>
      <c r="C268" s="1303"/>
      <c r="D268" s="40">
        <f t="shared" ref="D268:P268" si="137">+D267/D8</f>
        <v>56.607142857142854</v>
      </c>
      <c r="E268" s="40">
        <f t="shared" si="137"/>
        <v>56.607142857142854</v>
      </c>
      <c r="F268" s="40">
        <f t="shared" si="137"/>
        <v>81.428571428571431</v>
      </c>
      <c r="G268" s="40">
        <f t="shared" si="137"/>
        <v>106.25</v>
      </c>
      <c r="H268" s="40">
        <f t="shared" si="137"/>
        <v>131.07142857142858</v>
      </c>
      <c r="I268" s="40">
        <f t="shared" si="137"/>
        <v>155.89285714285714</v>
      </c>
      <c r="J268" s="40">
        <f t="shared" si="137"/>
        <v>180.39285714285714</v>
      </c>
      <c r="K268" s="40">
        <f t="shared" si="137"/>
        <v>205.53571428571428</v>
      </c>
      <c r="L268" s="40">
        <f t="shared" si="137"/>
        <v>205.53571428571428</v>
      </c>
      <c r="M268" s="40">
        <f t="shared" si="137"/>
        <v>205.53571428571428</v>
      </c>
      <c r="N268" s="40">
        <f t="shared" si="137"/>
        <v>205.53571428571428</v>
      </c>
      <c r="O268" s="40">
        <f t="shared" si="137"/>
        <v>180.71428571428572</v>
      </c>
      <c r="P268" s="40">
        <f t="shared" si="137"/>
        <v>180.71428571428572</v>
      </c>
      <c r="Q268" s="1021">
        <f>Q267/Q8</f>
        <v>150.1401098901099</v>
      </c>
      <c r="R268" s="1021"/>
      <c r="S268" s="1304" t="s">
        <v>404</v>
      </c>
      <c r="T268" s="1305"/>
    </row>
    <row r="269" spans="2:22" ht="14" customHeight="1" thickTop="1" thickBot="1" x14ac:dyDescent="0.2">
      <c r="P269" s="41" t="s">
        <v>1</v>
      </c>
      <c r="Q269" s="41"/>
      <c r="R269" s="60"/>
      <c r="S269" s="60"/>
      <c r="T269" s="60"/>
      <c r="U269" s="41"/>
    </row>
    <row r="270" spans="2:22" ht="14" customHeight="1" thickTop="1" x14ac:dyDescent="0.15">
      <c r="B270" s="1296" t="s">
        <v>402</v>
      </c>
      <c r="C270" s="1297"/>
      <c r="D270" s="67">
        <f t="shared" ref="D270:P270" si="138">D267/D7</f>
        <v>52.833333333333336</v>
      </c>
      <c r="E270" s="67">
        <f t="shared" si="138"/>
        <v>52.833333333333336</v>
      </c>
      <c r="F270" s="67">
        <f t="shared" si="138"/>
        <v>76</v>
      </c>
      <c r="G270" s="67">
        <f t="shared" si="138"/>
        <v>99.166666666666671</v>
      </c>
      <c r="H270" s="67">
        <f t="shared" si="138"/>
        <v>122.33333333333333</v>
      </c>
      <c r="I270" s="67">
        <f t="shared" si="138"/>
        <v>145.5</v>
      </c>
      <c r="J270" s="67">
        <f t="shared" si="138"/>
        <v>168.36666666666667</v>
      </c>
      <c r="K270" s="67">
        <f t="shared" si="138"/>
        <v>191.83333333333334</v>
      </c>
      <c r="L270" s="67">
        <f t="shared" si="138"/>
        <v>191.83333333333334</v>
      </c>
      <c r="M270" s="67">
        <f t="shared" si="138"/>
        <v>191.83333333333334</v>
      </c>
      <c r="N270" s="67">
        <f t="shared" si="138"/>
        <v>191.83333333333334</v>
      </c>
      <c r="O270" s="67">
        <f t="shared" si="138"/>
        <v>168.66666666666666</v>
      </c>
      <c r="P270" s="67">
        <f t="shared" si="138"/>
        <v>168.66666666666666</v>
      </c>
      <c r="Q270" s="1014">
        <f>Q267/Q7</f>
        <v>1821.7</v>
      </c>
      <c r="R270" s="1015"/>
      <c r="S270" s="1306" t="s">
        <v>403</v>
      </c>
      <c r="T270" s="1307"/>
      <c r="U270" s="65"/>
      <c r="V270" s="120"/>
    </row>
    <row r="271" spans="2:22" ht="14" customHeight="1" thickBot="1" x14ac:dyDescent="0.2">
      <c r="B271" s="1302" t="s">
        <v>44</v>
      </c>
      <c r="C271" s="1303"/>
      <c r="D271" s="68">
        <f t="shared" ref="D271:P271" si="139">D267/D7/D8</f>
        <v>1.8869047619047621</v>
      </c>
      <c r="E271" s="68">
        <f t="shared" si="139"/>
        <v>1.8869047619047621</v>
      </c>
      <c r="F271" s="68">
        <f t="shared" si="139"/>
        <v>2.7142857142857144</v>
      </c>
      <c r="G271" s="68">
        <f t="shared" si="139"/>
        <v>3.541666666666667</v>
      </c>
      <c r="H271" s="68">
        <f t="shared" si="139"/>
        <v>4.3690476190476186</v>
      </c>
      <c r="I271" s="68">
        <f t="shared" si="139"/>
        <v>5.1964285714285712</v>
      </c>
      <c r="J271" s="68">
        <f t="shared" si="139"/>
        <v>6.0130952380952385</v>
      </c>
      <c r="K271" s="68">
        <f t="shared" si="139"/>
        <v>6.8511904761904763</v>
      </c>
      <c r="L271" s="68">
        <f t="shared" si="139"/>
        <v>6.8511904761904763</v>
      </c>
      <c r="M271" s="68">
        <f t="shared" si="139"/>
        <v>6.8511904761904763</v>
      </c>
      <c r="N271" s="68">
        <f t="shared" si="139"/>
        <v>6.8511904761904763</v>
      </c>
      <c r="O271" s="68">
        <f t="shared" si="139"/>
        <v>6.0238095238095237</v>
      </c>
      <c r="P271" s="68">
        <f t="shared" si="139"/>
        <v>6.0238095238095237</v>
      </c>
      <c r="Q271" s="1016">
        <f>+Q267/Q7/Q8</f>
        <v>5.0046703296703301</v>
      </c>
      <c r="R271" s="1017"/>
      <c r="S271" s="1308" t="s">
        <v>43</v>
      </c>
      <c r="T271" s="1309"/>
      <c r="U271" s="65"/>
    </row>
    <row r="272" spans="2:22" ht="14" customHeight="1" thickTop="1" x14ac:dyDescent="0.15">
      <c r="D272" s="42" t="s">
        <v>1</v>
      </c>
      <c r="P272" s="43"/>
      <c r="Q272" s="43"/>
      <c r="R272" s="61"/>
      <c r="S272" s="61"/>
      <c r="T272" s="61"/>
      <c r="U272" s="43"/>
    </row>
    <row r="273" spans="4:20" ht="14" customHeight="1" x14ac:dyDescent="0.15">
      <c r="D273" s="42" t="s">
        <v>1</v>
      </c>
      <c r="R273" s="52"/>
      <c r="S273" s="52"/>
      <c r="T273" s="52"/>
    </row>
    <row r="274" spans="4:20" ht="14" customHeight="1" x14ac:dyDescent="0.15">
      <c r="D274" s="42" t="s">
        <v>1</v>
      </c>
      <c r="R274" s="52"/>
      <c r="S274" s="52"/>
      <c r="T274" s="52"/>
    </row>
    <row r="275" spans="4:20" ht="14" customHeight="1" x14ac:dyDescent="0.15">
      <c r="D275" s="42" t="s">
        <v>1</v>
      </c>
      <c r="R275" s="52"/>
      <c r="S275" s="52"/>
      <c r="T275" s="52"/>
    </row>
    <row r="276" spans="4:20" ht="14" customHeight="1" x14ac:dyDescent="0.15">
      <c r="D276" s="42" t="s">
        <v>1</v>
      </c>
      <c r="R276" s="52"/>
      <c r="S276" s="52"/>
      <c r="T276" s="52"/>
    </row>
    <row r="277" spans="4:20" ht="14" customHeight="1" x14ac:dyDescent="0.15">
      <c r="D277" s="42"/>
      <c r="R277" s="52"/>
      <c r="S277" s="52"/>
      <c r="T277" s="52"/>
    </row>
    <row r="278" spans="4:20" ht="14" customHeight="1" x14ac:dyDescent="0.15">
      <c r="D278" s="42" t="s">
        <v>1</v>
      </c>
      <c r="R278" s="52"/>
      <c r="S278" s="52"/>
      <c r="T278" s="52"/>
    </row>
    <row r="279" spans="4:20" ht="14" customHeight="1" x14ac:dyDescent="0.15">
      <c r="D279" s="42" t="s">
        <v>1</v>
      </c>
      <c r="R279" s="52"/>
      <c r="S279" s="52"/>
      <c r="T279" s="52"/>
    </row>
    <row r="280" spans="4:20" ht="14" customHeight="1" x14ac:dyDescent="0.15">
      <c r="D280" s="42" t="s">
        <v>1</v>
      </c>
      <c r="R280" s="52"/>
      <c r="S280" s="52"/>
      <c r="T280" s="52"/>
    </row>
    <row r="281" spans="4:20" ht="14" customHeight="1" x14ac:dyDescent="0.15">
      <c r="D281" s="42" t="s">
        <v>1</v>
      </c>
      <c r="R281" s="52"/>
      <c r="S281" s="52"/>
      <c r="T281" s="52"/>
    </row>
    <row r="282" spans="4:20" ht="14" customHeight="1" x14ac:dyDescent="0.15">
      <c r="D282" s="42" t="s">
        <v>1</v>
      </c>
      <c r="R282" s="52"/>
      <c r="S282" s="52"/>
      <c r="T282" s="52"/>
    </row>
    <row r="283" spans="4:20" ht="14" customHeight="1" x14ac:dyDescent="0.15"/>
    <row r="284" spans="4:20" ht="14" customHeight="1" x14ac:dyDescent="0.15"/>
    <row r="285" spans="4:20" ht="14" customHeight="1" x14ac:dyDescent="0.15"/>
    <row r="286" spans="4:20" ht="14" customHeight="1" x14ac:dyDescent="0.15"/>
    <row r="287" spans="4:20" ht="14" customHeight="1" x14ac:dyDescent="0.15"/>
    <row r="288" spans="4:20" ht="14" customHeight="1" x14ac:dyDescent="0.15"/>
    <row r="289" ht="14" customHeight="1" x14ac:dyDescent="0.15"/>
    <row r="290" ht="14" customHeight="1" x14ac:dyDescent="0.15"/>
    <row r="291" ht="14" customHeight="1" x14ac:dyDescent="0.15"/>
    <row r="292" ht="14" customHeight="1" x14ac:dyDescent="0.15"/>
    <row r="293" ht="14" customHeight="1" x14ac:dyDescent="0.15"/>
    <row r="294" ht="14" customHeight="1" x14ac:dyDescent="0.15"/>
    <row r="295" ht="14" customHeight="1" x14ac:dyDescent="0.15"/>
    <row r="296" ht="14" customHeight="1" x14ac:dyDescent="0.15"/>
    <row r="297" ht="14" customHeight="1" x14ac:dyDescent="0.15"/>
    <row r="298" ht="14" customHeight="1" x14ac:dyDescent="0.15"/>
    <row r="299" ht="14" customHeight="1" x14ac:dyDescent="0.15"/>
    <row r="300" ht="14" customHeight="1" x14ac:dyDescent="0.15"/>
    <row r="301" ht="14" customHeight="1" x14ac:dyDescent="0.15"/>
    <row r="302" ht="14" customHeight="1" x14ac:dyDescent="0.15"/>
    <row r="303" ht="14" customHeight="1" x14ac:dyDescent="0.15"/>
    <row r="304" ht="14" customHeight="1" x14ac:dyDescent="0.15"/>
    <row r="305" ht="14" customHeight="1" x14ac:dyDescent="0.15"/>
    <row r="306" ht="14" customHeight="1" x14ac:dyDescent="0.15"/>
    <row r="307" ht="14" customHeight="1" x14ac:dyDescent="0.15"/>
    <row r="308" ht="14" customHeight="1" x14ac:dyDescent="0.15"/>
    <row r="309" ht="14" customHeight="1" x14ac:dyDescent="0.15"/>
    <row r="310" ht="14" customHeight="1" x14ac:dyDescent="0.15"/>
    <row r="311" ht="14" customHeight="1" x14ac:dyDescent="0.15"/>
    <row r="312" ht="14" customHeight="1" x14ac:dyDescent="0.15"/>
    <row r="313" ht="14" customHeight="1" x14ac:dyDescent="0.15"/>
    <row r="314" ht="14" customHeight="1" x14ac:dyDescent="0.15"/>
    <row r="315" ht="14" customHeight="1" x14ac:dyDescent="0.15"/>
    <row r="316" ht="14" customHeight="1" x14ac:dyDescent="0.15"/>
    <row r="317" ht="14" customHeight="1" x14ac:dyDescent="0.15"/>
    <row r="318" ht="14" customHeight="1" x14ac:dyDescent="0.15"/>
    <row r="319" ht="14" customHeight="1" x14ac:dyDescent="0.15"/>
    <row r="320" ht="14" customHeight="1" x14ac:dyDescent="0.15"/>
    <row r="321" ht="14" customHeight="1" x14ac:dyDescent="0.15"/>
    <row r="322" ht="14" customHeight="1" x14ac:dyDescent="0.15"/>
    <row r="323" ht="14" customHeight="1" x14ac:dyDescent="0.15"/>
    <row r="324" ht="14" customHeight="1" x14ac:dyDescent="0.15"/>
    <row r="325" ht="14" customHeight="1" x14ac:dyDescent="0.15"/>
    <row r="326" ht="14" customHeight="1" x14ac:dyDescent="0.15"/>
    <row r="327" ht="14" customHeight="1" x14ac:dyDescent="0.15"/>
    <row r="328" ht="14" customHeight="1" x14ac:dyDescent="0.15"/>
    <row r="329" ht="14" customHeight="1" x14ac:dyDescent="0.15"/>
    <row r="330" ht="14" customHeight="1" x14ac:dyDescent="0.15"/>
    <row r="331" ht="14" customHeight="1" x14ac:dyDescent="0.15"/>
    <row r="332" ht="14" customHeight="1" x14ac:dyDescent="0.15"/>
    <row r="333" ht="14" customHeight="1" x14ac:dyDescent="0.15"/>
    <row r="334" ht="14" customHeight="1" x14ac:dyDescent="0.15"/>
    <row r="335" ht="14" customHeight="1" x14ac:dyDescent="0.15"/>
    <row r="336" ht="14" customHeight="1" x14ac:dyDescent="0.15"/>
    <row r="337" ht="14" customHeight="1" x14ac:dyDescent="0.15"/>
    <row r="338" ht="14" customHeight="1" x14ac:dyDescent="0.15"/>
    <row r="339" ht="14" customHeight="1" x14ac:dyDescent="0.15"/>
    <row r="340" ht="14" customHeight="1" x14ac:dyDescent="0.15"/>
    <row r="341" ht="14" customHeight="1" x14ac:dyDescent="0.15"/>
    <row r="342" ht="14" customHeight="1" x14ac:dyDescent="0.15"/>
  </sheetData>
  <mergeCells count="22">
    <mergeCell ref="S7:T7"/>
    <mergeCell ref="S9:T9"/>
    <mergeCell ref="S73:T73"/>
    <mergeCell ref="S137:T137"/>
    <mergeCell ref="S201:T201"/>
    <mergeCell ref="B271:C271"/>
    <mergeCell ref="B270:C270"/>
    <mergeCell ref="B268:C268"/>
    <mergeCell ref="S268:T268"/>
    <mergeCell ref="S270:T270"/>
    <mergeCell ref="S271:T271"/>
    <mergeCell ref="B267:C267"/>
    <mergeCell ref="B73:Q73"/>
    <mergeCell ref="B137:Q137"/>
    <mergeCell ref="B201:Q201"/>
    <mergeCell ref="B265:Q265"/>
    <mergeCell ref="B9:Q9"/>
    <mergeCell ref="B7:C7"/>
    <mergeCell ref="B8:C8"/>
    <mergeCell ref="B2:Q2"/>
    <mergeCell ref="B3:Q3"/>
    <mergeCell ref="B4:Q4"/>
  </mergeCells>
  <phoneticPr fontId="28" type="noConversion"/>
  <pageMargins left="0.75" right="0.75" top="1" bottom="1" header="0.4921259845" footer="0.4921259845"/>
  <pageSetup orientation="portrait" horizontalDpi="4294967292" verticalDpi="429496729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41917-6C1F-2F47-8A9A-C4A385D7FB23}">
  <sheetPr codeName="Feuil15">
    <tabColor theme="1"/>
    <pageSetUpPr fitToPage="1"/>
  </sheetPr>
  <dimension ref="B1:BS43"/>
  <sheetViews>
    <sheetView zoomScale="108" zoomScaleNormal="108" zoomScalePageLayoutView="125" workbookViewId="0"/>
  </sheetViews>
  <sheetFormatPr baseColWidth="10" defaultRowHeight="13" x14ac:dyDescent="0.15"/>
  <cols>
    <col min="1" max="1" width="2.1640625" style="138" customWidth="1"/>
    <col min="2" max="2" width="5.1640625" style="138" customWidth="1"/>
    <col min="3" max="3" width="75.6640625" style="138" bestFit="1" customWidth="1"/>
    <col min="4" max="4" width="0.83203125" style="138" customWidth="1"/>
    <col min="5" max="5" width="14.33203125" style="138" customWidth="1"/>
    <col min="6" max="6" width="7.83203125" style="138" customWidth="1"/>
    <col min="7" max="7" width="0.83203125" style="138" customWidth="1"/>
    <col min="8" max="8" width="14.33203125" style="138" customWidth="1"/>
    <col min="9" max="9" width="7.83203125" style="138" customWidth="1"/>
    <col min="10" max="10" width="0.83203125" style="138" customWidth="1"/>
    <col min="11" max="11" width="14.33203125" style="138" customWidth="1"/>
    <col min="12" max="12" width="7.83203125" style="138" customWidth="1"/>
    <col min="13" max="13" width="0.83203125" style="138" customWidth="1"/>
    <col min="14" max="14" width="14.33203125" style="138" customWidth="1"/>
    <col min="15" max="15" width="7.83203125" style="138" customWidth="1"/>
    <col min="16" max="16" width="0.83203125" style="138" customWidth="1"/>
    <col min="17" max="17" width="14.33203125" style="138" customWidth="1"/>
    <col min="18" max="18" width="7.83203125" style="138" customWidth="1"/>
    <col min="19" max="19" width="0.83203125" style="138" customWidth="1"/>
    <col min="20" max="20" width="14.33203125" style="138" customWidth="1"/>
    <col min="21" max="21" width="7.83203125" style="138" customWidth="1"/>
    <col min="22" max="22" width="0.83203125" style="138" customWidth="1"/>
    <col min="23" max="23" width="14.33203125" style="138" customWidth="1"/>
    <col min="24" max="24" width="7.83203125" style="138" customWidth="1"/>
    <col min="25" max="25" width="0.83203125" style="138" customWidth="1"/>
    <col min="26" max="26" width="14.33203125" style="138" customWidth="1"/>
    <col min="27" max="27" width="7.83203125" style="138" customWidth="1"/>
    <col min="28" max="28" width="0.83203125" style="138" customWidth="1"/>
    <col min="29" max="29" width="14.33203125" style="138" customWidth="1"/>
    <col min="30" max="30" width="7.83203125" style="138" customWidth="1"/>
    <col min="31" max="31" width="0.83203125" style="138" customWidth="1"/>
    <col min="32" max="32" width="14.33203125" style="138" customWidth="1"/>
    <col min="33" max="33" width="7.83203125" style="138" customWidth="1"/>
    <col min="34" max="34" width="0.83203125" style="138" customWidth="1"/>
    <col min="35" max="35" width="14.33203125" style="138" customWidth="1"/>
    <col min="36" max="36" width="7.83203125" style="138" customWidth="1"/>
    <col min="37" max="37" width="0.83203125" style="138" customWidth="1"/>
    <col min="38" max="38" width="14.33203125" style="138" customWidth="1"/>
    <col min="39" max="39" width="7.83203125" style="138" customWidth="1"/>
    <col min="40" max="40" width="0.83203125" style="138" customWidth="1"/>
    <col min="41" max="41" width="14.33203125" style="138" customWidth="1"/>
    <col min="42" max="42" width="8.1640625" style="138" customWidth="1"/>
    <col min="43" max="43" width="1.83203125" style="138" customWidth="1"/>
    <col min="44" max="44" width="13.6640625" style="138" customWidth="1"/>
    <col min="45" max="45" width="13.5" style="138" customWidth="1"/>
    <col min="46" max="46" width="3.33203125" style="138" customWidth="1"/>
    <col min="47" max="47" width="8.5" style="138" bestFit="1" customWidth="1"/>
    <col min="48" max="48" width="14.5" style="138" bestFit="1" customWidth="1"/>
    <col min="49" max="49" width="2.6640625" style="138" bestFit="1" customWidth="1"/>
    <col min="50" max="50" width="26.83203125" style="138" bestFit="1" customWidth="1"/>
    <col min="51" max="51" width="2.6640625" style="138" bestFit="1" customWidth="1"/>
    <col min="52" max="52" width="2.1640625" style="138" bestFit="1" customWidth="1"/>
    <col min="53" max="53" width="10.83203125" style="138"/>
    <col min="54" max="54" width="2.6640625" style="138" bestFit="1" customWidth="1"/>
    <col min="55" max="55" width="10.83203125" style="138"/>
    <col min="56" max="56" width="2.1640625" style="138" bestFit="1" customWidth="1"/>
    <col min="57" max="57" width="8.5" style="138" bestFit="1" customWidth="1"/>
    <col min="58" max="16384" width="10.83203125" style="138"/>
  </cols>
  <sheetData>
    <row r="1" spans="2:58" ht="14" thickBot="1" x14ac:dyDescent="0.2"/>
    <row r="2" spans="2:58" ht="17" thickTop="1" x14ac:dyDescent="0.2">
      <c r="B2" s="1546" t="str">
        <f>'État des Résultats'!C2</f>
        <v>Votre entreprise inc.</v>
      </c>
      <c r="C2" s="1547"/>
      <c r="AU2" s="1572" t="s">
        <v>45</v>
      </c>
      <c r="AV2" s="701"/>
      <c r="AW2" s="701"/>
      <c r="AX2" s="701"/>
      <c r="AY2" s="701"/>
      <c r="AZ2" s="701"/>
      <c r="BA2" s="701"/>
      <c r="BB2" s="701"/>
      <c r="BC2" s="701"/>
      <c r="BD2" s="701"/>
      <c r="BE2" s="1575" t="s">
        <v>46</v>
      </c>
    </row>
    <row r="3" spans="2:58" ht="16" x14ac:dyDescent="0.2">
      <c r="B3" s="1554" t="str">
        <f>'État des Résultats'!C3</f>
        <v xml:space="preserve">États des résultats </v>
      </c>
      <c r="C3" s="1555"/>
      <c r="AU3" s="1573"/>
      <c r="AV3" s="702"/>
      <c r="AW3" s="702"/>
      <c r="AX3" s="702"/>
      <c r="AY3" s="702"/>
      <c r="AZ3" s="702"/>
      <c r="BA3" s="702"/>
      <c r="BB3" s="702"/>
      <c r="BC3" s="702"/>
      <c r="BD3" s="702"/>
      <c r="BE3" s="1576"/>
    </row>
    <row r="4" spans="2:58" ht="22" thickBot="1" x14ac:dyDescent="0.3">
      <c r="B4" s="1556" t="str">
        <f>'État des Résultats'!C4</f>
        <v>Pour la période du 2 janvier 2023 au 31 décembre 2023</v>
      </c>
      <c r="C4" s="1557"/>
      <c r="AU4" s="1573"/>
      <c r="AV4" s="703" t="str">
        <f>'[1]Formule pour le calcul D'!BA103</f>
        <v>Coût annuel</v>
      </c>
      <c r="AW4" s="703" t="s">
        <v>48</v>
      </c>
      <c r="AX4" s="703" t="str">
        <f>'[1]Formule pour le calcul D'!BC103</f>
        <v>Achalandage annuelle</v>
      </c>
      <c r="AY4" s="703" t="s">
        <v>50</v>
      </c>
      <c r="AZ4" s="703" t="s">
        <v>51</v>
      </c>
      <c r="BA4" s="703" t="str">
        <f>'[1]Formule pour le calcul D'!BF103</f>
        <v>Um/A</v>
      </c>
      <c r="BB4" s="703" t="s">
        <v>50</v>
      </c>
      <c r="BC4" s="703" t="str">
        <f>'[1]Formule pour le calcul D'!BH103</f>
        <v>CmO</v>
      </c>
      <c r="BD4" s="703" t="s">
        <v>54</v>
      </c>
      <c r="BE4" s="1576"/>
    </row>
    <row r="5" spans="2:58" ht="21" thickTop="1" thickBot="1" x14ac:dyDescent="0.3">
      <c r="AU5" s="1573"/>
      <c r="AV5" s="704" t="s">
        <v>1</v>
      </c>
      <c r="AW5" s="184"/>
      <c r="AX5" s="704"/>
      <c r="AY5" s="184"/>
      <c r="AZ5" s="184"/>
      <c r="BA5" s="184"/>
      <c r="BB5" s="184"/>
      <c r="BC5" s="184"/>
      <c r="BD5" s="184"/>
      <c r="BE5" s="1576"/>
    </row>
    <row r="6" spans="2:58" ht="27" thickTop="1" x14ac:dyDescent="0.3">
      <c r="B6" s="1489" t="str">
        <f>'État des Résultats'!C6</f>
        <v>Nb de places</v>
      </c>
      <c r="C6" s="1537"/>
      <c r="E6" s="530" t="str">
        <f>'Entretien &amp; Réparation'!E6</f>
        <v>Coût / place / jour</v>
      </c>
      <c r="F6" s="531">
        <f>+E24/B7/'Achalandage journalier'!D8</f>
        <v>2.8400641025641025</v>
      </c>
      <c r="G6" s="336"/>
      <c r="H6" s="530" t="str">
        <f>+E6</f>
        <v>Coût / place / jour</v>
      </c>
      <c r="I6" s="531">
        <f>H24/B7/'Achalandage journalier'!E8</f>
        <v>0.84720695970695981</v>
      </c>
      <c r="J6" s="336"/>
      <c r="K6" s="530" t="str">
        <f>+H6</f>
        <v>Coût / place / jour</v>
      </c>
      <c r="L6" s="531">
        <f>K24/B7/'Achalandage journalier'!F8</f>
        <v>0.84720695970695981</v>
      </c>
      <c r="M6" s="336"/>
      <c r="N6" s="530" t="str">
        <f>+K6</f>
        <v>Coût / place / jour</v>
      </c>
      <c r="O6" s="531">
        <f>N24/B7/'Achalandage journalier'!G8</f>
        <v>0.84720695970695981</v>
      </c>
      <c r="P6" s="532"/>
      <c r="Q6" s="530" t="str">
        <f>+N6</f>
        <v>Coût / place / jour</v>
      </c>
      <c r="R6" s="531">
        <f>Q24/B7/'Achalandage journalier'!H8</f>
        <v>0.84720695970695981</v>
      </c>
      <c r="S6" s="532"/>
      <c r="T6" s="530" t="str">
        <f>+Q6</f>
        <v>Coût / place / jour</v>
      </c>
      <c r="U6" s="531">
        <f>T24/B7/'Achalandage journalier'!I6</f>
        <v>5.2635561533227282E-4</v>
      </c>
      <c r="V6" s="336"/>
      <c r="W6" s="530" t="str">
        <f>+T6</f>
        <v>Coût / place / jour</v>
      </c>
      <c r="X6" s="531">
        <f>W24/B7/'Achalandage journalier'!J8</f>
        <v>0.84720695970695981</v>
      </c>
      <c r="Y6" s="336"/>
      <c r="Z6" s="530" t="str">
        <f>+W6</f>
        <v>Coût / place / jour</v>
      </c>
      <c r="AA6" s="531">
        <f>Z24/B7/'Achalandage journalier'!K8</f>
        <v>0.84720695970695981</v>
      </c>
      <c r="AB6" s="336"/>
      <c r="AC6" s="530" t="str">
        <f>+Z6</f>
        <v>Coût / place / jour</v>
      </c>
      <c r="AD6" s="531">
        <f>AC24/B7/'Achalandage journalier'!L8</f>
        <v>0.84720695970695981</v>
      </c>
      <c r="AE6" s="336"/>
      <c r="AF6" s="530" t="str">
        <f>+AC6</f>
        <v>Coût / place / jour</v>
      </c>
      <c r="AG6" s="531">
        <f>AF24/B7/'Achalandage journalier'!M8</f>
        <v>0.84720695970695981</v>
      </c>
      <c r="AH6" s="336"/>
      <c r="AI6" s="530" t="str">
        <f>+AF6</f>
        <v>Coût / place / jour</v>
      </c>
      <c r="AJ6" s="531">
        <f>AI24/B7/'Achalandage journalier'!N8</f>
        <v>0.84720695970695981</v>
      </c>
      <c r="AK6" s="336"/>
      <c r="AL6" s="530" t="str">
        <f>+AI6</f>
        <v>Coût / place / jour</v>
      </c>
      <c r="AM6" s="531">
        <f>AL24/B7/'Achalandage journalier'!O8</f>
        <v>0.84720695970695981</v>
      </c>
      <c r="AN6" s="336"/>
      <c r="AO6" s="606" t="str">
        <f>+AL6</f>
        <v>Coût / place / jour</v>
      </c>
      <c r="AP6" s="607">
        <f>AO24/B7/'Achalandage journalier'!P8</f>
        <v>0.84720695970695981</v>
      </c>
      <c r="AQ6"/>
      <c r="AR6" s="1078" t="str">
        <f>+AO6</f>
        <v>Coût / place / jour</v>
      </c>
      <c r="AS6" s="1056">
        <f>AR24/B7/'Achalandage journalier'!Q8</f>
        <v>1.0005036630036628</v>
      </c>
      <c r="AT6" s="712"/>
      <c r="AU6" s="1573"/>
      <c r="AV6" s="705" t="str">
        <f>'[1]Formule pour le calcul D'!BA105</f>
        <v xml:space="preserve">C </v>
      </c>
      <c r="AW6" s="706"/>
      <c r="AX6" s="705" t="str">
        <f>'[1]Formule pour le calcul D'!BC105</f>
        <v>A</v>
      </c>
      <c r="AY6" s="706"/>
      <c r="AZ6" s="706"/>
      <c r="BA6" s="705" t="str">
        <f>BA4</f>
        <v>Um/A</v>
      </c>
      <c r="BB6" s="706"/>
      <c r="BC6" s="705" t="str">
        <f>BC4</f>
        <v>CmO</v>
      </c>
      <c r="BD6" s="706"/>
      <c r="BE6" s="1576"/>
    </row>
    <row r="7" spans="2:58" ht="21" x14ac:dyDescent="0.25">
      <c r="B7" s="1538">
        <f>'État des Résultats'!C7</f>
        <v>30</v>
      </c>
      <c r="C7" s="1539"/>
      <c r="E7" s="535">
        <f>+E24/$AR24</f>
        <v>0.21835649134170945</v>
      </c>
      <c r="F7" s="536"/>
      <c r="H7" s="535">
        <f>+H24/$AR24</f>
        <v>6.5136959054857557E-2</v>
      </c>
      <c r="I7" s="536"/>
      <c r="K7" s="535">
        <f>+K24/$AR24</f>
        <v>6.5136959054857557E-2</v>
      </c>
      <c r="L7" s="537"/>
      <c r="N7" s="535">
        <f>+N24/$AR24</f>
        <v>6.5136959054857557E-2</v>
      </c>
      <c r="O7" s="537"/>
      <c r="P7" s="538"/>
      <c r="Q7" s="535">
        <f>+Q24/$AR24</f>
        <v>6.5136959054857557E-2</v>
      </c>
      <c r="R7" s="537"/>
      <c r="S7" s="538"/>
      <c r="T7" s="535">
        <f>+T24/$AR24</f>
        <v>6.5136959054857557E-2</v>
      </c>
      <c r="U7" s="537"/>
      <c r="W7" s="535">
        <f>+W24/$AR24</f>
        <v>6.5136959054857557E-2</v>
      </c>
      <c r="X7" s="537"/>
      <c r="Z7" s="535">
        <f>+Z24/$AR24</f>
        <v>6.5136959054857557E-2</v>
      </c>
      <c r="AA7" s="537"/>
      <c r="AC7" s="535">
        <f>+AC24/$AR24</f>
        <v>6.5136959054857557E-2</v>
      </c>
      <c r="AD7" s="537"/>
      <c r="AF7" s="535">
        <f>+AF24/$AR24</f>
        <v>6.5136959054857557E-2</v>
      </c>
      <c r="AG7" s="537"/>
      <c r="AI7" s="535">
        <f>+AI24/$AR24</f>
        <v>6.5136959054857557E-2</v>
      </c>
      <c r="AJ7" s="537"/>
      <c r="AL7" s="535">
        <f>+AL24/$AR24</f>
        <v>6.5136959054857557E-2</v>
      </c>
      <c r="AM7" s="537"/>
      <c r="AO7" s="535">
        <f>+AO24/$AR24</f>
        <v>6.5136959054857557E-2</v>
      </c>
      <c r="AP7" s="725" t="s">
        <v>151</v>
      </c>
      <c r="AQ7"/>
      <c r="AR7" s="1079">
        <f>+E7+H7+K7+N7+Q7+T7+W7+Z7+AC7+AF7+AI7+AL7+AO7</f>
        <v>1.0000000000000004</v>
      </c>
      <c r="AS7" s="1112" t="str">
        <f>AP7</f>
        <v>364 jours</v>
      </c>
      <c r="AT7" s="730"/>
      <c r="AU7" s="1573"/>
      <c r="AV7" s="720">
        <f>AR24</f>
        <v>10925.499999999998</v>
      </c>
      <c r="AW7" s="703" t="s">
        <v>48</v>
      </c>
      <c r="AX7" s="721">
        <f>'Formule pour le calcul D'!G114</f>
        <v>54651</v>
      </c>
      <c r="AY7" s="703" t="s">
        <v>50</v>
      </c>
      <c r="AZ7" s="703" t="s">
        <v>51</v>
      </c>
      <c r="BA7" s="722">
        <f>'Formule pour le calcul D'!J114</f>
        <v>2.2692307692307692</v>
      </c>
      <c r="BB7" s="703" t="s">
        <v>50</v>
      </c>
      <c r="BC7" s="720">
        <f>AV7/AX7/BA7</f>
        <v>8.8097694802365317E-2</v>
      </c>
      <c r="BD7" s="703" t="s">
        <v>54</v>
      </c>
      <c r="BE7" s="1576"/>
    </row>
    <row r="8" spans="2:58" ht="17" thickBot="1" x14ac:dyDescent="0.25">
      <c r="B8" s="1493" t="s">
        <v>175</v>
      </c>
      <c r="C8" s="1539"/>
      <c r="E8" s="539" t="str">
        <f>'% Occupation'!D5</f>
        <v>Pér.01</v>
      </c>
      <c r="F8" s="652" t="str">
        <f>'Entretien &amp; Réparation'!F8</f>
        <v>(%)</v>
      </c>
      <c r="G8" s="541"/>
      <c r="H8" s="539" t="str">
        <f>'% Occupation'!E5</f>
        <v>Pér.02</v>
      </c>
      <c r="I8" s="540" t="str">
        <f>F8</f>
        <v>(%)</v>
      </c>
      <c r="J8" s="541"/>
      <c r="K8" s="539" t="str">
        <f>'% Occupation'!F5</f>
        <v>Pér.03</v>
      </c>
      <c r="L8" s="540" t="str">
        <f>I8</f>
        <v>(%)</v>
      </c>
      <c r="M8" s="541"/>
      <c r="N8" s="539" t="str">
        <f>'% Occupation'!G5</f>
        <v>Pér.04</v>
      </c>
      <c r="O8" s="540" t="str">
        <f>L8</f>
        <v>(%)</v>
      </c>
      <c r="P8" s="542"/>
      <c r="Q8" s="539" t="str">
        <f>'% Occupation'!H5</f>
        <v>Pér.05</v>
      </c>
      <c r="R8" s="540" t="str">
        <f>O8</f>
        <v>(%)</v>
      </c>
      <c r="S8" s="542"/>
      <c r="T8" s="539" t="str">
        <f>'% Occupation'!I5</f>
        <v>Pér.06</v>
      </c>
      <c r="U8" s="540" t="str">
        <f>R8</f>
        <v>(%)</v>
      </c>
      <c r="V8" s="541"/>
      <c r="W8" s="539" t="str">
        <f>'% Occupation'!J5</f>
        <v>Pér.07</v>
      </c>
      <c r="X8" s="540" t="str">
        <f>U8</f>
        <v>(%)</v>
      </c>
      <c r="Y8" s="541"/>
      <c r="Z8" s="539" t="str">
        <f>'% Occupation'!K5</f>
        <v>Pér.08</v>
      </c>
      <c r="AA8" s="540" t="str">
        <f>X8</f>
        <v>(%)</v>
      </c>
      <c r="AB8" s="541"/>
      <c r="AC8" s="539" t="str">
        <f>'% Occupation'!L5</f>
        <v>Pér.09</v>
      </c>
      <c r="AD8" s="540" t="str">
        <f>AA8</f>
        <v>(%)</v>
      </c>
      <c r="AE8" s="541"/>
      <c r="AF8" s="539" t="str">
        <f>'% Occupation'!M5</f>
        <v>Pér.10</v>
      </c>
      <c r="AG8" s="540" t="str">
        <f>AD8</f>
        <v>(%)</v>
      </c>
      <c r="AH8" s="541"/>
      <c r="AI8" s="539" t="str">
        <f>'% Occupation'!N5</f>
        <v>Pér.11</v>
      </c>
      <c r="AJ8" s="540" t="str">
        <f>AG8</f>
        <v>(%)</v>
      </c>
      <c r="AK8" s="541"/>
      <c r="AL8" s="539" t="str">
        <f>'% Occupation'!O5</f>
        <v>Pér.12</v>
      </c>
      <c r="AM8" s="540" t="str">
        <f>AJ8</f>
        <v>(%)</v>
      </c>
      <c r="AN8" s="543" t="s">
        <v>1</v>
      </c>
      <c r="AO8" s="615" t="str">
        <f>'% Occupation'!P5</f>
        <v>Pér.13</v>
      </c>
      <c r="AP8" s="540" t="str">
        <f>AM8</f>
        <v>(%)</v>
      </c>
      <c r="AQ8"/>
      <c r="AR8" s="1058" t="str">
        <f>'% Occupation'!Q5</f>
        <v>Année</v>
      </c>
      <c r="AS8" s="1059" t="str">
        <f>AP8</f>
        <v>(%)</v>
      </c>
      <c r="AT8" s="714"/>
      <c r="AU8" s="1574"/>
      <c r="AV8" s="707"/>
      <c r="AW8" s="707"/>
      <c r="AX8" s="707"/>
      <c r="AY8" s="707"/>
      <c r="AZ8" s="707"/>
      <c r="BA8" s="707"/>
      <c r="BB8" s="707"/>
      <c r="BC8" s="707"/>
      <c r="BD8" s="707"/>
      <c r="BE8" s="1577"/>
    </row>
    <row r="9" spans="2:58" ht="15" thickTop="1" thickBot="1" x14ac:dyDescent="0.2">
      <c r="B9" s="1495">
        <f>AO24/$B$7</f>
        <v>23.721794871794874</v>
      </c>
      <c r="C9" s="1524"/>
      <c r="E9" s="574">
        <f>'% Occupation'!D6</f>
        <v>44928</v>
      </c>
      <c r="F9" s="575"/>
      <c r="G9" s="576"/>
      <c r="H9" s="577">
        <f>'% Occupation'!E6</f>
        <v>44956</v>
      </c>
      <c r="I9" s="578"/>
      <c r="J9" s="576"/>
      <c r="K9" s="577">
        <f>'% Occupation'!F6</f>
        <v>44984</v>
      </c>
      <c r="L9" s="578"/>
      <c r="M9" s="576"/>
      <c r="N9" s="574">
        <f>'% Occupation'!G6</f>
        <v>45012</v>
      </c>
      <c r="O9" s="575"/>
      <c r="P9" s="579"/>
      <c r="Q9" s="574">
        <f>'% Occupation'!H6</f>
        <v>45040</v>
      </c>
      <c r="R9" s="575"/>
      <c r="S9" s="579"/>
      <c r="T9" s="577">
        <f>'% Occupation'!I6</f>
        <v>45068</v>
      </c>
      <c r="U9" s="578"/>
      <c r="V9" s="576"/>
      <c r="W9" s="577">
        <f>'% Occupation'!J6</f>
        <v>45096</v>
      </c>
      <c r="X9" s="578"/>
      <c r="Y9" s="576"/>
      <c r="Z9" s="577">
        <f>'% Occupation'!K6</f>
        <v>45124</v>
      </c>
      <c r="AA9" s="578"/>
      <c r="AB9" s="576"/>
      <c r="AC9" s="577">
        <f>'% Occupation'!L6</f>
        <v>45152</v>
      </c>
      <c r="AD9" s="578"/>
      <c r="AE9" s="576"/>
      <c r="AF9" s="577">
        <f>'% Occupation'!M6</f>
        <v>45180</v>
      </c>
      <c r="AG9" s="578"/>
      <c r="AH9" s="576"/>
      <c r="AI9" s="577">
        <f>'% Occupation'!N6</f>
        <v>45208</v>
      </c>
      <c r="AJ9" s="578"/>
      <c r="AK9" s="576"/>
      <c r="AL9" s="577">
        <f>'% Occupation'!O6</f>
        <v>45236</v>
      </c>
      <c r="AM9" s="578"/>
      <c r="AN9" s="576"/>
      <c r="AO9" s="638">
        <f>'% Occupation'!P6</f>
        <v>45264</v>
      </c>
      <c r="AP9" s="639"/>
      <c r="AQ9"/>
      <c r="AR9" s="1111" t="str">
        <f>'% Occupation'!Q6</f>
        <v>Total</v>
      </c>
      <c r="AS9" s="1090"/>
      <c r="AT9" s="715"/>
      <c r="AU9" s="545"/>
      <c r="AZ9" s="398"/>
      <c r="BA9" s="398"/>
      <c r="BB9" s="398"/>
    </row>
    <row r="10" spans="2:58" ht="15" thickTop="1" thickBot="1" x14ac:dyDescent="0.2">
      <c r="D10" s="545"/>
      <c r="G10" s="546"/>
      <c r="J10" s="546"/>
      <c r="M10" s="546"/>
      <c r="P10" s="547"/>
      <c r="S10" s="547"/>
      <c r="V10" s="546"/>
      <c r="Y10" s="366"/>
      <c r="AB10" s="546"/>
      <c r="AE10" s="546"/>
      <c r="AH10" s="546"/>
      <c r="AK10" s="546"/>
      <c r="AN10" s="546"/>
      <c r="AQ10"/>
      <c r="AT10" s="194"/>
      <c r="AU10" s="336"/>
      <c r="AV10" s="336"/>
    </row>
    <row r="11" spans="2:58" ht="14" thickTop="1" x14ac:dyDescent="0.15">
      <c r="B11" s="404"/>
      <c r="C11" s="709" t="str">
        <f>'État des Résultats'!C38</f>
        <v> Frais financiers</v>
      </c>
      <c r="E11" s="404"/>
      <c r="F11" s="549"/>
      <c r="H11" s="404"/>
      <c r="I11" s="549"/>
      <c r="K11" s="404"/>
      <c r="L11" s="549"/>
      <c r="N11" s="404"/>
      <c r="O11" s="549"/>
      <c r="Q11" s="404"/>
      <c r="R11" s="549"/>
      <c r="T11" s="404"/>
      <c r="U11" s="549"/>
      <c r="W11" s="404"/>
      <c r="X11" s="549"/>
      <c r="Z11" s="404"/>
      <c r="AA11" s="549"/>
      <c r="AC11" s="404"/>
      <c r="AD11" s="549"/>
      <c r="AF11" s="404"/>
      <c r="AG11" s="549"/>
      <c r="AI11" s="404"/>
      <c r="AJ11" s="549"/>
      <c r="AL11" s="404"/>
      <c r="AM11" s="549"/>
      <c r="AO11" s="631"/>
      <c r="AP11" s="632"/>
      <c r="AQ11"/>
      <c r="AR11" s="1083"/>
      <c r="AS11" s="1084"/>
      <c r="AT11" s="716"/>
      <c r="AU11" s="366"/>
      <c r="AV11" s="366"/>
      <c r="AW11" s="366"/>
      <c r="AX11" s="366"/>
      <c r="AY11" s="366"/>
      <c r="AZ11" s="366"/>
      <c r="BA11" s="366"/>
      <c r="BB11" s="366"/>
      <c r="BC11" s="366"/>
      <c r="BD11" s="366"/>
      <c r="BE11" s="366"/>
      <c r="BF11" s="366"/>
    </row>
    <row r="12" spans="2:58" x14ac:dyDescent="0.15">
      <c r="B12" s="370"/>
      <c r="C12" s="550"/>
      <c r="E12" s="370"/>
      <c r="F12" s="414"/>
      <c r="H12" s="370"/>
      <c r="I12" s="414"/>
      <c r="K12" s="370"/>
      <c r="L12" s="414"/>
      <c r="N12" s="370"/>
      <c r="O12" s="414"/>
      <c r="Q12" s="370"/>
      <c r="R12" s="414"/>
      <c r="T12" s="370"/>
      <c r="U12" s="414"/>
      <c r="W12" s="370"/>
      <c r="X12" s="414"/>
      <c r="Z12" s="370"/>
      <c r="AA12" s="414"/>
      <c r="AC12" s="370"/>
      <c r="AD12" s="414"/>
      <c r="AF12" s="370"/>
      <c r="AG12" s="414"/>
      <c r="AI12" s="370"/>
      <c r="AJ12" s="414"/>
      <c r="AL12" s="370"/>
      <c r="AM12" s="371"/>
      <c r="AO12" s="633"/>
      <c r="AP12" s="634"/>
      <c r="AQ12"/>
      <c r="AR12" s="1028"/>
      <c r="AS12" s="1085"/>
      <c r="AT12" s="716"/>
      <c r="AU12" s="366"/>
      <c r="AV12" s="366"/>
      <c r="AW12" s="366"/>
      <c r="AX12" s="366"/>
      <c r="AY12" s="366"/>
      <c r="AZ12" s="366"/>
      <c r="BA12" s="366"/>
      <c r="BB12" s="366"/>
      <c r="BC12" s="366"/>
      <c r="BD12" s="366"/>
      <c r="BE12" s="366"/>
      <c r="BF12" s="366"/>
    </row>
    <row r="13" spans="2:58" x14ac:dyDescent="0.15">
      <c r="B13" s="726">
        <v>8110</v>
      </c>
      <c r="C13" s="727" t="s">
        <v>523</v>
      </c>
      <c r="E13" s="621">
        <f>1674+100</f>
        <v>1774</v>
      </c>
      <c r="F13" s="553">
        <f>E13/'État des Résultats'!E$14</f>
        <v>6.4621414677147909E-2</v>
      </c>
      <c r="H13" s="621">
        <f>100</f>
        <v>100</v>
      </c>
      <c r="I13" s="553">
        <f>H13/'État des Résultats'!H$14</f>
        <v>3.6426953031086762E-3</v>
      </c>
      <c r="K13" s="621">
        <f>H13</f>
        <v>100</v>
      </c>
      <c r="L13" s="553">
        <f>K13/'État des Résultats'!K$14</f>
        <v>2.5323123050119524E-3</v>
      </c>
      <c r="N13" s="621">
        <f>K13</f>
        <v>100</v>
      </c>
      <c r="O13" s="553">
        <f>N13/'État des Résultats'!N$14</f>
        <v>1.8635312752959812E-3</v>
      </c>
      <c r="Q13" s="621">
        <f>N13</f>
        <v>100</v>
      </c>
      <c r="R13" s="553">
        <f>Q13/'État des Résultats'!Q$14</f>
        <v>1.5106282136254888E-3</v>
      </c>
      <c r="T13" s="621">
        <f>Q13</f>
        <v>100</v>
      </c>
      <c r="U13" s="553">
        <f>T13/'État des Résultats'!T$14</f>
        <v>1.2701043628878677E-3</v>
      </c>
      <c r="W13" s="621">
        <f>T13</f>
        <v>100</v>
      </c>
      <c r="X13" s="553">
        <f>W13/'État des Résultats'!W$14</f>
        <v>1.0556150248008831E-3</v>
      </c>
      <c r="Z13" s="621">
        <f>W13</f>
        <v>100</v>
      </c>
      <c r="AA13" s="553">
        <f>Z13/'État des Résultats'!Z$14</f>
        <v>9.264833171623389E-4</v>
      </c>
      <c r="AC13" s="621">
        <f>Z13</f>
        <v>100</v>
      </c>
      <c r="AD13" s="553">
        <f>AC13/'État des Résultats'!AC$14</f>
        <v>9.264833171623389E-4</v>
      </c>
      <c r="AF13" s="621">
        <f>AC13</f>
        <v>100</v>
      </c>
      <c r="AG13" s="553">
        <f>AF13/'État des Résultats'!AF$14</f>
        <v>8.9234533898470512E-4</v>
      </c>
      <c r="AI13" s="621">
        <f>AF13</f>
        <v>100</v>
      </c>
      <c r="AJ13" s="553">
        <f>AI13/'État des Résultats'!AI$14</f>
        <v>8.9234533898470512E-4</v>
      </c>
      <c r="AL13" s="621">
        <f>AI13</f>
        <v>100</v>
      </c>
      <c r="AM13" s="553">
        <f>AL13/'État des Résultats'!AL$14</f>
        <v>1.0149105584697584E-3</v>
      </c>
      <c r="AO13" s="621">
        <f>AL13</f>
        <v>100</v>
      </c>
      <c r="AP13" s="553">
        <f>AO13/'État des Résultats'!AO$14</f>
        <v>9.7884328131760145E-4</v>
      </c>
      <c r="AQ13"/>
      <c r="AR13" s="1091">
        <f>SUM(+AO13+$AL13+$AI13+$AF13+$AC13+$Z13+$W13+$T13+$Q13+$N13+$K13+$H13+$E13)</f>
        <v>2974</v>
      </c>
      <c r="AS13" s="1087">
        <f>AR13/'État des Résultats'!AR$14</f>
        <v>2.8918451236463372E-3</v>
      </c>
      <c r="AT13" s="717"/>
    </row>
    <row r="14" spans="2:58" x14ac:dyDescent="0.15">
      <c r="B14" s="726">
        <v>8120</v>
      </c>
      <c r="C14" s="727" t="s">
        <v>519</v>
      </c>
      <c r="E14" s="621">
        <f>+(167400*0.0475)/13</f>
        <v>611.65384615384619</v>
      </c>
      <c r="F14" s="553">
        <f>E14/'État des Résultats'!E$14</f>
        <v>2.2280685925129724E-2</v>
      </c>
      <c r="H14" s="621">
        <f>+(167400*0.0475)/13</f>
        <v>611.65384615384619</v>
      </c>
      <c r="I14" s="553">
        <f>H14/'État des Résultats'!H$14</f>
        <v>2.2280685925129724E-2</v>
      </c>
      <c r="K14" s="621">
        <f>+(167400*0.0475)/13</f>
        <v>611.65384615384619</v>
      </c>
      <c r="L14" s="553">
        <f>K14/'État des Résultats'!K$14</f>
        <v>1.5488985610232726E-2</v>
      </c>
      <c r="N14" s="621">
        <f>+(167400*0.0475)/13</f>
        <v>611.65384615384619</v>
      </c>
      <c r="O14" s="553">
        <f>N14/'État des Résultats'!N$14</f>
        <v>1.1398360719627689E-2</v>
      </c>
      <c r="Q14" s="621">
        <f>+(167400*0.0475)/13</f>
        <v>611.65384615384619</v>
      </c>
      <c r="R14" s="553">
        <f>Q14/'État des Résultats'!Q$14</f>
        <v>9.2398155697254424E-3</v>
      </c>
      <c r="T14" s="621">
        <f>+(167400*0.0475)/13</f>
        <v>611.65384615384619</v>
      </c>
      <c r="U14" s="553">
        <f>T14/'État des Résultats'!T$14</f>
        <v>7.7686421857714469E-3</v>
      </c>
      <c r="W14" s="621">
        <f>+(167400*0.0475)/13</f>
        <v>611.65384615384619</v>
      </c>
      <c r="X14" s="553">
        <f>W14/'État des Résultats'!W$14</f>
        <v>6.4567098997724785E-3</v>
      </c>
      <c r="Z14" s="621">
        <f>+(167400*0.0475)/13</f>
        <v>611.65384615384619</v>
      </c>
      <c r="AA14" s="553">
        <f>Z14/'État des Résultats'!Z$14</f>
        <v>5.6668708433971829E-3</v>
      </c>
      <c r="AC14" s="621">
        <f>+(167400*0.0475)/13</f>
        <v>611.65384615384619</v>
      </c>
      <c r="AD14" s="553">
        <f>AC14/'État des Résultats'!AC$14</f>
        <v>5.6668708433971829E-3</v>
      </c>
      <c r="AF14" s="621">
        <f>+(167400*0.0475)/13</f>
        <v>611.65384615384619</v>
      </c>
      <c r="AG14" s="553">
        <f>AF14/'État des Résultats'!AF$14</f>
        <v>5.458064586874525E-3</v>
      </c>
      <c r="AI14" s="621">
        <f>+(167400*0.0475)/13</f>
        <v>611.65384615384619</v>
      </c>
      <c r="AJ14" s="553">
        <f>AI14/'État des Résultats'!AI$14</f>
        <v>5.458064586874525E-3</v>
      </c>
      <c r="AL14" s="621">
        <f>+(167400*0.0475)/13</f>
        <v>611.65384615384619</v>
      </c>
      <c r="AM14" s="553">
        <f>AL14/'État des Résultats'!AL$14</f>
        <v>6.2077394659017585E-3</v>
      </c>
      <c r="AO14" s="621">
        <f>+(167400*0.0475)/13</f>
        <v>611.65384615384619</v>
      </c>
      <c r="AP14" s="553">
        <f>AO14/'État des Résultats'!AO$14</f>
        <v>5.987132577997622E-3</v>
      </c>
      <c r="AQ14"/>
      <c r="AR14" s="1091">
        <f t="shared" ref="AR14:AR22" si="0">SUM(+AO14+$AL14+$AI14+$AF14+$AC14+$Z14+$W14+$T14+$Q14+$N14+$K14+$H14+$E14)</f>
        <v>7951.4999999999982</v>
      </c>
      <c r="AS14" s="1087">
        <f>AR14/'État des Résultats'!AR$14</f>
        <v>7.7318448220154157E-3</v>
      </c>
      <c r="AT14" s="717"/>
    </row>
    <row r="15" spans="2:58" x14ac:dyDescent="0.15">
      <c r="B15" s="728">
        <v>8130</v>
      </c>
      <c r="C15" s="727" t="s">
        <v>303</v>
      </c>
      <c r="E15" s="621">
        <v>0</v>
      </c>
      <c r="F15" s="553">
        <f>E15/'État des Résultats'!E$14</f>
        <v>0</v>
      </c>
      <c r="H15" s="621">
        <v>0</v>
      </c>
      <c r="I15" s="553">
        <f>H15/'État des Résultats'!H$14</f>
        <v>0</v>
      </c>
      <c r="K15" s="621">
        <v>0</v>
      </c>
      <c r="L15" s="553">
        <f>K15/'État des Résultats'!K$14</f>
        <v>0</v>
      </c>
      <c r="N15" s="621">
        <v>0</v>
      </c>
      <c r="O15" s="553">
        <f>N15/'État des Résultats'!N$14</f>
        <v>0</v>
      </c>
      <c r="Q15" s="621">
        <v>0</v>
      </c>
      <c r="R15" s="553">
        <f>Q15/'État des Résultats'!Q$14</f>
        <v>0</v>
      </c>
      <c r="T15" s="621">
        <v>0</v>
      </c>
      <c r="U15" s="553">
        <f>T15/'État des Résultats'!T$14</f>
        <v>0</v>
      </c>
      <c r="W15" s="621">
        <v>0</v>
      </c>
      <c r="X15" s="553">
        <f>W15/'État des Résultats'!W$14</f>
        <v>0</v>
      </c>
      <c r="Z15" s="621">
        <v>0</v>
      </c>
      <c r="AA15" s="553">
        <f>Z15/'État des Résultats'!Z$14</f>
        <v>0</v>
      </c>
      <c r="AC15" s="621">
        <v>0</v>
      </c>
      <c r="AD15" s="553">
        <f>AC15/'État des Résultats'!AC$14</f>
        <v>0</v>
      </c>
      <c r="AF15" s="621">
        <v>0</v>
      </c>
      <c r="AG15" s="553">
        <f>AF15/'État des Résultats'!AF$14</f>
        <v>0</v>
      </c>
      <c r="AI15" s="621">
        <v>0</v>
      </c>
      <c r="AJ15" s="553">
        <f>AI15/'État des Résultats'!AI$14</f>
        <v>0</v>
      </c>
      <c r="AL15" s="621">
        <v>0</v>
      </c>
      <c r="AM15" s="553">
        <f>AL15/'État des Résultats'!AL$14</f>
        <v>0</v>
      </c>
      <c r="AO15" s="621">
        <v>0</v>
      </c>
      <c r="AP15" s="553">
        <f>AO15/'État des Résultats'!AO$14</f>
        <v>0</v>
      </c>
      <c r="AQ15"/>
      <c r="AR15" s="1091">
        <f t="shared" si="0"/>
        <v>0</v>
      </c>
      <c r="AS15" s="1087">
        <f>AR15/'État des Résultats'!AR$14</f>
        <v>0</v>
      </c>
      <c r="AT15" s="717"/>
    </row>
    <row r="16" spans="2:58" x14ac:dyDescent="0.15">
      <c r="B16" s="728">
        <v>8140</v>
      </c>
      <c r="C16" s="727" t="s">
        <v>304</v>
      </c>
      <c r="E16" s="621">
        <v>0</v>
      </c>
      <c r="F16" s="553">
        <f>E16/'État des Résultats'!E$14</f>
        <v>0</v>
      </c>
      <c r="G16" s="554" t="s">
        <v>1</v>
      </c>
      <c r="H16" s="621">
        <v>0</v>
      </c>
      <c r="I16" s="553">
        <f>H16/'État des Résultats'!H$14</f>
        <v>0</v>
      </c>
      <c r="K16" s="621">
        <v>0</v>
      </c>
      <c r="L16" s="553">
        <f>K16/'État des Résultats'!K$14</f>
        <v>0</v>
      </c>
      <c r="N16" s="621">
        <v>0</v>
      </c>
      <c r="O16" s="553">
        <f>N16/'État des Résultats'!N$14</f>
        <v>0</v>
      </c>
      <c r="Q16" s="621">
        <v>0</v>
      </c>
      <c r="R16" s="553">
        <f>Q16/'État des Résultats'!Q$14</f>
        <v>0</v>
      </c>
      <c r="T16" s="621">
        <v>0</v>
      </c>
      <c r="U16" s="553">
        <f>T16/'État des Résultats'!T$14</f>
        <v>0</v>
      </c>
      <c r="W16" s="621">
        <v>0</v>
      </c>
      <c r="X16" s="553">
        <f>W16/'État des Résultats'!W$14</f>
        <v>0</v>
      </c>
      <c r="Z16" s="621">
        <v>0</v>
      </c>
      <c r="AA16" s="553">
        <f>Z16/'État des Résultats'!Z$14</f>
        <v>0</v>
      </c>
      <c r="AC16" s="621">
        <v>0</v>
      </c>
      <c r="AD16" s="553">
        <f>AC16/'État des Résultats'!AC$14</f>
        <v>0</v>
      </c>
      <c r="AF16" s="621">
        <v>0</v>
      </c>
      <c r="AG16" s="553">
        <f>AF16/'État des Résultats'!AF$14</f>
        <v>0</v>
      </c>
      <c r="AI16" s="621">
        <v>0</v>
      </c>
      <c r="AJ16" s="553">
        <f>AI16/'État des Résultats'!AI$14</f>
        <v>0</v>
      </c>
      <c r="AL16" s="621">
        <v>0</v>
      </c>
      <c r="AM16" s="553">
        <f>AL16/'État des Résultats'!AL$14</f>
        <v>0</v>
      </c>
      <c r="AO16" s="621">
        <v>0</v>
      </c>
      <c r="AP16" s="553">
        <f>AO16/'État des Résultats'!AO$14</f>
        <v>0</v>
      </c>
      <c r="AQ16"/>
      <c r="AR16" s="1091">
        <f t="shared" si="0"/>
        <v>0</v>
      </c>
      <c r="AS16" s="1087">
        <f>AR16/'État des Résultats'!AR$14</f>
        <v>0</v>
      </c>
      <c r="AT16" s="717"/>
    </row>
    <row r="17" spans="2:71" x14ac:dyDescent="0.15">
      <c r="B17" s="728">
        <v>8150</v>
      </c>
      <c r="C17" s="727" t="s">
        <v>305</v>
      </c>
      <c r="E17" s="621">
        <v>0</v>
      </c>
      <c r="F17" s="553">
        <f>E17/'État des Résultats'!E$14</f>
        <v>0</v>
      </c>
      <c r="H17" s="621">
        <v>0</v>
      </c>
      <c r="I17" s="553">
        <f>H17/'État des Résultats'!H$14</f>
        <v>0</v>
      </c>
      <c r="K17" s="621">
        <v>0</v>
      </c>
      <c r="L17" s="553">
        <f>K17/'État des Résultats'!K$14</f>
        <v>0</v>
      </c>
      <c r="N17" s="621">
        <v>0</v>
      </c>
      <c r="O17" s="553">
        <f>N17/'État des Résultats'!N$14</f>
        <v>0</v>
      </c>
      <c r="Q17" s="621">
        <v>0</v>
      </c>
      <c r="R17" s="553">
        <f>Q17/'État des Résultats'!Q$14</f>
        <v>0</v>
      </c>
      <c r="T17" s="621">
        <v>0</v>
      </c>
      <c r="U17" s="553">
        <f>T17/'État des Résultats'!T$14</f>
        <v>0</v>
      </c>
      <c r="W17" s="621">
        <v>0</v>
      </c>
      <c r="X17" s="553">
        <f>W17/'État des Résultats'!W$14</f>
        <v>0</v>
      </c>
      <c r="Z17" s="621">
        <v>0</v>
      </c>
      <c r="AA17" s="553">
        <f>Z17/'État des Résultats'!Z$14</f>
        <v>0</v>
      </c>
      <c r="AC17" s="621">
        <v>0</v>
      </c>
      <c r="AD17" s="553">
        <f>AC17/'État des Résultats'!AC$14</f>
        <v>0</v>
      </c>
      <c r="AF17" s="621">
        <v>0</v>
      </c>
      <c r="AG17" s="553">
        <f>AF17/'État des Résultats'!AF$14</f>
        <v>0</v>
      </c>
      <c r="AI17" s="621">
        <v>0</v>
      </c>
      <c r="AJ17" s="553">
        <f>AI17/'État des Résultats'!AI$14</f>
        <v>0</v>
      </c>
      <c r="AL17" s="621">
        <v>0</v>
      </c>
      <c r="AM17" s="553">
        <f>AL17/'État des Résultats'!AL$14</f>
        <v>0</v>
      </c>
      <c r="AO17" s="621">
        <v>0</v>
      </c>
      <c r="AP17" s="553">
        <f>AO17/'État des Résultats'!AO$14</f>
        <v>0</v>
      </c>
      <c r="AQ17"/>
      <c r="AR17" s="1091">
        <f t="shared" si="0"/>
        <v>0</v>
      </c>
      <c r="AS17" s="1087">
        <f>AR17/'État des Résultats'!AR$14</f>
        <v>0</v>
      </c>
      <c r="AT17" s="717"/>
    </row>
    <row r="18" spans="2:71" x14ac:dyDescent="0.15">
      <c r="B18" s="728">
        <v>8160</v>
      </c>
      <c r="C18" s="727" t="s">
        <v>306</v>
      </c>
      <c r="E18" s="621">
        <v>0</v>
      </c>
      <c r="F18" s="553">
        <f>E18/'État des Résultats'!E$14</f>
        <v>0</v>
      </c>
      <c r="H18" s="621">
        <v>0</v>
      </c>
      <c r="I18" s="553">
        <f>H18/'État des Résultats'!H$14</f>
        <v>0</v>
      </c>
      <c r="K18" s="621">
        <v>0</v>
      </c>
      <c r="L18" s="553">
        <f>K18/'État des Résultats'!K$14</f>
        <v>0</v>
      </c>
      <c r="N18" s="621">
        <v>0</v>
      </c>
      <c r="O18" s="553">
        <f>N18/'État des Résultats'!N$14</f>
        <v>0</v>
      </c>
      <c r="Q18" s="621">
        <v>0</v>
      </c>
      <c r="R18" s="553">
        <f>Q18/'État des Résultats'!Q$14</f>
        <v>0</v>
      </c>
      <c r="T18" s="621">
        <v>0</v>
      </c>
      <c r="U18" s="553">
        <f>T18/'État des Résultats'!T$14</f>
        <v>0</v>
      </c>
      <c r="W18" s="621">
        <v>0</v>
      </c>
      <c r="X18" s="553">
        <f>W18/'État des Résultats'!W$14</f>
        <v>0</v>
      </c>
      <c r="Z18" s="621">
        <v>0</v>
      </c>
      <c r="AA18" s="553">
        <f>Z18/'État des Résultats'!Z$14</f>
        <v>0</v>
      </c>
      <c r="AC18" s="621">
        <v>0</v>
      </c>
      <c r="AD18" s="553">
        <f>AC18/'État des Résultats'!AC$14</f>
        <v>0</v>
      </c>
      <c r="AF18" s="621">
        <v>0</v>
      </c>
      <c r="AG18" s="553">
        <f>AF18/'État des Résultats'!AF$14</f>
        <v>0</v>
      </c>
      <c r="AI18" s="621">
        <v>0</v>
      </c>
      <c r="AJ18" s="553">
        <f>AI18/'État des Résultats'!AI$14</f>
        <v>0</v>
      </c>
      <c r="AL18" s="621">
        <v>0</v>
      </c>
      <c r="AM18" s="553">
        <f>AL18/'État des Résultats'!AL$14</f>
        <v>0</v>
      </c>
      <c r="AO18" s="621">
        <v>0</v>
      </c>
      <c r="AP18" s="553">
        <f>AO18/'État des Résultats'!AO$14</f>
        <v>0</v>
      </c>
      <c r="AQ18"/>
      <c r="AR18" s="1091">
        <f t="shared" si="0"/>
        <v>0</v>
      </c>
      <c r="AS18" s="1087">
        <f>AR18/'État des Résultats'!AR$14</f>
        <v>0</v>
      </c>
      <c r="AT18" s="717"/>
    </row>
    <row r="19" spans="2:71" x14ac:dyDescent="0.15">
      <c r="B19" s="728">
        <v>8170</v>
      </c>
      <c r="C19" s="727" t="s">
        <v>307</v>
      </c>
      <c r="E19" s="621">
        <v>0</v>
      </c>
      <c r="F19" s="553">
        <f>E19/'État des Résultats'!E$14</f>
        <v>0</v>
      </c>
      <c r="H19" s="621">
        <v>0</v>
      </c>
      <c r="I19" s="553">
        <f>H19/'État des Résultats'!H$14</f>
        <v>0</v>
      </c>
      <c r="K19" s="621">
        <v>0</v>
      </c>
      <c r="L19" s="553">
        <f>K19/'État des Résultats'!K$14</f>
        <v>0</v>
      </c>
      <c r="N19" s="621">
        <v>0</v>
      </c>
      <c r="O19" s="553">
        <f>N19/'État des Résultats'!N$14</f>
        <v>0</v>
      </c>
      <c r="Q19" s="621">
        <v>0</v>
      </c>
      <c r="R19" s="553">
        <f>Q19/'État des Résultats'!Q$14</f>
        <v>0</v>
      </c>
      <c r="T19" s="621">
        <v>0</v>
      </c>
      <c r="U19" s="553">
        <f>T19/'État des Résultats'!T$14</f>
        <v>0</v>
      </c>
      <c r="W19" s="621">
        <v>0</v>
      </c>
      <c r="X19" s="553">
        <f>W19/'État des Résultats'!W$14</f>
        <v>0</v>
      </c>
      <c r="Z19" s="621">
        <v>0</v>
      </c>
      <c r="AA19" s="553">
        <f>Z19/'État des Résultats'!Z$14</f>
        <v>0</v>
      </c>
      <c r="AC19" s="621">
        <v>0</v>
      </c>
      <c r="AD19" s="553">
        <f>AC19/'État des Résultats'!AC$14</f>
        <v>0</v>
      </c>
      <c r="AF19" s="621">
        <v>0</v>
      </c>
      <c r="AG19" s="553">
        <f>AF19/'État des Résultats'!AF$14</f>
        <v>0</v>
      </c>
      <c r="AI19" s="621">
        <v>0</v>
      </c>
      <c r="AJ19" s="553">
        <f>AI19/'État des Résultats'!AI$14</f>
        <v>0</v>
      </c>
      <c r="AL19" s="621">
        <v>0</v>
      </c>
      <c r="AM19" s="553">
        <f>AL19/'État des Résultats'!AL$14</f>
        <v>0</v>
      </c>
      <c r="AO19" s="621">
        <v>0</v>
      </c>
      <c r="AP19" s="553">
        <f>AO19/'État des Résultats'!AO$14</f>
        <v>0</v>
      </c>
      <c r="AQ19"/>
      <c r="AR19" s="1091">
        <f t="shared" si="0"/>
        <v>0</v>
      </c>
      <c r="AS19" s="1087">
        <f>AR19/'État des Résultats'!AR$14</f>
        <v>0</v>
      </c>
      <c r="AT19" s="717"/>
      <c r="AU19" s="139"/>
    </row>
    <row r="20" spans="2:71" x14ac:dyDescent="0.15">
      <c r="B20" s="728">
        <v>8180</v>
      </c>
      <c r="C20" s="727" t="s">
        <v>308</v>
      </c>
      <c r="E20" s="621">
        <v>0</v>
      </c>
      <c r="F20" s="553">
        <f>E20/'État des Résultats'!E$14</f>
        <v>0</v>
      </c>
      <c r="H20" s="621">
        <v>0</v>
      </c>
      <c r="I20" s="553">
        <f>H20/'État des Résultats'!H$14</f>
        <v>0</v>
      </c>
      <c r="K20" s="621">
        <v>0</v>
      </c>
      <c r="L20" s="553">
        <f>K20/'État des Résultats'!K$14</f>
        <v>0</v>
      </c>
      <c r="N20" s="621">
        <v>0</v>
      </c>
      <c r="O20" s="553">
        <f>N20/'État des Résultats'!N$14</f>
        <v>0</v>
      </c>
      <c r="Q20" s="621">
        <v>0</v>
      </c>
      <c r="R20" s="553">
        <f>Q20/'État des Résultats'!Q$14</f>
        <v>0</v>
      </c>
      <c r="T20" s="621">
        <v>0</v>
      </c>
      <c r="U20" s="553">
        <f>T20/'État des Résultats'!T$14</f>
        <v>0</v>
      </c>
      <c r="W20" s="621">
        <v>0</v>
      </c>
      <c r="X20" s="553">
        <f>W20/'État des Résultats'!W$14</f>
        <v>0</v>
      </c>
      <c r="Z20" s="621">
        <v>0</v>
      </c>
      <c r="AA20" s="553">
        <f>Z20/'État des Résultats'!Z$14</f>
        <v>0</v>
      </c>
      <c r="AC20" s="621">
        <v>0</v>
      </c>
      <c r="AD20" s="553">
        <f>AC20/'État des Résultats'!AC$14</f>
        <v>0</v>
      </c>
      <c r="AF20" s="621">
        <v>0</v>
      </c>
      <c r="AG20" s="553">
        <f>AF20/'État des Résultats'!AF$14</f>
        <v>0</v>
      </c>
      <c r="AI20" s="621">
        <v>0</v>
      </c>
      <c r="AJ20" s="553">
        <f>AI20/'État des Résultats'!AI$14</f>
        <v>0</v>
      </c>
      <c r="AL20" s="621">
        <v>0</v>
      </c>
      <c r="AM20" s="553">
        <f>AL20/'État des Résultats'!AL$14</f>
        <v>0</v>
      </c>
      <c r="AO20" s="621">
        <v>0</v>
      </c>
      <c r="AP20" s="553">
        <f>AO20/'État des Résultats'!AO$14</f>
        <v>0</v>
      </c>
      <c r="AQ20"/>
      <c r="AR20" s="1091">
        <f t="shared" si="0"/>
        <v>0</v>
      </c>
      <c r="AS20" s="1087">
        <f>AR20/'État des Résultats'!AR$14</f>
        <v>0</v>
      </c>
      <c r="AT20" s="717"/>
    </row>
    <row r="21" spans="2:71" x14ac:dyDescent="0.15">
      <c r="B21" s="728">
        <v>8190</v>
      </c>
      <c r="C21" s="727" t="s">
        <v>309</v>
      </c>
      <c r="E21" s="621">
        <v>0</v>
      </c>
      <c r="F21" s="553">
        <f>E21/'État des Résultats'!E$14</f>
        <v>0</v>
      </c>
      <c r="H21" s="621">
        <v>0</v>
      </c>
      <c r="I21" s="553">
        <f>H21/'État des Résultats'!H$14</f>
        <v>0</v>
      </c>
      <c r="K21" s="621">
        <v>0</v>
      </c>
      <c r="L21" s="553">
        <f>K21/'État des Résultats'!K$14</f>
        <v>0</v>
      </c>
      <c r="N21" s="621">
        <v>0</v>
      </c>
      <c r="O21" s="553">
        <f>N21/'État des Résultats'!N$14</f>
        <v>0</v>
      </c>
      <c r="Q21" s="621">
        <v>0</v>
      </c>
      <c r="R21" s="553">
        <f>Q21/'État des Résultats'!Q$14</f>
        <v>0</v>
      </c>
      <c r="T21" s="621">
        <v>0</v>
      </c>
      <c r="U21" s="553">
        <f>T21/'État des Résultats'!T$14</f>
        <v>0</v>
      </c>
      <c r="W21" s="621">
        <v>0</v>
      </c>
      <c r="X21" s="553">
        <f>W21/'État des Résultats'!W$14</f>
        <v>0</v>
      </c>
      <c r="Z21" s="621">
        <v>0</v>
      </c>
      <c r="AA21" s="553">
        <f>Z21/'État des Résultats'!Z$14</f>
        <v>0</v>
      </c>
      <c r="AC21" s="621">
        <v>0</v>
      </c>
      <c r="AD21" s="553">
        <f>AC21/'État des Résultats'!AC$14</f>
        <v>0</v>
      </c>
      <c r="AF21" s="621">
        <v>0</v>
      </c>
      <c r="AG21" s="553">
        <f>AF21/'État des Résultats'!AF$14</f>
        <v>0</v>
      </c>
      <c r="AI21" s="621">
        <v>0</v>
      </c>
      <c r="AJ21" s="553">
        <f>AI21/'État des Résultats'!AI$14</f>
        <v>0</v>
      </c>
      <c r="AL21" s="621">
        <v>0</v>
      </c>
      <c r="AM21" s="553">
        <f>AL21/'État des Résultats'!AL$14</f>
        <v>0</v>
      </c>
      <c r="AO21" s="621">
        <v>0</v>
      </c>
      <c r="AP21" s="553">
        <f>AO21/'État des Résultats'!AO$14</f>
        <v>0</v>
      </c>
      <c r="AQ21"/>
      <c r="AR21" s="1091">
        <f t="shared" si="0"/>
        <v>0</v>
      </c>
      <c r="AS21" s="1087">
        <f>AR21/'État des Résultats'!AR$14</f>
        <v>0</v>
      </c>
      <c r="AT21" s="717"/>
    </row>
    <row r="22" spans="2:71" x14ac:dyDescent="0.15">
      <c r="B22" s="728">
        <v>8199</v>
      </c>
      <c r="C22" s="727" t="s">
        <v>310</v>
      </c>
      <c r="E22" s="621">
        <v>0</v>
      </c>
      <c r="F22" s="553">
        <f>E22/'État des Résultats'!E$14</f>
        <v>0</v>
      </c>
      <c r="H22" s="621">
        <v>0</v>
      </c>
      <c r="I22" s="553">
        <f>H22/'État des Résultats'!H$14</f>
        <v>0</v>
      </c>
      <c r="K22" s="621">
        <v>0</v>
      </c>
      <c r="L22" s="553">
        <f>K22/'État des Résultats'!K$14</f>
        <v>0</v>
      </c>
      <c r="N22" s="621">
        <v>0</v>
      </c>
      <c r="O22" s="553">
        <f>N22/'État des Résultats'!N$14</f>
        <v>0</v>
      </c>
      <c r="Q22" s="621">
        <v>0</v>
      </c>
      <c r="R22" s="553">
        <f>Q22/'État des Résultats'!Q$14</f>
        <v>0</v>
      </c>
      <c r="T22" s="621">
        <v>0</v>
      </c>
      <c r="U22" s="553">
        <f>T22/'État des Résultats'!T$14</f>
        <v>0</v>
      </c>
      <c r="W22" s="621">
        <v>0</v>
      </c>
      <c r="X22" s="553">
        <f>W22/'État des Résultats'!W$14</f>
        <v>0</v>
      </c>
      <c r="Z22" s="621">
        <v>0</v>
      </c>
      <c r="AA22" s="553">
        <f>Z22/'État des Résultats'!Z$14</f>
        <v>0</v>
      </c>
      <c r="AC22" s="621">
        <v>0</v>
      </c>
      <c r="AD22" s="553">
        <f>AC22/'État des Résultats'!AC$14</f>
        <v>0</v>
      </c>
      <c r="AF22" s="621">
        <v>0</v>
      </c>
      <c r="AG22" s="553">
        <f>AF22/'État des Résultats'!AF$14</f>
        <v>0</v>
      </c>
      <c r="AI22" s="621">
        <v>0</v>
      </c>
      <c r="AJ22" s="553">
        <f>AI22/'État des Résultats'!AI$14</f>
        <v>0</v>
      </c>
      <c r="AL22" s="621">
        <v>0</v>
      </c>
      <c r="AM22" s="553">
        <f>AL22/'État des Résultats'!AL$14</f>
        <v>0</v>
      </c>
      <c r="AO22" s="621">
        <v>0</v>
      </c>
      <c r="AP22" s="553">
        <f>AO22/'État des Résultats'!AO$14</f>
        <v>0</v>
      </c>
      <c r="AQ22"/>
      <c r="AR22" s="1091">
        <f t="shared" si="0"/>
        <v>0</v>
      </c>
      <c r="AS22" s="1087">
        <f>AR22/'État des Résultats'!AR$14</f>
        <v>0</v>
      </c>
      <c r="AT22" s="717"/>
    </row>
    <row r="23" spans="2:71" ht="14" thickBot="1" x14ac:dyDescent="0.2">
      <c r="B23" s="555" t="s">
        <v>1</v>
      </c>
      <c r="C23" s="556"/>
      <c r="E23" s="729" t="s">
        <v>1</v>
      </c>
      <c r="F23" s="558" t="s">
        <v>1</v>
      </c>
      <c r="H23" s="729" t="s">
        <v>1</v>
      </c>
      <c r="I23" s="558" t="s">
        <v>1</v>
      </c>
      <c r="K23" s="729" t="s">
        <v>1</v>
      </c>
      <c r="L23" s="558" t="s">
        <v>1</v>
      </c>
      <c r="N23" s="729" t="s">
        <v>1</v>
      </c>
      <c r="O23" s="558" t="s">
        <v>1</v>
      </c>
      <c r="Q23" s="729" t="s">
        <v>1</v>
      </c>
      <c r="R23" s="558" t="s">
        <v>1</v>
      </c>
      <c r="S23" s="559"/>
      <c r="T23" s="729" t="s">
        <v>1</v>
      </c>
      <c r="U23" s="558" t="s">
        <v>1</v>
      </c>
      <c r="W23" s="729" t="s">
        <v>1</v>
      </c>
      <c r="X23" s="558" t="s">
        <v>1</v>
      </c>
      <c r="Z23" s="729" t="s">
        <v>1</v>
      </c>
      <c r="AA23" s="558" t="s">
        <v>1</v>
      </c>
      <c r="AC23" s="729" t="s">
        <v>1</v>
      </c>
      <c r="AD23" s="558" t="s">
        <v>1</v>
      </c>
      <c r="AF23" s="729" t="s">
        <v>1</v>
      </c>
      <c r="AG23" s="558" t="s">
        <v>1</v>
      </c>
      <c r="AI23" s="729" t="s">
        <v>1</v>
      </c>
      <c r="AJ23" s="558" t="s">
        <v>1</v>
      </c>
      <c r="AL23" s="729" t="s">
        <v>1</v>
      </c>
      <c r="AM23" s="558" t="s">
        <v>1</v>
      </c>
      <c r="AO23" s="729" t="s">
        <v>1</v>
      </c>
      <c r="AP23" s="558" t="s">
        <v>1</v>
      </c>
      <c r="AQ23"/>
      <c r="AR23" s="1091" t="s">
        <v>1</v>
      </c>
      <c r="AS23" s="1088" t="s">
        <v>1</v>
      </c>
      <c r="AT23" s="731"/>
    </row>
    <row r="24" spans="2:71" ht="15" thickTop="1" thickBot="1" x14ac:dyDescent="0.2">
      <c r="B24" s="560">
        <v>8100</v>
      </c>
      <c r="C24" s="561" t="s">
        <v>311</v>
      </c>
      <c r="D24" s="381"/>
      <c r="E24" s="624">
        <f>SUM(E13:E22)</f>
        <v>2385.6538461538462</v>
      </c>
      <c r="F24" s="563">
        <f>+SUM(F13:F22)</f>
        <v>8.6902100602277627E-2</v>
      </c>
      <c r="G24" s="381"/>
      <c r="H24" s="624">
        <f>SUM(H13:H22)</f>
        <v>711.65384615384619</v>
      </c>
      <c r="I24" s="563">
        <f>+SUM(I13:I22)</f>
        <v>2.5923381228238399E-2</v>
      </c>
      <c r="J24" s="381"/>
      <c r="K24" s="624">
        <f>SUM(K13:K22)</f>
        <v>711.65384615384619</v>
      </c>
      <c r="L24" s="563">
        <f>+SUM(L13:L22)</f>
        <v>1.8021297915244677E-2</v>
      </c>
      <c r="M24" s="381"/>
      <c r="N24" s="624">
        <f>SUM(N13:N22)</f>
        <v>711.65384615384619</v>
      </c>
      <c r="O24" s="563">
        <f>+SUM(O13:O22)</f>
        <v>1.3261891994923669E-2</v>
      </c>
      <c r="P24" s="381"/>
      <c r="Q24" s="624">
        <f>SUM(Q13:Q22)</f>
        <v>711.65384615384619</v>
      </c>
      <c r="R24" s="563">
        <f>+SUM(R13:R22)</f>
        <v>1.0750443783350931E-2</v>
      </c>
      <c r="S24" s="381"/>
      <c r="T24" s="624">
        <f>SUM(T13:T22)</f>
        <v>711.65384615384619</v>
      </c>
      <c r="U24" s="563">
        <f>+SUM(U13:U22)</f>
        <v>9.0387465486593144E-3</v>
      </c>
      <c r="V24" s="381"/>
      <c r="W24" s="624">
        <f>SUM(W13:W22)</f>
        <v>711.65384615384619</v>
      </c>
      <c r="X24" s="563">
        <f>+SUM(X13:X22)</f>
        <v>7.5123249245733614E-3</v>
      </c>
      <c r="Y24" s="381"/>
      <c r="Z24" s="624">
        <f>SUM(Z13:Z22)</f>
        <v>711.65384615384619</v>
      </c>
      <c r="AA24" s="563">
        <f>+SUM(AA13:AA22)</f>
        <v>6.5933541605595215E-3</v>
      </c>
      <c r="AB24" s="381"/>
      <c r="AC24" s="624">
        <f>SUM(AC13:AC22)</f>
        <v>711.65384615384619</v>
      </c>
      <c r="AD24" s="563">
        <f>+SUM(AD13:AD22)</f>
        <v>6.5933541605595215E-3</v>
      </c>
      <c r="AE24" s="381"/>
      <c r="AF24" s="624">
        <f>SUM(AF13:AF22)</f>
        <v>711.65384615384619</v>
      </c>
      <c r="AG24" s="563">
        <f>+SUM(AG13:AG22)</f>
        <v>6.35040992585923E-3</v>
      </c>
      <c r="AH24" s="381"/>
      <c r="AI24" s="624">
        <f>SUM(AI13:AI22)</f>
        <v>711.65384615384619</v>
      </c>
      <c r="AJ24" s="563">
        <f>+SUM(AJ13:AJ22)</f>
        <v>6.35040992585923E-3</v>
      </c>
      <c r="AK24" s="381"/>
      <c r="AL24" s="624">
        <f>SUM(AL13:AL22)</f>
        <v>711.65384615384619</v>
      </c>
      <c r="AM24" s="563">
        <f>+SUM(AM13:AM22)</f>
        <v>7.2226500243715167E-3</v>
      </c>
      <c r="AN24" s="381"/>
      <c r="AO24" s="624">
        <f>SUM(AO13:AO22)</f>
        <v>711.65384615384619</v>
      </c>
      <c r="AP24" s="563">
        <f>+SUM(AP13:AP22)</f>
        <v>6.9659758593152233E-3</v>
      </c>
      <c r="AQ24"/>
      <c r="AR24" s="624">
        <f>SUM(AR13:AR22)</f>
        <v>10925.499999999998</v>
      </c>
      <c r="AS24" s="563">
        <f>+SUM(AS13:AS22)</f>
        <v>1.0623689945661752E-2</v>
      </c>
      <c r="AT24" s="718"/>
      <c r="AU24" s="381"/>
      <c r="AV24" s="381"/>
      <c r="AW24" s="545"/>
    </row>
    <row r="25" spans="2:71" ht="14" thickTop="1" x14ac:dyDescent="0.15">
      <c r="L25" s="279"/>
      <c r="O25" s="279"/>
      <c r="R25" s="279"/>
      <c r="U25" s="279"/>
      <c r="X25" s="279"/>
      <c r="AA25" s="279"/>
      <c r="AD25" s="279"/>
      <c r="AG25" s="279"/>
      <c r="AJ25" s="279"/>
      <c r="AM25" s="279"/>
      <c r="AP25" s="279"/>
      <c r="AQ25"/>
      <c r="AR25"/>
      <c r="AT25" s="194"/>
    </row>
    <row r="26" spans="2:71" x14ac:dyDescent="0.15">
      <c r="R26" s="279"/>
      <c r="U26" s="279"/>
      <c r="X26" s="279"/>
      <c r="AD26" s="279"/>
      <c r="AG26" s="279"/>
      <c r="AJ26" s="279"/>
      <c r="AM26" s="279"/>
      <c r="AQ26"/>
      <c r="AR26"/>
      <c r="AT26" s="194"/>
    </row>
    <row r="27" spans="2:71" x14ac:dyDescent="0.15">
      <c r="U27" s="279"/>
      <c r="AG27" s="279"/>
      <c r="AJ27" s="279"/>
      <c r="AM27" s="279"/>
      <c r="AT27" s="194"/>
    </row>
    <row r="28" spans="2:71" x14ac:dyDescent="0.15">
      <c r="C28" s="138" t="s">
        <v>1</v>
      </c>
      <c r="E28" s="138" t="s">
        <v>1</v>
      </c>
      <c r="G28" s="138" t="s">
        <v>1</v>
      </c>
      <c r="H28" s="138" t="s">
        <v>1</v>
      </c>
      <c r="U28" s="279"/>
      <c r="AG28" s="279"/>
      <c r="AJ28" s="279"/>
      <c r="AM28" s="279"/>
      <c r="AT28" s="194"/>
    </row>
    <row r="29" spans="2:71" x14ac:dyDescent="0.15">
      <c r="H29" s="138" t="s">
        <v>1</v>
      </c>
      <c r="AG29" s="279"/>
      <c r="AJ29" s="279"/>
      <c r="AM29" s="279"/>
    </row>
    <row r="30" spans="2:71" x14ac:dyDescent="0.15">
      <c r="H30" s="138" t="s">
        <v>1</v>
      </c>
      <c r="AM30" s="279"/>
    </row>
    <row r="31" spans="2:71" x14ac:dyDescent="0.15">
      <c r="H31" s="138" t="s">
        <v>1</v>
      </c>
      <c r="BD31" s="336"/>
      <c r="BE31" s="336"/>
      <c r="BF31" s="336"/>
      <c r="BG31" s="336"/>
      <c r="BH31" s="336"/>
      <c r="BI31" s="336"/>
      <c r="BJ31" s="336"/>
      <c r="BK31" s="336"/>
      <c r="BL31" s="336"/>
      <c r="BM31" s="336"/>
      <c r="BN31" s="336"/>
      <c r="BO31" s="336"/>
      <c r="BP31" s="336"/>
      <c r="BQ31" s="336"/>
      <c r="BR31" s="336"/>
      <c r="BS31" s="336"/>
    </row>
    <row r="32" spans="2:71" x14ac:dyDescent="0.15">
      <c r="H32" s="138" t="s">
        <v>1</v>
      </c>
    </row>
    <row r="33" spans="8:8" x14ac:dyDescent="0.15">
      <c r="H33" s="138" t="s">
        <v>1</v>
      </c>
    </row>
    <row r="43" spans="8:8" x14ac:dyDescent="0.15">
      <c r="H43" s="625"/>
    </row>
  </sheetData>
  <sheetProtection algorithmName="SHA-512" hashValue="Xb1j9YAMqxuK9vJ4icorBTBullU1x79VooGQ8V6ucpPv5UVZTUA0TQYNWO3dyPZZu6d+T4iT1grEnDUyANxwFw==" saltValue="x949VryvwVpCCWAJcDyMGw==" spinCount="100000" sheet="1" objects="1" scenarios="1"/>
  <mergeCells count="9">
    <mergeCell ref="B9:C9"/>
    <mergeCell ref="B2:C2"/>
    <mergeCell ref="AU2:AU8"/>
    <mergeCell ref="BE2:BE8"/>
    <mergeCell ref="B3:C3"/>
    <mergeCell ref="B4:C4"/>
    <mergeCell ref="B6:C6"/>
    <mergeCell ref="B7:C7"/>
    <mergeCell ref="B8:C8"/>
  </mergeCells>
  <pageMargins left="0.75000000000000011" right="0.75000000000000011" top="1" bottom="1" header="0.49" footer="0.49"/>
  <pageSetup scale="63" fitToWidth="2" orientation="landscape" horizontalDpi="4294967292" verticalDpi="4294967292"/>
  <headerFooter>
    <oddFooter>&amp;C&amp;K000000Budget et indicateurs de performace (430-763-Me)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D7C94-B556-7E49-B1D3-C5186E80CD80}">
  <sheetPr codeName="Feuil16">
    <tabColor theme="1"/>
    <pageSetUpPr fitToPage="1"/>
  </sheetPr>
  <dimension ref="B1:BS43"/>
  <sheetViews>
    <sheetView zoomScale="125" zoomScaleNormal="125" zoomScalePageLayoutView="125" workbookViewId="0"/>
  </sheetViews>
  <sheetFormatPr baseColWidth="10" defaultRowHeight="13" x14ac:dyDescent="0.15"/>
  <cols>
    <col min="1" max="1" width="2.1640625" style="138" customWidth="1"/>
    <col min="2" max="2" width="5.1640625" style="138" customWidth="1"/>
    <col min="3" max="3" width="45.1640625" style="138" customWidth="1"/>
    <col min="4" max="4" width="0.83203125" style="138" customWidth="1"/>
    <col min="5" max="5" width="14.33203125" style="138" customWidth="1"/>
    <col min="6" max="6" width="7.83203125" style="138" customWidth="1"/>
    <col min="7" max="7" width="0.83203125" style="138" customWidth="1"/>
    <col min="8" max="8" width="14.33203125" style="138" customWidth="1"/>
    <col min="9" max="9" width="7.83203125" style="138" customWidth="1"/>
    <col min="10" max="10" width="0.83203125" style="138" customWidth="1"/>
    <col min="11" max="11" width="14.33203125" style="138" customWidth="1"/>
    <col min="12" max="12" width="7.83203125" style="138" customWidth="1"/>
    <col min="13" max="13" width="0.83203125" style="138" customWidth="1"/>
    <col min="14" max="14" width="14.33203125" style="138" customWidth="1"/>
    <col min="15" max="15" width="7.83203125" style="138" customWidth="1"/>
    <col min="16" max="16" width="0.83203125" style="138" customWidth="1"/>
    <col min="17" max="17" width="14.33203125" style="138" customWidth="1"/>
    <col min="18" max="18" width="7.83203125" style="138" customWidth="1"/>
    <col min="19" max="19" width="0.83203125" style="138" customWidth="1"/>
    <col min="20" max="20" width="14.33203125" style="138" customWidth="1"/>
    <col min="21" max="21" width="7.83203125" style="138" customWidth="1"/>
    <col min="22" max="22" width="0.83203125" style="138" customWidth="1"/>
    <col min="23" max="23" width="14.33203125" style="138" customWidth="1"/>
    <col min="24" max="24" width="7.83203125" style="138" customWidth="1"/>
    <col min="25" max="25" width="0.83203125" style="138" customWidth="1"/>
    <col min="26" max="26" width="14.33203125" style="138" customWidth="1"/>
    <col min="27" max="27" width="7.83203125" style="138" customWidth="1"/>
    <col min="28" max="28" width="0.83203125" style="138" customWidth="1"/>
    <col min="29" max="29" width="14.33203125" style="138" customWidth="1"/>
    <col min="30" max="30" width="7.83203125" style="138" customWidth="1"/>
    <col min="31" max="31" width="0.83203125" style="138" customWidth="1"/>
    <col min="32" max="32" width="14.33203125" style="138" customWidth="1"/>
    <col min="33" max="33" width="7.83203125" style="138" customWidth="1"/>
    <col min="34" max="34" width="0.83203125" style="138" customWidth="1"/>
    <col min="35" max="35" width="14.33203125" style="138" customWidth="1"/>
    <col min="36" max="36" width="7.83203125" style="138" customWidth="1"/>
    <col min="37" max="37" width="0.83203125" style="138" customWidth="1"/>
    <col min="38" max="38" width="14.33203125" style="138" customWidth="1"/>
    <col min="39" max="39" width="7.83203125" style="138" customWidth="1"/>
    <col min="40" max="40" width="0.83203125" style="138" customWidth="1"/>
    <col min="41" max="41" width="14.33203125" style="138" customWidth="1"/>
    <col min="42" max="42" width="8.1640625" style="138" customWidth="1"/>
    <col min="43" max="43" width="1.83203125" style="138" customWidth="1"/>
    <col min="44" max="44" width="14.5" style="138" bestFit="1" customWidth="1"/>
    <col min="45" max="45" width="10.5" style="138" customWidth="1"/>
    <col min="46" max="46" width="2.6640625" style="138" customWidth="1"/>
    <col min="47" max="47" width="8.5" style="138" bestFit="1" customWidth="1"/>
    <col min="48" max="48" width="14.6640625" style="138" bestFit="1" customWidth="1"/>
    <col min="49" max="49" width="2.5" style="138" bestFit="1" customWidth="1"/>
    <col min="50" max="50" width="26.83203125" style="138" bestFit="1" customWidth="1"/>
    <col min="51" max="51" width="2.5" style="138" bestFit="1" customWidth="1"/>
    <col min="52" max="52" width="2" style="138" bestFit="1" customWidth="1"/>
    <col min="53" max="53" width="10.83203125" style="138"/>
    <col min="54" max="54" width="2.5" style="138" bestFit="1" customWidth="1"/>
    <col min="55" max="55" width="10.83203125" style="138"/>
    <col min="56" max="56" width="2" style="138" bestFit="1" customWidth="1"/>
    <col min="57" max="57" width="8.5" style="138" bestFit="1" customWidth="1"/>
    <col min="58" max="16384" width="10.83203125" style="138"/>
  </cols>
  <sheetData>
    <row r="1" spans="2:58" ht="14" thickBot="1" x14ac:dyDescent="0.2"/>
    <row r="2" spans="2:58" ht="17" thickTop="1" x14ac:dyDescent="0.2">
      <c r="B2" s="1546" t="str">
        <f>'État des Résultats'!C2</f>
        <v>Votre entreprise inc.</v>
      </c>
      <c r="C2" s="1547"/>
      <c r="AU2" s="1572" t="s">
        <v>45</v>
      </c>
      <c r="AV2" s="701"/>
      <c r="AW2" s="701"/>
      <c r="AX2" s="701"/>
      <c r="AY2" s="701"/>
      <c r="AZ2" s="701"/>
      <c r="BA2" s="701"/>
      <c r="BB2" s="701"/>
      <c r="BC2" s="701"/>
      <c r="BD2" s="701"/>
      <c r="BE2" s="1575" t="s">
        <v>46</v>
      </c>
    </row>
    <row r="3" spans="2:58" ht="16" x14ac:dyDescent="0.2">
      <c r="B3" s="1554" t="str">
        <f>'État des Résultats'!C3</f>
        <v xml:space="preserve">États des résultats </v>
      </c>
      <c r="C3" s="1555"/>
      <c r="AU3" s="1573"/>
      <c r="AV3" s="702"/>
      <c r="AW3" s="702"/>
      <c r="AX3" s="702"/>
      <c r="AY3" s="702"/>
      <c r="AZ3" s="702"/>
      <c r="BA3" s="702"/>
      <c r="BB3" s="702"/>
      <c r="BC3" s="702"/>
      <c r="BD3" s="702"/>
      <c r="BE3" s="1576"/>
    </row>
    <row r="4" spans="2:58" ht="22" thickBot="1" x14ac:dyDescent="0.3">
      <c r="B4" s="1556" t="str">
        <f>'État des Résultats'!C4</f>
        <v>Pour la période du 2 janvier 2023 au 31 décembre 2023</v>
      </c>
      <c r="C4" s="1557"/>
      <c r="AU4" s="1573"/>
      <c r="AV4" s="703" t="str">
        <f>'[1]Formule pour le calcul D'!BA103</f>
        <v>Coût annuel</v>
      </c>
      <c r="AW4" s="703" t="s">
        <v>48</v>
      </c>
      <c r="AX4" s="703" t="str">
        <f>'[1]Formule pour le calcul D'!BC103</f>
        <v>Achalandage annuelle</v>
      </c>
      <c r="AY4" s="703" t="s">
        <v>50</v>
      </c>
      <c r="AZ4" s="703" t="s">
        <v>51</v>
      </c>
      <c r="BA4" s="703" t="str">
        <f>'[1]Formule pour le calcul D'!BF103</f>
        <v>Um/A</v>
      </c>
      <c r="BB4" s="703" t="s">
        <v>50</v>
      </c>
      <c r="BC4" s="703" t="str">
        <f>'[1]Formule pour le calcul D'!BH103</f>
        <v>CmO</v>
      </c>
      <c r="BD4" s="703" t="s">
        <v>54</v>
      </c>
      <c r="BE4" s="1576"/>
    </row>
    <row r="5" spans="2:58" ht="21" thickTop="1" thickBot="1" x14ac:dyDescent="0.3">
      <c r="AU5" s="1573"/>
      <c r="AV5" s="704" t="s">
        <v>1</v>
      </c>
      <c r="AW5" s="184"/>
      <c r="AX5" s="704"/>
      <c r="AY5" s="184"/>
      <c r="AZ5" s="184"/>
      <c r="BA5" s="184"/>
      <c r="BB5" s="184"/>
      <c r="BC5" s="184"/>
      <c r="BD5" s="184"/>
      <c r="BE5" s="1576"/>
    </row>
    <row r="6" spans="2:58" ht="27" thickTop="1" x14ac:dyDescent="0.3">
      <c r="B6" s="1489" t="str">
        <f>'État des Résultats'!C6</f>
        <v>Nb de places</v>
      </c>
      <c r="C6" s="1537"/>
      <c r="E6" s="530" t="str">
        <f>'Frais financier'!E6</f>
        <v>Coût / place / jour</v>
      </c>
      <c r="F6" s="531">
        <f>E24/B7/'Calendrier 2023'!D7</f>
        <v>1.7032967032967032</v>
      </c>
      <c r="G6" s="336"/>
      <c r="H6" s="530" t="str">
        <f>+E6</f>
        <v>Coût / place / jour</v>
      </c>
      <c r="I6" s="531">
        <f>H24/B7/'Calendrier 2023'!E7</f>
        <v>1.7032967032967032</v>
      </c>
      <c r="J6" s="336"/>
      <c r="K6" s="530" t="str">
        <f>+H6</f>
        <v>Coût / place / jour</v>
      </c>
      <c r="L6" s="531">
        <f>K24/B7/'Calendrier 2023'!F7</f>
        <v>1.7032967032967032</v>
      </c>
      <c r="M6" s="336"/>
      <c r="N6" s="530" t="str">
        <f>+K6</f>
        <v>Coût / place / jour</v>
      </c>
      <c r="O6" s="531">
        <f>N24/B7/'Calendrier 2023'!H7</f>
        <v>1.7032967032967032</v>
      </c>
      <c r="P6" s="532"/>
      <c r="Q6" s="530" t="str">
        <f>+N6</f>
        <v>Coût / place / jour</v>
      </c>
      <c r="R6" s="531">
        <f>Q24/B7/'Calendrier 2023'!H7</f>
        <v>1.7032967032967032</v>
      </c>
      <c r="S6" s="532"/>
      <c r="T6" s="530" t="str">
        <f>+Q6</f>
        <v>Coût / place / jour</v>
      </c>
      <c r="U6" s="531">
        <f>T24/B7/'Calendrier 2023'!I7</f>
        <v>1.7032967032967032</v>
      </c>
      <c r="V6" s="336"/>
      <c r="W6" s="530" t="str">
        <f>+T6</f>
        <v>Coût / place / jour</v>
      </c>
      <c r="X6" s="531">
        <f>W24/B7/'Calendrier 2023'!J7</f>
        <v>1.7032967032967032</v>
      </c>
      <c r="Y6" s="336"/>
      <c r="Z6" s="530" t="str">
        <f>+W6</f>
        <v>Coût / place / jour</v>
      </c>
      <c r="AA6" s="531">
        <f>Z24/B7/'Calendrier 2023'!K7</f>
        <v>1.7032967032967032</v>
      </c>
      <c r="AB6" s="336"/>
      <c r="AC6" s="530" t="str">
        <f>+Z6</f>
        <v>Coût / place / jour</v>
      </c>
      <c r="AD6" s="531">
        <f>+AC24/$B$7/'[1]Calendrier 2021'!L8</f>
        <v>1.5897435897435899</v>
      </c>
      <c r="AE6" s="336"/>
      <c r="AF6" s="530" t="str">
        <f>+AC6</f>
        <v>Coût / place / jour</v>
      </c>
      <c r="AG6" s="531">
        <f>AF24/B7/'Calendrier 2023'!M7</f>
        <v>1.7032967032967032</v>
      </c>
      <c r="AH6" s="336"/>
      <c r="AI6" s="530" t="str">
        <f>+AF6</f>
        <v>Coût / place / jour</v>
      </c>
      <c r="AJ6" s="531">
        <f>AI24/B7/'Calendrier 2023'!N7</f>
        <v>1.7032967032967032</v>
      </c>
      <c r="AK6" s="336"/>
      <c r="AL6" s="530" t="str">
        <f>+AI6</f>
        <v>Coût / place / jour</v>
      </c>
      <c r="AM6" s="531">
        <f>AL24/B7/'Calendrier 2023'!O7</f>
        <v>1.7032967032967032</v>
      </c>
      <c r="AN6" s="336"/>
      <c r="AO6" s="606" t="str">
        <f>+AL6</f>
        <v>Coût / place / jour</v>
      </c>
      <c r="AP6" s="607">
        <f>AO24/B7/'Calendrier 2023'!P7</f>
        <v>1.7032967032967032</v>
      </c>
      <c r="AQ6" s="712"/>
      <c r="AR6" s="1078" t="str">
        <f>+AO6</f>
        <v>Coût / place / jour</v>
      </c>
      <c r="AS6" s="1056">
        <f>AR24/B7/'Calendrier 2023'!R7</f>
        <v>1.7032967032967032</v>
      </c>
      <c r="AU6" s="1573"/>
      <c r="AV6" s="705" t="str">
        <f>'[1]Formule pour le calcul D'!BA105</f>
        <v xml:space="preserve">C </v>
      </c>
      <c r="AW6" s="706"/>
      <c r="AX6" s="705" t="str">
        <f>'[1]Formule pour le calcul D'!BC105</f>
        <v>A</v>
      </c>
      <c r="AY6" s="706"/>
      <c r="AZ6" s="706"/>
      <c r="BA6" s="705" t="str">
        <f>BA4</f>
        <v>Um/A</v>
      </c>
      <c r="BB6" s="706"/>
      <c r="BC6" s="705" t="str">
        <f>BC4</f>
        <v>CmO</v>
      </c>
      <c r="BD6" s="706"/>
      <c r="BE6" s="1576"/>
    </row>
    <row r="7" spans="2:58" ht="21" x14ac:dyDescent="0.25">
      <c r="B7" s="1538">
        <f>'État des Résultats'!C7</f>
        <v>30</v>
      </c>
      <c r="C7" s="1539"/>
      <c r="E7" s="535">
        <f>+E24/$AR24</f>
        <v>7.6923076923076913E-2</v>
      </c>
      <c r="F7" s="536"/>
      <c r="H7" s="535">
        <f>+H24/$AR24</f>
        <v>7.6923076923076913E-2</v>
      </c>
      <c r="I7" s="536"/>
      <c r="K7" s="535">
        <f>+K24/$AR24</f>
        <v>7.6923076923076913E-2</v>
      </c>
      <c r="L7" s="537"/>
      <c r="N7" s="535">
        <f>+N24/$AR24</f>
        <v>7.6923076923076913E-2</v>
      </c>
      <c r="O7" s="537"/>
      <c r="P7" s="538"/>
      <c r="Q7" s="535">
        <f>+Q24/$AR24</f>
        <v>7.6923076923076913E-2</v>
      </c>
      <c r="R7" s="537"/>
      <c r="S7" s="538"/>
      <c r="T7" s="535">
        <f>+T24/$AR24</f>
        <v>7.6923076923076913E-2</v>
      </c>
      <c r="U7" s="537"/>
      <c r="W7" s="535">
        <f>+W24/$AR24</f>
        <v>7.6923076923076913E-2</v>
      </c>
      <c r="X7" s="537"/>
      <c r="Z7" s="535">
        <f>+Z24/$AR24</f>
        <v>7.6923076923076913E-2</v>
      </c>
      <c r="AA7" s="537"/>
      <c r="AC7" s="535">
        <f>+AC24/$AR24</f>
        <v>7.6923076923076913E-2</v>
      </c>
      <c r="AD7" s="537"/>
      <c r="AF7" s="535">
        <f>+AF24/$AR24</f>
        <v>7.6923076923076913E-2</v>
      </c>
      <c r="AG7" s="537"/>
      <c r="AI7" s="535">
        <f>+AI24/$AR24</f>
        <v>7.6923076923076913E-2</v>
      </c>
      <c r="AJ7" s="537"/>
      <c r="AL7" s="535">
        <f>+AL24/$AR24</f>
        <v>7.6923076923076913E-2</v>
      </c>
      <c r="AM7" s="537"/>
      <c r="AO7" s="535">
        <f>+AO24/$AR24</f>
        <v>7.6923076923076913E-2</v>
      </c>
      <c r="AP7" s="725" t="s">
        <v>151</v>
      </c>
      <c r="AQ7" s="730"/>
      <c r="AR7" s="1079">
        <f>+E7+H7+K7+N7+Q7+T7+W7+Z7+AC7+AF7+AI7+AL7+AO7</f>
        <v>0.99999999999999967</v>
      </c>
      <c r="AS7" s="1112" t="str">
        <f>+AP7</f>
        <v>364 jours</v>
      </c>
      <c r="AU7" s="1573"/>
      <c r="AV7" s="720">
        <f>AR24</f>
        <v>18600</v>
      </c>
      <c r="AW7" s="703" t="s">
        <v>48</v>
      </c>
      <c r="AX7" s="721">
        <f>'Formule pour le calcul D'!G114</f>
        <v>54651</v>
      </c>
      <c r="AY7" s="703" t="s">
        <v>50</v>
      </c>
      <c r="AZ7" s="703" t="s">
        <v>51</v>
      </c>
      <c r="BA7" s="722">
        <f>'Formule pour le calcul D'!J114</f>
        <v>2.2692307692307692</v>
      </c>
      <c r="BB7" s="703" t="s">
        <v>50</v>
      </c>
      <c r="BC7" s="720">
        <f>AV7/AX7/BA7</f>
        <v>0.14998097325742485</v>
      </c>
      <c r="BD7" s="703" t="s">
        <v>54</v>
      </c>
      <c r="BE7" s="1576"/>
    </row>
    <row r="8" spans="2:58" ht="17" thickBot="1" x14ac:dyDescent="0.25">
      <c r="B8" s="1493" t="s">
        <v>175</v>
      </c>
      <c r="C8" s="1539"/>
      <c r="E8" s="539" t="str">
        <f>'Calendrier 2023'!D5</f>
        <v>Pér.01</v>
      </c>
      <c r="F8" s="652" t="str">
        <f>'Frais financier'!F8</f>
        <v>(%)</v>
      </c>
      <c r="G8" s="541"/>
      <c r="H8" s="539" t="str">
        <f>'Calendrier 2023'!E5</f>
        <v>Pér.02</v>
      </c>
      <c r="I8" s="540" t="str">
        <f>F8</f>
        <v>(%)</v>
      </c>
      <c r="J8" s="541"/>
      <c r="K8" s="539" t="str">
        <f>'Calendrier 2023'!F5</f>
        <v>Pér.03</v>
      </c>
      <c r="L8" s="540" t="str">
        <f>I8</f>
        <v>(%)</v>
      </c>
      <c r="M8" s="541"/>
      <c r="N8" s="539" t="str">
        <f>'Calendrier 2023'!G5</f>
        <v>Pér.04</v>
      </c>
      <c r="O8" s="540" t="str">
        <f>L8</f>
        <v>(%)</v>
      </c>
      <c r="P8" s="542"/>
      <c r="Q8" s="539" t="str">
        <f>'Calendrier 2023'!H5</f>
        <v>Pér.05</v>
      </c>
      <c r="R8" s="540" t="str">
        <f>O8</f>
        <v>(%)</v>
      </c>
      <c r="S8" s="542"/>
      <c r="T8" s="539" t="str">
        <f>'Calendrier 2023'!I5</f>
        <v>Pér.06</v>
      </c>
      <c r="U8" s="540" t="str">
        <f>R8</f>
        <v>(%)</v>
      </c>
      <c r="V8" s="541"/>
      <c r="W8" s="539" t="str">
        <f>'Calendrier 2023'!J5</f>
        <v>Pér.07</v>
      </c>
      <c r="X8" s="540" t="str">
        <f>U8</f>
        <v>(%)</v>
      </c>
      <c r="Y8" s="541"/>
      <c r="Z8" s="539" t="str">
        <f>'Calendrier 2023'!K5</f>
        <v>Pér.08</v>
      </c>
      <c r="AA8" s="540" t="str">
        <f>X8</f>
        <v>(%)</v>
      </c>
      <c r="AB8" s="541"/>
      <c r="AC8" s="539" t="str">
        <f>'Calendrier 2023'!L5</f>
        <v>Pér.09</v>
      </c>
      <c r="AD8" s="540" t="str">
        <f>AA8</f>
        <v>(%)</v>
      </c>
      <c r="AE8" s="541"/>
      <c r="AF8" s="539" t="str">
        <f>'Calendrier 2023'!M5</f>
        <v>Pér.10</v>
      </c>
      <c r="AG8" s="540" t="str">
        <f>AD8</f>
        <v>(%)</v>
      </c>
      <c r="AH8" s="541"/>
      <c r="AI8" s="539" t="str">
        <f>'Calendrier 2023'!N5</f>
        <v>Pér.11</v>
      </c>
      <c r="AJ8" s="540" t="str">
        <f>AG8</f>
        <v>(%)</v>
      </c>
      <c r="AK8" s="541"/>
      <c r="AL8" s="539" t="str">
        <f>'Calendrier 2023'!O5</f>
        <v>Pér.12</v>
      </c>
      <c r="AM8" s="540" t="str">
        <f>AJ8</f>
        <v>(%)</v>
      </c>
      <c r="AN8" s="543" t="s">
        <v>1</v>
      </c>
      <c r="AO8" s="615" t="str">
        <f>'Calendrier 2023'!P5</f>
        <v>Pér.13</v>
      </c>
      <c r="AP8" s="540" t="str">
        <f>AM8</f>
        <v>(%)</v>
      </c>
      <c r="AQ8" s="714"/>
      <c r="AR8" s="1058" t="str">
        <f>'% Occupation'!Q5</f>
        <v>Année</v>
      </c>
      <c r="AS8" s="1059" t="str">
        <f>AP8</f>
        <v>(%)</v>
      </c>
      <c r="AU8" s="1574"/>
      <c r="AV8" s="707"/>
      <c r="AW8" s="707"/>
      <c r="AX8" s="707"/>
      <c r="AY8" s="707"/>
      <c r="AZ8" s="707"/>
      <c r="BA8" s="707"/>
      <c r="BB8" s="707"/>
      <c r="BC8" s="707"/>
      <c r="BD8" s="707"/>
      <c r="BE8" s="1577"/>
    </row>
    <row r="9" spans="2:58" ht="15" thickTop="1" thickBot="1" x14ac:dyDescent="0.2">
      <c r="B9" s="1495">
        <f>AO24/$B$7</f>
        <v>47.692307692307693</v>
      </c>
      <c r="C9" s="1524"/>
      <c r="E9" s="574">
        <f>'Achalandage journalier'!D6</f>
        <v>44928</v>
      </c>
      <c r="F9" s="575"/>
      <c r="G9" s="576"/>
      <c r="H9" s="577">
        <f>'Achalandage journalier'!E6</f>
        <v>44956</v>
      </c>
      <c r="I9" s="578"/>
      <c r="J9" s="576"/>
      <c r="K9" s="577">
        <f>'Achalandage journalier'!F6</f>
        <v>44984</v>
      </c>
      <c r="L9" s="578"/>
      <c r="M9" s="576"/>
      <c r="N9" s="574">
        <f>'Achalandage journalier'!G6</f>
        <v>45012</v>
      </c>
      <c r="O9" s="575"/>
      <c r="P9" s="579"/>
      <c r="Q9" s="574">
        <f>'Achalandage journalier'!H6</f>
        <v>45040</v>
      </c>
      <c r="R9" s="575"/>
      <c r="S9" s="579"/>
      <c r="T9" s="577">
        <f>'Achalandage journalier'!I6</f>
        <v>45068</v>
      </c>
      <c r="U9" s="578"/>
      <c r="V9" s="576"/>
      <c r="W9" s="577">
        <f>'Achalandage journalier'!J6</f>
        <v>45096</v>
      </c>
      <c r="X9" s="578"/>
      <c r="Y9" s="576"/>
      <c r="Z9" s="577">
        <f>'Achalandage journalier'!K6</f>
        <v>45124</v>
      </c>
      <c r="AA9" s="578"/>
      <c r="AB9" s="576"/>
      <c r="AC9" s="577">
        <f>'Achalandage journalier'!L6</f>
        <v>45152</v>
      </c>
      <c r="AD9" s="578"/>
      <c r="AE9" s="576"/>
      <c r="AF9" s="577">
        <f>'Achalandage journalier'!M6</f>
        <v>45180</v>
      </c>
      <c r="AG9" s="578"/>
      <c r="AH9" s="576"/>
      <c r="AI9" s="577">
        <f>'Achalandage journalier'!N6</f>
        <v>45208</v>
      </c>
      <c r="AJ9" s="578"/>
      <c r="AK9" s="576"/>
      <c r="AL9" s="577">
        <f>'Achalandage journalier'!O6</f>
        <v>45236</v>
      </c>
      <c r="AM9" s="578"/>
      <c r="AN9" s="576"/>
      <c r="AO9" s="638">
        <f>'Achalandage journalier'!P6</f>
        <v>45264</v>
      </c>
      <c r="AP9" s="639"/>
      <c r="AQ9" s="715"/>
      <c r="AR9" s="1111" t="str">
        <f>'Achalandage journalier'!Q6</f>
        <v>Total</v>
      </c>
      <c r="AS9" s="1090"/>
      <c r="AT9" s="545"/>
      <c r="AU9" s="545"/>
      <c r="AW9" s="398"/>
      <c r="AX9" s="398"/>
      <c r="AY9" s="398"/>
      <c r="AZ9" s="398"/>
      <c r="BA9" s="398"/>
      <c r="BB9" s="398"/>
    </row>
    <row r="10" spans="2:58" ht="15" thickTop="1" thickBot="1" x14ac:dyDescent="0.2">
      <c r="D10" s="545"/>
      <c r="G10" s="546"/>
      <c r="J10" s="546"/>
      <c r="M10" s="546"/>
      <c r="P10" s="547"/>
      <c r="S10" s="547"/>
      <c r="V10" s="546"/>
      <c r="Y10" s="366"/>
      <c r="AB10" s="546"/>
      <c r="AE10" s="546"/>
      <c r="AH10" s="546"/>
      <c r="AK10" s="546"/>
      <c r="AN10" s="546"/>
      <c r="AQ10" s="194"/>
      <c r="AT10" s="336"/>
      <c r="AU10" s="336"/>
      <c r="AV10" s="336"/>
    </row>
    <row r="11" spans="2:58" ht="14" thickTop="1" x14ac:dyDescent="0.15">
      <c r="B11" s="404"/>
      <c r="C11" s="709" t="str">
        <f>'État des Résultats'!C39</f>
        <v> Amortissement</v>
      </c>
      <c r="E11" s="404"/>
      <c r="F11" s="549"/>
      <c r="H11" s="404"/>
      <c r="I11" s="549"/>
      <c r="K11" s="404"/>
      <c r="L11" s="549"/>
      <c r="N11" s="404"/>
      <c r="O11" s="549"/>
      <c r="Q11" s="404"/>
      <c r="R11" s="549"/>
      <c r="T11" s="404"/>
      <c r="U11" s="549"/>
      <c r="W11" s="404"/>
      <c r="X11" s="549"/>
      <c r="Z11" s="404"/>
      <c r="AA11" s="549"/>
      <c r="AC11" s="404"/>
      <c r="AD11" s="549"/>
      <c r="AF11" s="404"/>
      <c r="AG11" s="549"/>
      <c r="AI11" s="404"/>
      <c r="AJ11" s="549"/>
      <c r="AL11" s="404"/>
      <c r="AM11" s="549"/>
      <c r="AO11" s="631"/>
      <c r="AP11" s="632"/>
      <c r="AQ11" s="716"/>
      <c r="AR11" s="1083"/>
      <c r="AS11" s="1084"/>
      <c r="AT11" s="366"/>
      <c r="AU11" s="366"/>
      <c r="AV11" s="366"/>
      <c r="AW11" s="366"/>
      <c r="AX11" s="366"/>
      <c r="AY11" s="366"/>
      <c r="AZ11" s="366"/>
      <c r="BA11" s="366"/>
      <c r="BB11" s="366"/>
      <c r="BC11" s="366"/>
      <c r="BD11" s="366"/>
      <c r="BE11" s="366"/>
      <c r="BF11" s="366"/>
    </row>
    <row r="12" spans="2:58" x14ac:dyDescent="0.15">
      <c r="B12" s="370"/>
      <c r="C12" s="550"/>
      <c r="E12" s="370"/>
      <c r="F12" s="414"/>
      <c r="H12" s="370"/>
      <c r="I12" s="414"/>
      <c r="K12" s="370"/>
      <c r="L12" s="414"/>
      <c r="N12" s="370"/>
      <c r="O12" s="414"/>
      <c r="Q12" s="370"/>
      <c r="R12" s="414"/>
      <c r="T12" s="370"/>
      <c r="U12" s="414"/>
      <c r="W12" s="370"/>
      <c r="X12" s="414"/>
      <c r="Z12" s="370"/>
      <c r="AA12" s="414"/>
      <c r="AC12" s="370"/>
      <c r="AD12" s="414"/>
      <c r="AF12" s="370"/>
      <c r="AG12" s="414"/>
      <c r="AI12" s="370"/>
      <c r="AJ12" s="414"/>
      <c r="AL12" s="370"/>
      <c r="AM12" s="371"/>
      <c r="AO12" s="633"/>
      <c r="AP12" s="634"/>
      <c r="AQ12" s="716"/>
      <c r="AR12" s="1028"/>
      <c r="AS12" s="1085"/>
      <c r="AT12" s="366"/>
      <c r="AU12" s="366"/>
      <c r="AV12" s="366"/>
      <c r="AW12" s="366"/>
      <c r="AX12" s="366"/>
      <c r="AY12" s="366"/>
      <c r="AZ12" s="366"/>
      <c r="BA12" s="366"/>
      <c r="BB12" s="366"/>
      <c r="BC12" s="366"/>
      <c r="BD12" s="366"/>
      <c r="BE12" s="366"/>
      <c r="BF12" s="366"/>
    </row>
    <row r="13" spans="2:58" x14ac:dyDescent="0.15">
      <c r="B13" s="726">
        <v>8510</v>
      </c>
      <c r="C13" s="727" t="s">
        <v>312</v>
      </c>
      <c r="E13" s="621">
        <f>+(1430.76923076923)</f>
        <v>1430.7692307692307</v>
      </c>
      <c r="F13" s="553">
        <f>E13/'État des Résultats'!E$14</f>
        <v>5.2118563567554899E-2</v>
      </c>
      <c r="H13" s="621">
        <f>+E13</f>
        <v>1430.7692307692307</v>
      </c>
      <c r="I13" s="553">
        <f>H13/'État des Résultats'!H$14</f>
        <v>5.2118563567554899E-2</v>
      </c>
      <c r="K13" s="621">
        <f>+H13</f>
        <v>1430.7692307692307</v>
      </c>
      <c r="L13" s="553">
        <f>K13/'État des Résultats'!K$14</f>
        <v>3.6231545287094089E-2</v>
      </c>
      <c r="N13" s="621">
        <f>+K13</f>
        <v>1430.7692307692307</v>
      </c>
      <c r="O13" s="553">
        <f>N13/'État des Résultats'!N$14</f>
        <v>2.6662832092696345E-2</v>
      </c>
      <c r="Q13" s="621">
        <f>+N13</f>
        <v>1430.7692307692307</v>
      </c>
      <c r="R13" s="553">
        <f>Q13/'État des Résultats'!Q$14</f>
        <v>2.1613603671872379E-2</v>
      </c>
      <c r="T13" s="621">
        <f>+Q13</f>
        <v>1430.7692307692307</v>
      </c>
      <c r="U13" s="553">
        <f>T13/'État des Résultats'!T$14</f>
        <v>1.8172262422857185E-2</v>
      </c>
      <c r="W13" s="621">
        <f>+T13</f>
        <v>1430.7692307692307</v>
      </c>
      <c r="X13" s="553">
        <f>W13/'État des Résultats'!W$14</f>
        <v>1.5103414970228018E-2</v>
      </c>
      <c r="Z13" s="621">
        <f>+W13</f>
        <v>1430.7692307692307</v>
      </c>
      <c r="AA13" s="553">
        <f>Z13/'État des Résultats'!Z$14</f>
        <v>1.3255838230168848E-2</v>
      </c>
      <c r="AC13" s="621">
        <f>+Z13</f>
        <v>1430.7692307692307</v>
      </c>
      <c r="AD13" s="553">
        <f>AC13/'État des Résultats'!AC$14</f>
        <v>1.3255838230168848E-2</v>
      </c>
      <c r="AF13" s="621">
        <f>+AC13</f>
        <v>1430.7692307692307</v>
      </c>
      <c r="AG13" s="553">
        <f>AF13/'État des Résultats'!AF$14</f>
        <v>1.2767402542396548E-2</v>
      </c>
      <c r="AI13" s="621">
        <f>+AF13</f>
        <v>1430.7692307692307</v>
      </c>
      <c r="AJ13" s="553">
        <f>AI13/'État des Résultats'!AI$14</f>
        <v>1.2767402542396548E-2</v>
      </c>
      <c r="AL13" s="621">
        <f>+AI13</f>
        <v>1430.7692307692307</v>
      </c>
      <c r="AM13" s="553">
        <f>AL13/'État des Résultats'!AL$14</f>
        <v>1.4521027990413467E-2</v>
      </c>
      <c r="AO13" s="621">
        <f>+AL13</f>
        <v>1430.7692307692307</v>
      </c>
      <c r="AP13" s="553">
        <f>AO13/'État des Résultats'!AO$14</f>
        <v>1.4004988486544143E-2</v>
      </c>
      <c r="AQ13" s="717"/>
      <c r="AR13" s="1091">
        <f>SUM(+$AO13 +AL13+$AI13+$AF13+$AC13+$Z13+$W13+$T13+$Q13+$N13+$K13+$H13+$E13)</f>
        <v>18600</v>
      </c>
      <c r="AS13" s="1087">
        <f>+AR13/'État des Résultats'!$AR$14</f>
        <v>1.8086186718164719E-2</v>
      </c>
    </row>
    <row r="14" spans="2:58" x14ac:dyDescent="0.15">
      <c r="B14" s="726">
        <v>8520</v>
      </c>
      <c r="C14" s="727" t="s">
        <v>313</v>
      </c>
      <c r="E14" s="621">
        <v>0</v>
      </c>
      <c r="F14" s="553">
        <f>E14/'État des Résultats'!E$14</f>
        <v>0</v>
      </c>
      <c r="H14" s="621">
        <v>0</v>
      </c>
      <c r="I14" s="553">
        <f>H14/'État des Résultats'!H$14</f>
        <v>0</v>
      </c>
      <c r="K14" s="621">
        <v>0</v>
      </c>
      <c r="L14" s="553">
        <f>K14/'État des Résultats'!K$14</f>
        <v>0</v>
      </c>
      <c r="N14" s="621">
        <v>0</v>
      </c>
      <c r="O14" s="553">
        <f>N14/'État des Résultats'!N$14</f>
        <v>0</v>
      </c>
      <c r="Q14" s="621">
        <v>0</v>
      </c>
      <c r="R14" s="553">
        <f>Q14/'État des Résultats'!Q$14</f>
        <v>0</v>
      </c>
      <c r="T14" s="621">
        <v>0</v>
      </c>
      <c r="U14" s="553">
        <f>T14/'État des Résultats'!T$14</f>
        <v>0</v>
      </c>
      <c r="W14" s="621">
        <v>0</v>
      </c>
      <c r="X14" s="553">
        <f>W14/'État des Résultats'!W$14</f>
        <v>0</v>
      </c>
      <c r="Z14" s="621">
        <v>0</v>
      </c>
      <c r="AA14" s="553">
        <f>Z14/'État des Résultats'!Z$14</f>
        <v>0</v>
      </c>
      <c r="AC14" s="621">
        <v>0</v>
      </c>
      <c r="AD14" s="553">
        <f>AC14/'État des Résultats'!AC$14</f>
        <v>0</v>
      </c>
      <c r="AF14" s="621">
        <v>0</v>
      </c>
      <c r="AG14" s="553">
        <f>AF14/'État des Résultats'!AF$14</f>
        <v>0</v>
      </c>
      <c r="AI14" s="621">
        <v>0</v>
      </c>
      <c r="AJ14" s="553">
        <f>AI14/'État des Résultats'!AI$14</f>
        <v>0</v>
      </c>
      <c r="AL14" s="621">
        <v>0</v>
      </c>
      <c r="AM14" s="553">
        <f>AL14/'État des Résultats'!AL$14</f>
        <v>0</v>
      </c>
      <c r="AO14" s="621">
        <v>0</v>
      </c>
      <c r="AP14" s="553">
        <f>AO14/'État des Résultats'!AO$14</f>
        <v>0</v>
      </c>
      <c r="AQ14" s="717"/>
      <c r="AR14" s="1091">
        <f t="shared" ref="AR14:AR22" si="0">SUM(+$AO14 +AL14+$AI14+$AF14+$AC14+$Z14+$W14+$T14+$Q14+$N14+$K14+$H14+$E14)</f>
        <v>0</v>
      </c>
      <c r="AS14" s="1087">
        <f>+AR14/'État des Résultats'!$AR$14</f>
        <v>0</v>
      </c>
    </row>
    <row r="15" spans="2:58" x14ac:dyDescent="0.15">
      <c r="B15" s="728">
        <v>8530</v>
      </c>
      <c r="C15" s="727" t="s">
        <v>314</v>
      </c>
      <c r="E15" s="621">
        <v>0</v>
      </c>
      <c r="F15" s="553">
        <f>E15/'État des Résultats'!E$14</f>
        <v>0</v>
      </c>
      <c r="H15" s="621">
        <v>0</v>
      </c>
      <c r="I15" s="553">
        <f>H15/'État des Résultats'!H$14</f>
        <v>0</v>
      </c>
      <c r="K15" s="621">
        <v>0</v>
      </c>
      <c r="L15" s="553">
        <f>K15/'État des Résultats'!K$14</f>
        <v>0</v>
      </c>
      <c r="N15" s="621">
        <v>0</v>
      </c>
      <c r="O15" s="553">
        <f>N15/'État des Résultats'!N$14</f>
        <v>0</v>
      </c>
      <c r="Q15" s="621">
        <v>0</v>
      </c>
      <c r="R15" s="553">
        <f>Q15/'État des Résultats'!Q$14</f>
        <v>0</v>
      </c>
      <c r="T15" s="621">
        <v>0</v>
      </c>
      <c r="U15" s="553">
        <f>T15/'État des Résultats'!T$14</f>
        <v>0</v>
      </c>
      <c r="W15" s="621">
        <v>0</v>
      </c>
      <c r="X15" s="553">
        <f>W15/'État des Résultats'!W$14</f>
        <v>0</v>
      </c>
      <c r="Z15" s="621">
        <v>0</v>
      </c>
      <c r="AA15" s="553">
        <f>Z15/'État des Résultats'!Z$14</f>
        <v>0</v>
      </c>
      <c r="AC15" s="621">
        <v>0</v>
      </c>
      <c r="AD15" s="553">
        <f>AC15/'État des Résultats'!AC$14</f>
        <v>0</v>
      </c>
      <c r="AF15" s="621">
        <v>0</v>
      </c>
      <c r="AG15" s="553">
        <f>AF15/'État des Résultats'!AF$14</f>
        <v>0</v>
      </c>
      <c r="AI15" s="621">
        <v>0</v>
      </c>
      <c r="AJ15" s="553">
        <f>AI15/'État des Résultats'!AI$14</f>
        <v>0</v>
      </c>
      <c r="AL15" s="621">
        <v>0</v>
      </c>
      <c r="AM15" s="553">
        <f>AL15/'État des Résultats'!AL$14</f>
        <v>0</v>
      </c>
      <c r="AO15" s="621">
        <v>0</v>
      </c>
      <c r="AP15" s="553">
        <f>AO15/'État des Résultats'!AO$14</f>
        <v>0</v>
      </c>
      <c r="AQ15" s="717"/>
      <c r="AR15" s="1091">
        <f t="shared" si="0"/>
        <v>0</v>
      </c>
      <c r="AS15" s="1087">
        <f>+AR15/'État des Résultats'!$AR$14</f>
        <v>0</v>
      </c>
    </row>
    <row r="16" spans="2:58" x14ac:dyDescent="0.15">
      <c r="B16" s="728">
        <v>8540</v>
      </c>
      <c r="C16" s="727" t="s">
        <v>315</v>
      </c>
      <c r="E16" s="621">
        <v>0</v>
      </c>
      <c r="F16" s="553">
        <f>E16/'État des Résultats'!E$14</f>
        <v>0</v>
      </c>
      <c r="G16" s="554" t="s">
        <v>1</v>
      </c>
      <c r="H16" s="621">
        <v>0</v>
      </c>
      <c r="I16" s="553">
        <f>H16/'État des Résultats'!H$14</f>
        <v>0</v>
      </c>
      <c r="K16" s="621">
        <v>0</v>
      </c>
      <c r="L16" s="553">
        <f>K16/'État des Résultats'!K$14</f>
        <v>0</v>
      </c>
      <c r="N16" s="621">
        <v>0</v>
      </c>
      <c r="O16" s="553">
        <f>N16/'État des Résultats'!N$14</f>
        <v>0</v>
      </c>
      <c r="Q16" s="621">
        <v>0</v>
      </c>
      <c r="R16" s="553">
        <f>Q16/'État des Résultats'!Q$14</f>
        <v>0</v>
      </c>
      <c r="T16" s="621">
        <v>0</v>
      </c>
      <c r="U16" s="553">
        <f>T16/'État des Résultats'!T$14</f>
        <v>0</v>
      </c>
      <c r="W16" s="621">
        <v>0</v>
      </c>
      <c r="X16" s="553">
        <f>W16/'État des Résultats'!W$14</f>
        <v>0</v>
      </c>
      <c r="Z16" s="621">
        <v>0</v>
      </c>
      <c r="AA16" s="553">
        <f>Z16/'État des Résultats'!Z$14</f>
        <v>0</v>
      </c>
      <c r="AC16" s="621">
        <v>0</v>
      </c>
      <c r="AD16" s="553">
        <f>AC16/'État des Résultats'!AC$14</f>
        <v>0</v>
      </c>
      <c r="AF16" s="621">
        <v>0</v>
      </c>
      <c r="AG16" s="553">
        <f>AF16/'État des Résultats'!AF$14</f>
        <v>0</v>
      </c>
      <c r="AI16" s="621">
        <v>0</v>
      </c>
      <c r="AJ16" s="553">
        <f>AI16/'État des Résultats'!AI$14</f>
        <v>0</v>
      </c>
      <c r="AL16" s="621">
        <v>0</v>
      </c>
      <c r="AM16" s="553">
        <f>AL16/'État des Résultats'!AL$14</f>
        <v>0</v>
      </c>
      <c r="AO16" s="621">
        <v>0</v>
      </c>
      <c r="AP16" s="553">
        <f>AO16/'État des Résultats'!AO$14</f>
        <v>0</v>
      </c>
      <c r="AQ16" s="717"/>
      <c r="AR16" s="1091">
        <f t="shared" si="0"/>
        <v>0</v>
      </c>
      <c r="AS16" s="1087">
        <f>+AR16/'État des Résultats'!$AR$14</f>
        <v>0</v>
      </c>
    </row>
    <row r="17" spans="2:71" x14ac:dyDescent="0.15">
      <c r="B17" s="728">
        <v>8550</v>
      </c>
      <c r="C17" s="727" t="s">
        <v>315</v>
      </c>
      <c r="E17" s="621">
        <v>0</v>
      </c>
      <c r="F17" s="553">
        <f>E17/'État des Résultats'!E$14</f>
        <v>0</v>
      </c>
      <c r="H17" s="621">
        <v>0</v>
      </c>
      <c r="I17" s="553">
        <f>H17/'État des Résultats'!H$14</f>
        <v>0</v>
      </c>
      <c r="K17" s="621">
        <v>0</v>
      </c>
      <c r="L17" s="553">
        <f>K17/'État des Résultats'!K$14</f>
        <v>0</v>
      </c>
      <c r="N17" s="621">
        <v>0</v>
      </c>
      <c r="O17" s="553">
        <f>N17/'État des Résultats'!N$14</f>
        <v>0</v>
      </c>
      <c r="Q17" s="621">
        <v>0</v>
      </c>
      <c r="R17" s="553">
        <f>Q17/'État des Résultats'!Q$14</f>
        <v>0</v>
      </c>
      <c r="T17" s="621">
        <v>0</v>
      </c>
      <c r="U17" s="553">
        <f>T17/'État des Résultats'!T$14</f>
        <v>0</v>
      </c>
      <c r="W17" s="621">
        <v>0</v>
      </c>
      <c r="X17" s="553">
        <f>W17/'État des Résultats'!W$14</f>
        <v>0</v>
      </c>
      <c r="Z17" s="621">
        <v>0</v>
      </c>
      <c r="AA17" s="553">
        <f>Z17/'État des Résultats'!Z$14</f>
        <v>0</v>
      </c>
      <c r="AC17" s="621">
        <v>0</v>
      </c>
      <c r="AD17" s="553">
        <f>AC17/'État des Résultats'!AC$14</f>
        <v>0</v>
      </c>
      <c r="AF17" s="621">
        <v>0</v>
      </c>
      <c r="AG17" s="553">
        <f>AF17/'État des Résultats'!AF$14</f>
        <v>0</v>
      </c>
      <c r="AI17" s="621">
        <v>0</v>
      </c>
      <c r="AJ17" s="553">
        <f>AI17/'État des Résultats'!AI$14</f>
        <v>0</v>
      </c>
      <c r="AL17" s="621">
        <v>0</v>
      </c>
      <c r="AM17" s="553">
        <f>AL17/'État des Résultats'!AL$14</f>
        <v>0</v>
      </c>
      <c r="AO17" s="621">
        <v>0</v>
      </c>
      <c r="AP17" s="553">
        <f>AO17/'État des Résultats'!AO$14</f>
        <v>0</v>
      </c>
      <c r="AQ17" s="717"/>
      <c r="AR17" s="1091">
        <f t="shared" si="0"/>
        <v>0</v>
      </c>
      <c r="AS17" s="1087">
        <f>+AR17/'État des Résultats'!$AR$14</f>
        <v>0</v>
      </c>
    </row>
    <row r="18" spans="2:71" x14ac:dyDescent="0.15">
      <c r="B18" s="728">
        <v>8560</v>
      </c>
      <c r="C18" s="727" t="s">
        <v>315</v>
      </c>
      <c r="E18" s="621">
        <v>0</v>
      </c>
      <c r="F18" s="553">
        <f>E18/'État des Résultats'!E$14</f>
        <v>0</v>
      </c>
      <c r="H18" s="621">
        <v>0</v>
      </c>
      <c r="I18" s="553">
        <f>H18/'État des Résultats'!H$14</f>
        <v>0</v>
      </c>
      <c r="K18" s="621">
        <v>0</v>
      </c>
      <c r="L18" s="553">
        <f>K18/'État des Résultats'!K$14</f>
        <v>0</v>
      </c>
      <c r="N18" s="621">
        <v>0</v>
      </c>
      <c r="O18" s="553">
        <f>N18/'État des Résultats'!N$14</f>
        <v>0</v>
      </c>
      <c r="Q18" s="621">
        <v>0</v>
      </c>
      <c r="R18" s="553">
        <f>Q18/'État des Résultats'!Q$14</f>
        <v>0</v>
      </c>
      <c r="T18" s="621">
        <v>0</v>
      </c>
      <c r="U18" s="553">
        <f>T18/'État des Résultats'!T$14</f>
        <v>0</v>
      </c>
      <c r="W18" s="621">
        <v>0</v>
      </c>
      <c r="X18" s="553">
        <f>W18/'État des Résultats'!W$14</f>
        <v>0</v>
      </c>
      <c r="Z18" s="621">
        <v>0</v>
      </c>
      <c r="AA18" s="553">
        <f>Z18/'État des Résultats'!Z$14</f>
        <v>0</v>
      </c>
      <c r="AC18" s="621">
        <v>0</v>
      </c>
      <c r="AD18" s="553">
        <f>AC18/'État des Résultats'!AC$14</f>
        <v>0</v>
      </c>
      <c r="AF18" s="621">
        <v>0</v>
      </c>
      <c r="AG18" s="553">
        <f>AF18/'État des Résultats'!AF$14</f>
        <v>0</v>
      </c>
      <c r="AI18" s="621">
        <v>0</v>
      </c>
      <c r="AJ18" s="553">
        <f>AI18/'État des Résultats'!AI$14</f>
        <v>0</v>
      </c>
      <c r="AL18" s="621">
        <v>0</v>
      </c>
      <c r="AM18" s="553">
        <f>AL18/'État des Résultats'!AL$14</f>
        <v>0</v>
      </c>
      <c r="AO18" s="621">
        <v>0</v>
      </c>
      <c r="AP18" s="553">
        <f>AO18/'État des Résultats'!AO$14</f>
        <v>0</v>
      </c>
      <c r="AQ18" s="717"/>
      <c r="AR18" s="1091">
        <f t="shared" si="0"/>
        <v>0</v>
      </c>
      <c r="AS18" s="1087">
        <f>+AR18/'État des Résultats'!$AR$14</f>
        <v>0</v>
      </c>
    </row>
    <row r="19" spans="2:71" x14ac:dyDescent="0.15">
      <c r="B19" s="728">
        <v>8570</v>
      </c>
      <c r="C19" s="727" t="s">
        <v>315</v>
      </c>
      <c r="E19" s="621">
        <v>0</v>
      </c>
      <c r="F19" s="553">
        <f>E19/'État des Résultats'!E$14</f>
        <v>0</v>
      </c>
      <c r="H19" s="621">
        <v>0</v>
      </c>
      <c r="I19" s="553">
        <f>H19/'État des Résultats'!H$14</f>
        <v>0</v>
      </c>
      <c r="K19" s="621">
        <v>0</v>
      </c>
      <c r="L19" s="553">
        <f>K19/'État des Résultats'!K$14</f>
        <v>0</v>
      </c>
      <c r="N19" s="621">
        <v>0</v>
      </c>
      <c r="O19" s="553">
        <f>N19/'État des Résultats'!N$14</f>
        <v>0</v>
      </c>
      <c r="Q19" s="621">
        <v>0</v>
      </c>
      <c r="R19" s="553">
        <f>Q19/'État des Résultats'!Q$14</f>
        <v>0</v>
      </c>
      <c r="T19" s="621">
        <v>0</v>
      </c>
      <c r="U19" s="553">
        <f>T19/'État des Résultats'!T$14</f>
        <v>0</v>
      </c>
      <c r="W19" s="621">
        <v>0</v>
      </c>
      <c r="X19" s="553">
        <f>W19/'État des Résultats'!W$14</f>
        <v>0</v>
      </c>
      <c r="Z19" s="621">
        <v>0</v>
      </c>
      <c r="AA19" s="553">
        <f>Z19/'État des Résultats'!Z$14</f>
        <v>0</v>
      </c>
      <c r="AC19" s="621">
        <v>0</v>
      </c>
      <c r="AD19" s="553">
        <f>AC19/'État des Résultats'!AC$14</f>
        <v>0</v>
      </c>
      <c r="AF19" s="621">
        <v>0</v>
      </c>
      <c r="AG19" s="553">
        <f>AF19/'État des Résultats'!AF$14</f>
        <v>0</v>
      </c>
      <c r="AI19" s="621">
        <v>0</v>
      </c>
      <c r="AJ19" s="553">
        <f>AI19/'État des Résultats'!AI$14</f>
        <v>0</v>
      </c>
      <c r="AL19" s="621">
        <v>0</v>
      </c>
      <c r="AM19" s="553">
        <f>AL19/'État des Résultats'!AL$14</f>
        <v>0</v>
      </c>
      <c r="AO19" s="621">
        <v>0</v>
      </c>
      <c r="AP19" s="553">
        <f>AO19/'État des Résultats'!AO$14</f>
        <v>0</v>
      </c>
      <c r="AQ19" s="717"/>
      <c r="AR19" s="1091">
        <f t="shared" si="0"/>
        <v>0</v>
      </c>
      <c r="AS19" s="1087">
        <f>+AR19/'État des Résultats'!$AR$14</f>
        <v>0</v>
      </c>
      <c r="AU19" s="139"/>
    </row>
    <row r="20" spans="2:71" x14ac:dyDescent="0.15">
      <c r="B20" s="728">
        <v>8580</v>
      </c>
      <c r="C20" s="727" t="s">
        <v>315</v>
      </c>
      <c r="E20" s="621">
        <v>0</v>
      </c>
      <c r="F20" s="553">
        <f>E20/'État des Résultats'!E$14</f>
        <v>0</v>
      </c>
      <c r="H20" s="621">
        <v>0</v>
      </c>
      <c r="I20" s="553">
        <f>H20/'État des Résultats'!H$14</f>
        <v>0</v>
      </c>
      <c r="K20" s="621">
        <v>0</v>
      </c>
      <c r="L20" s="553">
        <f>K20/'État des Résultats'!K$14</f>
        <v>0</v>
      </c>
      <c r="N20" s="621">
        <v>0</v>
      </c>
      <c r="O20" s="553">
        <f>N20/'État des Résultats'!N$14</f>
        <v>0</v>
      </c>
      <c r="Q20" s="621">
        <v>0</v>
      </c>
      <c r="R20" s="553">
        <f>Q20/'État des Résultats'!Q$14</f>
        <v>0</v>
      </c>
      <c r="T20" s="621">
        <v>0</v>
      </c>
      <c r="U20" s="553">
        <f>T20/'État des Résultats'!T$14</f>
        <v>0</v>
      </c>
      <c r="W20" s="621">
        <v>0</v>
      </c>
      <c r="X20" s="553">
        <f>W20/'État des Résultats'!W$14</f>
        <v>0</v>
      </c>
      <c r="Z20" s="621">
        <v>0</v>
      </c>
      <c r="AA20" s="553">
        <f>Z20/'État des Résultats'!Z$14</f>
        <v>0</v>
      </c>
      <c r="AC20" s="621">
        <v>0</v>
      </c>
      <c r="AD20" s="553">
        <f>AC20/'État des Résultats'!AC$14</f>
        <v>0</v>
      </c>
      <c r="AF20" s="621">
        <v>0</v>
      </c>
      <c r="AG20" s="553">
        <f>AF20/'État des Résultats'!AF$14</f>
        <v>0</v>
      </c>
      <c r="AI20" s="621">
        <v>0</v>
      </c>
      <c r="AJ20" s="553">
        <f>AI20/'État des Résultats'!AI$14</f>
        <v>0</v>
      </c>
      <c r="AL20" s="621">
        <v>0</v>
      </c>
      <c r="AM20" s="553">
        <f>AL20/'État des Résultats'!AL$14</f>
        <v>0</v>
      </c>
      <c r="AO20" s="621">
        <v>0</v>
      </c>
      <c r="AP20" s="553">
        <f>AO20/'État des Résultats'!AO$14</f>
        <v>0</v>
      </c>
      <c r="AQ20" s="717"/>
      <c r="AR20" s="1091">
        <f t="shared" si="0"/>
        <v>0</v>
      </c>
      <c r="AS20" s="1087">
        <f>+AR20/'État des Résultats'!$AR$14</f>
        <v>0</v>
      </c>
    </row>
    <row r="21" spans="2:71" x14ac:dyDescent="0.15">
      <c r="B21" s="728">
        <v>8190</v>
      </c>
      <c r="C21" s="727" t="s">
        <v>315</v>
      </c>
      <c r="E21" s="621">
        <v>0</v>
      </c>
      <c r="F21" s="553">
        <f>E21/'État des Résultats'!E$14</f>
        <v>0</v>
      </c>
      <c r="H21" s="621">
        <v>0</v>
      </c>
      <c r="I21" s="553">
        <f>H21/'État des Résultats'!H$14</f>
        <v>0</v>
      </c>
      <c r="K21" s="621">
        <v>0</v>
      </c>
      <c r="L21" s="553">
        <f>K21/'État des Résultats'!K$14</f>
        <v>0</v>
      </c>
      <c r="N21" s="621">
        <v>0</v>
      </c>
      <c r="O21" s="553">
        <f>N21/'État des Résultats'!N$14</f>
        <v>0</v>
      </c>
      <c r="Q21" s="621">
        <v>0</v>
      </c>
      <c r="R21" s="553">
        <f>Q21/'État des Résultats'!Q$14</f>
        <v>0</v>
      </c>
      <c r="T21" s="621">
        <v>0</v>
      </c>
      <c r="U21" s="553">
        <f>T21/'État des Résultats'!T$14</f>
        <v>0</v>
      </c>
      <c r="W21" s="621">
        <v>0</v>
      </c>
      <c r="X21" s="553">
        <f>W21/'État des Résultats'!W$14</f>
        <v>0</v>
      </c>
      <c r="Z21" s="621">
        <v>0</v>
      </c>
      <c r="AA21" s="553">
        <f>Z21/'État des Résultats'!Z$14</f>
        <v>0</v>
      </c>
      <c r="AC21" s="621">
        <v>0</v>
      </c>
      <c r="AD21" s="553">
        <f>AC21/'État des Résultats'!AC$14</f>
        <v>0</v>
      </c>
      <c r="AF21" s="621">
        <v>0</v>
      </c>
      <c r="AG21" s="553">
        <f>AF21/'État des Résultats'!AF$14</f>
        <v>0</v>
      </c>
      <c r="AI21" s="621">
        <v>0</v>
      </c>
      <c r="AJ21" s="553">
        <f>AI21/'État des Résultats'!AI$14</f>
        <v>0</v>
      </c>
      <c r="AL21" s="621">
        <v>0</v>
      </c>
      <c r="AM21" s="553">
        <f>AL21/'État des Résultats'!AL$14</f>
        <v>0</v>
      </c>
      <c r="AO21" s="621">
        <v>0</v>
      </c>
      <c r="AP21" s="553">
        <f>AO21/'État des Résultats'!AO$14</f>
        <v>0</v>
      </c>
      <c r="AQ21" s="717"/>
      <c r="AR21" s="1091">
        <f t="shared" si="0"/>
        <v>0</v>
      </c>
      <c r="AS21" s="1087">
        <f>+AR21/'État des Résultats'!$AR$14</f>
        <v>0</v>
      </c>
    </row>
    <row r="22" spans="2:71" x14ac:dyDescent="0.15">
      <c r="B22" s="728">
        <v>8199</v>
      </c>
      <c r="C22" s="727" t="s">
        <v>315</v>
      </c>
      <c r="E22" s="621">
        <v>0</v>
      </c>
      <c r="F22" s="553">
        <f>E22/'État des Résultats'!E$14</f>
        <v>0</v>
      </c>
      <c r="H22" s="621">
        <v>0</v>
      </c>
      <c r="I22" s="553">
        <f>H22/'État des Résultats'!H$14</f>
        <v>0</v>
      </c>
      <c r="K22" s="621">
        <v>0</v>
      </c>
      <c r="L22" s="553">
        <f>K22/'État des Résultats'!K$14</f>
        <v>0</v>
      </c>
      <c r="N22" s="621">
        <v>0</v>
      </c>
      <c r="O22" s="553">
        <f>N22/'État des Résultats'!N$14</f>
        <v>0</v>
      </c>
      <c r="Q22" s="621">
        <v>0</v>
      </c>
      <c r="R22" s="553">
        <f>Q22/'État des Résultats'!Q$14</f>
        <v>0</v>
      </c>
      <c r="T22" s="621">
        <v>0</v>
      </c>
      <c r="U22" s="553">
        <f>T22/'État des Résultats'!T$14</f>
        <v>0</v>
      </c>
      <c r="W22" s="621">
        <v>0</v>
      </c>
      <c r="X22" s="553">
        <f>W22/'État des Résultats'!W$14</f>
        <v>0</v>
      </c>
      <c r="Z22" s="621">
        <v>0</v>
      </c>
      <c r="AA22" s="553">
        <f>Z22/'État des Résultats'!Z$14</f>
        <v>0</v>
      </c>
      <c r="AC22" s="621">
        <v>0</v>
      </c>
      <c r="AD22" s="553">
        <f>AC22/'État des Résultats'!AC$14</f>
        <v>0</v>
      </c>
      <c r="AF22" s="621">
        <v>0</v>
      </c>
      <c r="AG22" s="553">
        <f>AF22/'État des Résultats'!AF$14</f>
        <v>0</v>
      </c>
      <c r="AI22" s="621">
        <v>0</v>
      </c>
      <c r="AJ22" s="553">
        <f>AI22/'État des Résultats'!AI$14</f>
        <v>0</v>
      </c>
      <c r="AL22" s="621">
        <v>0</v>
      </c>
      <c r="AM22" s="553">
        <f>AL22/'État des Résultats'!AL$14</f>
        <v>0</v>
      </c>
      <c r="AO22" s="621">
        <v>0</v>
      </c>
      <c r="AP22" s="553">
        <f>AO22/'État des Résultats'!AO$14</f>
        <v>0</v>
      </c>
      <c r="AQ22" s="717"/>
      <c r="AR22" s="1091">
        <f t="shared" si="0"/>
        <v>0</v>
      </c>
      <c r="AS22" s="1087">
        <f>+AR22/'État des Résultats'!$AR$14</f>
        <v>0</v>
      </c>
    </row>
    <row r="23" spans="2:71" ht="14" thickBot="1" x14ac:dyDescent="0.2">
      <c r="B23" s="555" t="s">
        <v>1</v>
      </c>
      <c r="C23" s="556"/>
      <c r="E23" s="729" t="s">
        <v>1</v>
      </c>
      <c r="F23" s="558" t="s">
        <v>1</v>
      </c>
      <c r="H23" s="729" t="s">
        <v>1</v>
      </c>
      <c r="I23" s="558" t="s">
        <v>1</v>
      </c>
      <c r="K23" s="729" t="s">
        <v>1</v>
      </c>
      <c r="L23" s="558" t="s">
        <v>1</v>
      </c>
      <c r="N23" s="729" t="s">
        <v>1</v>
      </c>
      <c r="O23" s="558" t="s">
        <v>1</v>
      </c>
      <c r="Q23" s="729" t="s">
        <v>1</v>
      </c>
      <c r="R23" s="558" t="s">
        <v>1</v>
      </c>
      <c r="S23" s="559"/>
      <c r="T23" s="729" t="s">
        <v>1</v>
      </c>
      <c r="U23" s="558" t="s">
        <v>1</v>
      </c>
      <c r="W23" s="729" t="s">
        <v>1</v>
      </c>
      <c r="X23" s="558" t="s">
        <v>1</v>
      </c>
      <c r="Z23" s="729" t="s">
        <v>1</v>
      </c>
      <c r="AA23" s="558" t="s">
        <v>1</v>
      </c>
      <c r="AC23" s="729" t="s">
        <v>1</v>
      </c>
      <c r="AD23" s="558" t="s">
        <v>1</v>
      </c>
      <c r="AF23" s="729" t="s">
        <v>1</v>
      </c>
      <c r="AG23" s="558" t="s">
        <v>1</v>
      </c>
      <c r="AI23" s="729" t="s">
        <v>1</v>
      </c>
      <c r="AJ23" s="558" t="s">
        <v>1</v>
      </c>
      <c r="AL23" s="729" t="s">
        <v>1</v>
      </c>
      <c r="AM23" s="558" t="s">
        <v>1</v>
      </c>
      <c r="AO23" s="729" t="s">
        <v>1</v>
      </c>
      <c r="AP23" s="558" t="s">
        <v>1</v>
      </c>
      <c r="AQ23" s="731"/>
      <c r="AR23" s="1091" t="s">
        <v>1</v>
      </c>
      <c r="AS23" s="1088" t="s">
        <v>1</v>
      </c>
    </row>
    <row r="24" spans="2:71" ht="15" thickTop="1" thickBot="1" x14ac:dyDescent="0.2">
      <c r="B24" s="560">
        <v>8500</v>
      </c>
      <c r="C24" s="561" t="s">
        <v>316</v>
      </c>
      <c r="D24" s="381"/>
      <c r="E24" s="624">
        <f>SUM(E13:E22)</f>
        <v>1430.7692307692307</v>
      </c>
      <c r="F24" s="563">
        <f>+SUM(F13:F22)</f>
        <v>5.2118563567554899E-2</v>
      </c>
      <c r="G24" s="381"/>
      <c r="H24" s="624">
        <f>SUM(H13:H22)</f>
        <v>1430.7692307692307</v>
      </c>
      <c r="I24" s="563">
        <f>+SUM(I13:I22)</f>
        <v>5.2118563567554899E-2</v>
      </c>
      <c r="J24" s="381"/>
      <c r="K24" s="624">
        <f>SUM(K13:K22)</f>
        <v>1430.7692307692307</v>
      </c>
      <c r="L24" s="563">
        <f>+SUM(L13:L22)</f>
        <v>3.6231545287094089E-2</v>
      </c>
      <c r="M24" s="381"/>
      <c r="N24" s="624">
        <f>SUM(N13:N22)</f>
        <v>1430.7692307692307</v>
      </c>
      <c r="O24" s="563">
        <f>+SUM(O13:O22)</f>
        <v>2.6662832092696345E-2</v>
      </c>
      <c r="P24" s="381"/>
      <c r="Q24" s="624">
        <f>SUM(Q13:Q22)</f>
        <v>1430.7692307692307</v>
      </c>
      <c r="R24" s="563">
        <f>+SUM(R13:R22)</f>
        <v>2.1613603671872379E-2</v>
      </c>
      <c r="S24" s="381"/>
      <c r="T24" s="624">
        <f>SUM(T13:T22)</f>
        <v>1430.7692307692307</v>
      </c>
      <c r="U24" s="563">
        <f>+SUM(U13:U22)</f>
        <v>1.8172262422857185E-2</v>
      </c>
      <c r="V24" s="381"/>
      <c r="W24" s="624">
        <f>SUM(W13:W22)</f>
        <v>1430.7692307692307</v>
      </c>
      <c r="X24" s="563">
        <f>+SUM(X13:X22)</f>
        <v>1.5103414970228018E-2</v>
      </c>
      <c r="Y24" s="381"/>
      <c r="Z24" s="624">
        <f>SUM(Z13:Z22)</f>
        <v>1430.7692307692307</v>
      </c>
      <c r="AA24" s="563">
        <f>+SUM(AA13:AA22)</f>
        <v>1.3255838230168848E-2</v>
      </c>
      <c r="AB24" s="381"/>
      <c r="AC24" s="624">
        <f>SUM(AC13:AC22)</f>
        <v>1430.7692307692307</v>
      </c>
      <c r="AD24" s="563">
        <f>+SUM(AD13:AD22)</f>
        <v>1.3255838230168848E-2</v>
      </c>
      <c r="AE24" s="381"/>
      <c r="AF24" s="624">
        <f>SUM(AF13:AF22)</f>
        <v>1430.7692307692307</v>
      </c>
      <c r="AG24" s="563">
        <f>+SUM(AG13:AG22)</f>
        <v>1.2767402542396548E-2</v>
      </c>
      <c r="AH24" s="381"/>
      <c r="AI24" s="624">
        <f>SUM(AI13:AI22)</f>
        <v>1430.7692307692307</v>
      </c>
      <c r="AJ24" s="563">
        <f>+SUM(AJ13:AJ22)</f>
        <v>1.2767402542396548E-2</v>
      </c>
      <c r="AK24" s="381"/>
      <c r="AL24" s="624">
        <f>SUM(AL13:AL22)</f>
        <v>1430.7692307692307</v>
      </c>
      <c r="AM24" s="563">
        <f>+SUM(AM13:AM22)</f>
        <v>1.4521027990413467E-2</v>
      </c>
      <c r="AN24" s="381"/>
      <c r="AO24" s="624">
        <f>SUM(AO13:AO22)</f>
        <v>1430.7692307692307</v>
      </c>
      <c r="AP24" s="563">
        <f>+SUM(AP13:AP22)</f>
        <v>1.4004988486544143E-2</v>
      </c>
      <c r="AQ24" s="718"/>
      <c r="AR24" s="624">
        <f>SUM(AR13:AR22)</f>
        <v>18600</v>
      </c>
      <c r="AS24" s="563">
        <f>+SUM(AS13:AS22)</f>
        <v>1.8086186718164719E-2</v>
      </c>
      <c r="AT24" s="381"/>
      <c r="AU24" s="381"/>
      <c r="AV24" s="381"/>
      <c r="AW24" s="545"/>
    </row>
    <row r="25" spans="2:71" ht="14" thickTop="1" x14ac:dyDescent="0.15">
      <c r="L25" s="279"/>
      <c r="O25" s="279"/>
      <c r="R25" s="279"/>
      <c r="U25" s="279"/>
      <c r="X25" s="279"/>
      <c r="AA25" s="279"/>
      <c r="AD25" s="279"/>
      <c r="AG25" s="279"/>
      <c r="AJ25" s="279"/>
      <c r="AM25" s="279"/>
      <c r="AP25" s="279"/>
      <c r="AQ25" s="719"/>
      <c r="AR25" s="279"/>
      <c r="AS25" s="279"/>
    </row>
    <row r="26" spans="2:71" x14ac:dyDescent="0.15">
      <c r="R26" s="279"/>
      <c r="U26" s="279"/>
      <c r="X26" s="279"/>
      <c r="AD26" s="279"/>
      <c r="AG26" s="279"/>
      <c r="AJ26" s="279"/>
      <c r="AM26" s="279"/>
    </row>
    <row r="27" spans="2:71" x14ac:dyDescent="0.15">
      <c r="U27" s="279"/>
      <c r="AG27" s="279"/>
      <c r="AJ27" s="279"/>
      <c r="AM27" s="279"/>
    </row>
    <row r="28" spans="2:71" x14ac:dyDescent="0.15">
      <c r="C28" s="138" t="s">
        <v>1</v>
      </c>
      <c r="E28" s="138" t="s">
        <v>1</v>
      </c>
      <c r="G28" s="138" t="s">
        <v>1</v>
      </c>
      <c r="H28" s="138" t="s">
        <v>1</v>
      </c>
      <c r="U28" s="279"/>
      <c r="AG28" s="279"/>
      <c r="AJ28" s="279"/>
      <c r="AM28" s="279"/>
    </row>
    <row r="29" spans="2:71" x14ac:dyDescent="0.15">
      <c r="H29" s="138" t="s">
        <v>1</v>
      </c>
      <c r="AG29" s="279"/>
      <c r="AJ29" s="279"/>
      <c r="AM29" s="279"/>
    </row>
    <row r="30" spans="2:71" x14ac:dyDescent="0.15">
      <c r="H30" s="138" t="s">
        <v>1</v>
      </c>
      <c r="AM30" s="279"/>
    </row>
    <row r="31" spans="2:71" x14ac:dyDescent="0.15">
      <c r="H31" s="138" t="s">
        <v>1</v>
      </c>
      <c r="BD31" s="336"/>
      <c r="BE31" s="336"/>
      <c r="BF31" s="336"/>
      <c r="BG31" s="336"/>
      <c r="BH31" s="336"/>
      <c r="BI31" s="336"/>
      <c r="BJ31" s="336"/>
      <c r="BK31" s="336"/>
      <c r="BL31" s="336"/>
      <c r="BM31" s="336"/>
      <c r="BN31" s="336"/>
      <c r="BO31" s="336"/>
      <c r="BP31" s="336"/>
      <c r="BQ31" s="336"/>
      <c r="BR31" s="336"/>
      <c r="BS31" s="336"/>
    </row>
    <row r="32" spans="2:71" x14ac:dyDescent="0.15">
      <c r="H32" s="138" t="s">
        <v>1</v>
      </c>
    </row>
    <row r="33" spans="8:8" x14ac:dyDescent="0.15">
      <c r="H33" s="138" t="s">
        <v>1</v>
      </c>
    </row>
    <row r="43" spans="8:8" x14ac:dyDescent="0.15">
      <c r="H43" s="625"/>
    </row>
  </sheetData>
  <sheetProtection algorithmName="SHA-512" hashValue="9DAr3yBF6cJI0Sut5KRwgNgm72J8FMNmoKysUNgBjA0ZYof0X9ridhQ9e7OtcPLcf8eCAd4VRTnZBaZbMBs1RQ==" saltValue="fPXGL44Sni/mjYfPMbrw2Q==" spinCount="100000" sheet="1" objects="1" scenarios="1"/>
  <mergeCells count="9">
    <mergeCell ref="B9:C9"/>
    <mergeCell ref="B2:C2"/>
    <mergeCell ref="AU2:AU8"/>
    <mergeCell ref="BE2:BE8"/>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2188C-9E8D-0E47-970E-1D63F74F0E2E}">
  <sheetPr codeName="Feuil3">
    <tabColor theme="1"/>
  </sheetPr>
  <dimension ref="B1:Q24"/>
  <sheetViews>
    <sheetView zoomScale="150" zoomScaleNormal="150" zoomScalePageLayoutView="150" workbookViewId="0">
      <selection activeCell="D19" sqref="D19"/>
    </sheetView>
  </sheetViews>
  <sheetFormatPr baseColWidth="10" defaultRowHeight="13" x14ac:dyDescent="0.15"/>
  <cols>
    <col min="1" max="1" width="4.33203125" customWidth="1"/>
    <col min="2" max="2" width="19" bestFit="1" customWidth="1"/>
    <col min="3" max="3" width="11.33203125" bestFit="1" customWidth="1"/>
    <col min="4" max="4" width="10.83203125" customWidth="1"/>
    <col min="5" max="5" width="11.83203125" bestFit="1" customWidth="1"/>
    <col min="6" max="6" width="10.83203125" bestFit="1" customWidth="1"/>
    <col min="7" max="7" width="11.83203125" bestFit="1" customWidth="1"/>
    <col min="8" max="8" width="11" bestFit="1" customWidth="1"/>
    <col min="9" max="10" width="10.83203125" bestFit="1" customWidth="1"/>
    <col min="11" max="11" width="11" bestFit="1" customWidth="1"/>
    <col min="12" max="12" width="10.83203125" bestFit="1" customWidth="1"/>
    <col min="13" max="13" width="12" bestFit="1" customWidth="1"/>
    <col min="14" max="14" width="10" bestFit="1" customWidth="1"/>
    <col min="15" max="15" width="10.5" bestFit="1" customWidth="1"/>
    <col min="16" max="16" width="9.83203125" bestFit="1" customWidth="1"/>
    <col min="17" max="17" width="18.5" customWidth="1"/>
  </cols>
  <sheetData>
    <row r="1" spans="2:17" ht="14" thickBot="1" x14ac:dyDescent="0.2">
      <c r="B1" s="101"/>
      <c r="C1" s="101"/>
      <c r="D1" s="101"/>
      <c r="E1" s="101"/>
      <c r="F1" s="101"/>
      <c r="G1" s="101"/>
      <c r="H1" s="101"/>
      <c r="I1" s="101"/>
      <c r="J1" s="101"/>
      <c r="K1" s="101"/>
      <c r="L1" s="101"/>
      <c r="M1" s="101"/>
      <c r="N1" s="101"/>
      <c r="O1" s="101"/>
      <c r="P1" s="101"/>
      <c r="Q1" s="101"/>
    </row>
    <row r="2" spans="2:17" ht="19" thickTop="1" x14ac:dyDescent="0.2">
      <c r="B2" s="1264" t="s">
        <v>35</v>
      </c>
      <c r="C2" s="1265"/>
      <c r="D2" s="1265"/>
      <c r="E2" s="1265"/>
      <c r="F2" s="1265"/>
      <c r="G2" s="1265"/>
      <c r="H2" s="1265"/>
      <c r="I2" s="1265"/>
      <c r="J2" s="1265"/>
      <c r="K2" s="1265"/>
      <c r="L2" s="1265"/>
      <c r="M2" s="1265"/>
      <c r="N2" s="1265"/>
      <c r="O2" s="1265"/>
      <c r="P2" s="1265"/>
      <c r="Q2" s="1318"/>
    </row>
    <row r="3" spans="2:17" ht="16" x14ac:dyDescent="0.2">
      <c r="B3" s="1267" t="s">
        <v>34</v>
      </c>
      <c r="C3" s="1319"/>
      <c r="D3" s="1319"/>
      <c r="E3" s="1319"/>
      <c r="F3" s="1319"/>
      <c r="G3" s="1319"/>
      <c r="H3" s="1319"/>
      <c r="I3" s="1319"/>
      <c r="J3" s="1319"/>
      <c r="K3" s="1319"/>
      <c r="L3" s="1319"/>
      <c r="M3" s="1319"/>
      <c r="N3" s="1319"/>
      <c r="O3" s="1319"/>
      <c r="P3" s="1319"/>
      <c r="Q3" s="1320"/>
    </row>
    <row r="4" spans="2:17" ht="14" thickBot="1" x14ac:dyDescent="0.2">
      <c r="B4" s="1270" t="s">
        <v>266</v>
      </c>
      <c r="C4" s="1321"/>
      <c r="D4" s="1321"/>
      <c r="E4" s="1321"/>
      <c r="F4" s="1321"/>
      <c r="G4" s="1321"/>
      <c r="H4" s="1321"/>
      <c r="I4" s="1321"/>
      <c r="J4" s="1321"/>
      <c r="K4" s="1321"/>
      <c r="L4" s="1321"/>
      <c r="M4" s="1321"/>
      <c r="N4" s="1321"/>
      <c r="O4" s="1321"/>
      <c r="P4" s="1321"/>
      <c r="Q4" s="1322"/>
    </row>
    <row r="5" spans="2:17" ht="14" thickTop="1" x14ac:dyDescent="0.15">
      <c r="B5" s="1"/>
      <c r="C5" s="2"/>
      <c r="D5" s="3" t="str">
        <f>'Achalandage journalier'!D5</f>
        <v>Pér.01</v>
      </c>
      <c r="E5" s="3" t="str">
        <f>'Achalandage journalier'!E5</f>
        <v>Pér.02</v>
      </c>
      <c r="F5" s="3" t="str">
        <f>'Achalandage journalier'!F5</f>
        <v>Pér.03</v>
      </c>
      <c r="G5" s="3" t="str">
        <f>'Achalandage journalier'!G5</f>
        <v>Pér.04</v>
      </c>
      <c r="H5" s="3" t="str">
        <f>'Achalandage journalier'!H5</f>
        <v>Pér.05</v>
      </c>
      <c r="I5" s="3" t="str">
        <f>'Achalandage journalier'!I5</f>
        <v>Pér.06</v>
      </c>
      <c r="J5" s="3" t="str">
        <f>'Achalandage journalier'!J5</f>
        <v>Pér.07</v>
      </c>
      <c r="K5" s="3" t="str">
        <f>'Achalandage journalier'!K5</f>
        <v>Pér.08</v>
      </c>
      <c r="L5" s="3" t="str">
        <f>'Achalandage journalier'!L5</f>
        <v>Pér.09</v>
      </c>
      <c r="M5" s="3" t="str">
        <f>'Achalandage journalier'!M5</f>
        <v>Pér.10</v>
      </c>
      <c r="N5" s="3" t="str">
        <f>'Achalandage journalier'!N5</f>
        <v>Pér.11</v>
      </c>
      <c r="O5" s="3" t="str">
        <f>'Achalandage journalier'!O5</f>
        <v>Pér.12</v>
      </c>
      <c r="P5" s="3" t="str">
        <f>'Achalandage journalier'!P5</f>
        <v>Pér.13</v>
      </c>
      <c r="Q5" s="55" t="s">
        <v>36</v>
      </c>
    </row>
    <row r="6" spans="2:17" ht="14" thickBot="1" x14ac:dyDescent="0.2">
      <c r="B6" s="4" t="s">
        <v>1</v>
      </c>
      <c r="C6" s="5"/>
      <c r="D6" s="592">
        <f>'Achalandage journalier'!D6</f>
        <v>44928</v>
      </c>
      <c r="E6" s="592">
        <f>'Achalandage journalier'!E6</f>
        <v>44956</v>
      </c>
      <c r="F6" s="592">
        <f>'Achalandage journalier'!F6</f>
        <v>44984</v>
      </c>
      <c r="G6" s="592">
        <f>'Achalandage journalier'!G6</f>
        <v>45012</v>
      </c>
      <c r="H6" s="592">
        <f>'Achalandage journalier'!H6</f>
        <v>45040</v>
      </c>
      <c r="I6" s="592">
        <f>'Achalandage journalier'!I6</f>
        <v>45068</v>
      </c>
      <c r="J6" s="592">
        <f>'Achalandage journalier'!J6</f>
        <v>45096</v>
      </c>
      <c r="K6" s="592">
        <f>'Achalandage journalier'!K6</f>
        <v>45124</v>
      </c>
      <c r="L6" s="592">
        <f>'Achalandage journalier'!L6</f>
        <v>45152</v>
      </c>
      <c r="M6" s="592">
        <f>'Achalandage journalier'!M6</f>
        <v>45180</v>
      </c>
      <c r="N6" s="592">
        <f>'Achalandage journalier'!N6</f>
        <v>45208</v>
      </c>
      <c r="O6" s="592">
        <f>'Achalandage journalier'!O6</f>
        <v>45236</v>
      </c>
      <c r="P6" s="593">
        <f>'Achalandage journalier'!P6</f>
        <v>45264</v>
      </c>
      <c r="Q6" s="70" t="s">
        <v>9</v>
      </c>
    </row>
    <row r="7" spans="2:17" ht="15" thickTop="1" thickBot="1" x14ac:dyDescent="0.2">
      <c r="B7" s="1323" t="s">
        <v>26</v>
      </c>
      <c r="C7" s="1324"/>
      <c r="D7" s="94">
        <f>'Achalandage journalier'!D7</f>
        <v>30</v>
      </c>
      <c r="E7" s="71">
        <f t="shared" ref="E7:P7" si="0">+D7</f>
        <v>30</v>
      </c>
      <c r="F7" s="72">
        <f t="shared" si="0"/>
        <v>30</v>
      </c>
      <c r="G7" s="72">
        <f t="shared" si="0"/>
        <v>30</v>
      </c>
      <c r="H7" s="72">
        <f t="shared" si="0"/>
        <v>30</v>
      </c>
      <c r="I7" s="72">
        <f t="shared" si="0"/>
        <v>30</v>
      </c>
      <c r="J7" s="72">
        <f t="shared" si="0"/>
        <v>30</v>
      </c>
      <c r="K7" s="72">
        <f t="shared" si="0"/>
        <v>30</v>
      </c>
      <c r="L7" s="72">
        <f t="shared" si="0"/>
        <v>30</v>
      </c>
      <c r="M7" s="72">
        <f t="shared" si="0"/>
        <v>30</v>
      </c>
      <c r="N7" s="72">
        <f t="shared" si="0"/>
        <v>30</v>
      </c>
      <c r="O7" s="73">
        <f t="shared" si="0"/>
        <v>30</v>
      </c>
      <c r="P7" s="73">
        <f t="shared" si="0"/>
        <v>30</v>
      </c>
      <c r="Q7" s="96">
        <f t="shared" ref="Q7" si="1">+O7</f>
        <v>30</v>
      </c>
    </row>
    <row r="8" spans="2:17" ht="15" thickTop="1" thickBot="1" x14ac:dyDescent="0.2">
      <c r="B8" s="1325" t="s">
        <v>42</v>
      </c>
      <c r="C8" s="1326"/>
      <c r="D8" s="74">
        <v>28</v>
      </c>
      <c r="E8" s="74">
        <f t="shared" ref="E8:P8" si="2">D8</f>
        <v>28</v>
      </c>
      <c r="F8" s="74">
        <f t="shared" si="2"/>
        <v>28</v>
      </c>
      <c r="G8" s="74">
        <f t="shared" si="2"/>
        <v>28</v>
      </c>
      <c r="H8" s="74">
        <f t="shared" si="2"/>
        <v>28</v>
      </c>
      <c r="I8" s="74">
        <f t="shared" si="2"/>
        <v>28</v>
      </c>
      <c r="J8" s="74">
        <f t="shared" si="2"/>
        <v>28</v>
      </c>
      <c r="K8" s="74">
        <f t="shared" si="2"/>
        <v>28</v>
      </c>
      <c r="L8" s="74">
        <f t="shared" si="2"/>
        <v>28</v>
      </c>
      <c r="M8" s="74">
        <f t="shared" si="2"/>
        <v>28</v>
      </c>
      <c r="N8" s="74">
        <f t="shared" si="2"/>
        <v>28</v>
      </c>
      <c r="O8" s="74">
        <f t="shared" si="2"/>
        <v>28</v>
      </c>
      <c r="P8" s="74">
        <f t="shared" si="2"/>
        <v>28</v>
      </c>
      <c r="Q8" s="95">
        <f t="shared" ref="Q8:Q17" si="3">+D8+E8+F8+G8+H8+I8+J8+K8+L8+M8+N8+O8+P8</f>
        <v>364</v>
      </c>
    </row>
    <row r="9" spans="2:17" ht="15" thickTop="1" thickBot="1" x14ac:dyDescent="0.2">
      <c r="B9" s="1327" t="s">
        <v>37</v>
      </c>
      <c r="C9" s="1328"/>
      <c r="D9" s="75">
        <f t="shared" ref="D9:P9" si="4">+D8</f>
        <v>28</v>
      </c>
      <c r="E9" s="75">
        <f t="shared" si="4"/>
        <v>28</v>
      </c>
      <c r="F9" s="75">
        <f t="shared" si="4"/>
        <v>28</v>
      </c>
      <c r="G9" s="75">
        <f t="shared" si="4"/>
        <v>28</v>
      </c>
      <c r="H9" s="75">
        <f t="shared" si="4"/>
        <v>28</v>
      </c>
      <c r="I9" s="75">
        <f t="shared" si="4"/>
        <v>28</v>
      </c>
      <c r="J9" s="75">
        <f t="shared" si="4"/>
        <v>28</v>
      </c>
      <c r="K9" s="75">
        <f t="shared" si="4"/>
        <v>28</v>
      </c>
      <c r="L9" s="75">
        <f t="shared" si="4"/>
        <v>28</v>
      </c>
      <c r="M9" s="75">
        <f t="shared" si="4"/>
        <v>28</v>
      </c>
      <c r="N9" s="75">
        <f t="shared" si="4"/>
        <v>28</v>
      </c>
      <c r="O9" s="75">
        <f t="shared" si="4"/>
        <v>28</v>
      </c>
      <c r="P9" s="75">
        <f t="shared" si="4"/>
        <v>28</v>
      </c>
      <c r="Q9" s="91">
        <f t="shared" si="3"/>
        <v>364</v>
      </c>
    </row>
    <row r="10" spans="2:17" ht="15" thickTop="1" thickBot="1" x14ac:dyDescent="0.2">
      <c r="B10" s="76" t="s">
        <v>38</v>
      </c>
      <c r="C10" s="77" t="s">
        <v>1</v>
      </c>
      <c r="D10" s="78">
        <f t="shared" ref="D10:P10" si="5">+D19/$Q$19</f>
        <v>2.9002214049148232E-2</v>
      </c>
      <c r="E10" s="78">
        <f t="shared" si="5"/>
        <v>2.9002214049148232E-2</v>
      </c>
      <c r="F10" s="78">
        <f t="shared" si="5"/>
        <v>4.1719273206345719E-2</v>
      </c>
      <c r="G10" s="78">
        <f t="shared" si="5"/>
        <v>5.4436332363543213E-2</v>
      </c>
      <c r="H10" s="78">
        <f t="shared" si="5"/>
        <v>6.7153391520740693E-2</v>
      </c>
      <c r="I10" s="78">
        <f t="shared" si="5"/>
        <v>7.9870450677938187E-2</v>
      </c>
      <c r="J10" s="78">
        <f t="shared" si="5"/>
        <v>9.2422828493531686E-2</v>
      </c>
      <c r="K10" s="78">
        <f t="shared" si="5"/>
        <v>0.10530456899233318</v>
      </c>
      <c r="L10" s="78">
        <f t="shared" si="5"/>
        <v>0.10530456899233318</v>
      </c>
      <c r="M10" s="78">
        <f t="shared" si="5"/>
        <v>0.10530456899233318</v>
      </c>
      <c r="N10" s="78">
        <f t="shared" si="5"/>
        <v>0.10530456899233318</v>
      </c>
      <c r="O10" s="78">
        <f t="shared" si="5"/>
        <v>9.2587509835135681E-2</v>
      </c>
      <c r="P10" s="78">
        <f t="shared" si="5"/>
        <v>9.2587509835135681E-2</v>
      </c>
      <c r="Q10" s="79">
        <f t="shared" si="3"/>
        <v>1</v>
      </c>
    </row>
    <row r="11" spans="2:17" ht="13" customHeight="1" thickTop="1" x14ac:dyDescent="0.15">
      <c r="B11" s="9">
        <v>1</v>
      </c>
      <c r="C11" s="10" t="str">
        <f>'Achalandage journalier'!C11</f>
        <v>6 h à 9 h 30</v>
      </c>
      <c r="D11" s="92">
        <f>+'Achalandage journalier'!D11+'Achalandage journalier'!D20+'Achalandage journalier'!D29+'Achalandage journalier'!D38+'Achalandage journalier'!D47+'Achalandage journalier'!D56+'Achalandage journalier'!D65+'Achalandage journalier'!D75+'Achalandage journalier'!D84+'Achalandage journalier'!D93+'Achalandage journalier'!D102+'Achalandage journalier'!D111+'Achalandage journalier'!D120+'Achalandage journalier'!D129+'Achalandage journalier'!D139+'Achalandage journalier'!D148+'Achalandage journalier'!D157+'Achalandage journalier'!D166+'Achalandage journalier'!D175+'Achalandage journalier'!D184+'Achalandage journalier'!D193+'Achalandage journalier'!D203+'Achalandage journalier'!D212+'Achalandage journalier'!D221+'Achalandage journalier'!D230+'Achalandage journalier'!D239+'Achalandage journalier'!D248+'Achalandage journalier'!D257</f>
        <v>84</v>
      </c>
      <c r="E11" s="80">
        <f>+'Achalandage journalier'!E11+'Achalandage journalier'!E20+'Achalandage journalier'!E29+'Achalandage journalier'!E38+'Achalandage journalier'!E47+'Achalandage journalier'!E56+'Achalandage journalier'!E65+'Achalandage journalier'!E75+'Achalandage journalier'!E84+'Achalandage journalier'!E93+'Achalandage journalier'!E102+'Achalandage journalier'!E111+'Achalandage journalier'!E120+'Achalandage journalier'!E129+'Achalandage journalier'!E139+'Achalandage journalier'!E148+'Achalandage journalier'!E157+'Achalandage journalier'!E166+'Achalandage journalier'!E175+'Achalandage journalier'!E184+'Achalandage journalier'!E193+'Achalandage journalier'!E203+'Achalandage journalier'!E212+'Achalandage journalier'!E221+'Achalandage journalier'!E230+'Achalandage journalier'!E239+'Achalandage journalier'!E248+'Achalandage journalier'!E257</f>
        <v>84</v>
      </c>
      <c r="F11" s="80">
        <f>+'Achalandage journalier'!F11+'Achalandage journalier'!F20+'Achalandage journalier'!F29+'Achalandage journalier'!F38+'Achalandage journalier'!F47+'Achalandage journalier'!F56+'Achalandage journalier'!F65+'Achalandage journalier'!F75+'Achalandage journalier'!F84+'Achalandage journalier'!F93+'Achalandage journalier'!F102+'Achalandage journalier'!F111+'Achalandage journalier'!F120+'Achalandage journalier'!F129+'Achalandage journalier'!F139+'Achalandage journalier'!F148+'Achalandage journalier'!F157+'Achalandage journalier'!F166+'Achalandage journalier'!F175+'Achalandage journalier'!F184+'Achalandage journalier'!F193+'Achalandage journalier'!F203+'Achalandage journalier'!F212+'Achalandage journalier'!F221+'Achalandage journalier'!F230+'Achalandage journalier'!F239+'Achalandage journalier'!F248+'Achalandage journalier'!F257</f>
        <v>112</v>
      </c>
      <c r="G11" s="80">
        <f>+'Achalandage journalier'!G11+'Achalandage journalier'!G20+'Achalandage journalier'!G29+'Achalandage journalier'!G38+'Achalandage journalier'!G47+'Achalandage journalier'!G56+'Achalandage journalier'!G65+'Achalandage journalier'!G75+'Achalandage journalier'!G84+'Achalandage journalier'!G93+'Achalandage journalier'!G102+'Achalandage journalier'!G111+'Achalandage journalier'!G120+'Achalandage journalier'!G129+'Achalandage journalier'!G139+'Achalandage journalier'!G148+'Achalandage journalier'!G157+'Achalandage journalier'!G166+'Achalandage journalier'!G175+'Achalandage journalier'!G184+'Achalandage journalier'!G193+'Achalandage journalier'!G203+'Achalandage journalier'!G212+'Achalandage journalier'!G221+'Achalandage journalier'!G230+'Achalandage journalier'!G239+'Achalandage journalier'!G248+'Achalandage journalier'!G257</f>
        <v>140</v>
      </c>
      <c r="H11" s="80">
        <f>+'Achalandage journalier'!H11+'Achalandage journalier'!H20+'Achalandage journalier'!H29+'Achalandage journalier'!H38+'Achalandage journalier'!H47+'Achalandage journalier'!H56+'Achalandage journalier'!H65+'Achalandage journalier'!H75+'Achalandage journalier'!H84+'Achalandage journalier'!H93+'Achalandage journalier'!H102+'Achalandage journalier'!H111+'Achalandage journalier'!H120+'Achalandage journalier'!H129+'Achalandage journalier'!H139+'Achalandage journalier'!H148+'Achalandage journalier'!H157+'Achalandage journalier'!H166+'Achalandage journalier'!H175+'Achalandage journalier'!H184+'Achalandage journalier'!H193+'Achalandage journalier'!H203+'Achalandage journalier'!H212+'Achalandage journalier'!H221+'Achalandage journalier'!H230+'Achalandage journalier'!H239+'Achalandage journalier'!H248+'Achalandage journalier'!H257</f>
        <v>168</v>
      </c>
      <c r="I11" s="80">
        <f>+'Achalandage journalier'!I11+'Achalandage journalier'!I20+'Achalandage journalier'!I29+'Achalandage journalier'!I38+'Achalandage journalier'!I47+'Achalandage journalier'!I56+'Achalandage journalier'!I65+'Achalandage journalier'!I75+'Achalandage journalier'!I84+'Achalandage journalier'!I93+'Achalandage journalier'!I102+'Achalandage journalier'!I111+'Achalandage journalier'!I120+'Achalandage journalier'!I129+'Achalandage journalier'!I139+'Achalandage journalier'!I148+'Achalandage journalier'!I157+'Achalandage journalier'!I166+'Achalandage journalier'!I175+'Achalandage journalier'!I184+'Achalandage journalier'!I193+'Achalandage journalier'!I203+'Achalandage journalier'!I212+'Achalandage journalier'!I221+'Achalandage journalier'!I230+'Achalandage journalier'!I239+'Achalandage journalier'!I248+'Achalandage journalier'!I257</f>
        <v>196</v>
      </c>
      <c r="J11" s="80">
        <f>+'Achalandage journalier'!J11+'Achalandage journalier'!J20+'Achalandage journalier'!J29+'Achalandage journalier'!J38+'Achalandage journalier'!J47+'Achalandage journalier'!J56+'Achalandage journalier'!J65+'Achalandage journalier'!J75+'Achalandage journalier'!J84+'Achalandage journalier'!J93+'Achalandage journalier'!J102+'Achalandage journalier'!J111+'Achalandage journalier'!J120+'Achalandage journalier'!J129+'Achalandage journalier'!J139+'Achalandage journalier'!J148+'Achalandage journalier'!J157+'Achalandage journalier'!J166+'Achalandage journalier'!J175+'Achalandage journalier'!J184+'Achalandage journalier'!J193+'Achalandage journalier'!J203+'Achalandage journalier'!J212+'Achalandage journalier'!J221+'Achalandage journalier'!I230+'Achalandage journalier'!J239+'Achalandage journalier'!J248+'Achalandage journalier'!J257</f>
        <v>223</v>
      </c>
      <c r="K11" s="80">
        <f>+'Achalandage journalier'!K11+'Achalandage journalier'!K20+'Achalandage journalier'!K29+'Achalandage journalier'!K38+'Achalandage journalier'!K47+'Achalandage journalier'!K56+'Achalandage journalier'!K65+'Achalandage journalier'!K75+'Achalandage journalier'!K84+'Achalandage journalier'!K93+'Achalandage journalier'!K102+'Achalandage journalier'!K111+'Achalandage journalier'!K120+'Achalandage journalier'!K129+'Achalandage journalier'!K139+'Achalandage journalier'!K148+'Achalandage journalier'!K157+'Achalandage journalier'!K166+'Achalandage journalier'!K175+'Achalandage journalier'!K184+'Achalandage journalier'!K193+'Achalandage journalier'!K203+'Achalandage journalier'!K212+'Achalandage journalier'!K221+'Achalandage journalier'!K230+'Achalandage journalier'!K239+'Achalandage journalier'!K248+'Achalandage journalier'!K257</f>
        <v>252</v>
      </c>
      <c r="L11" s="80">
        <f>+'Achalandage journalier'!L11+'Achalandage journalier'!L20+'Achalandage journalier'!L29+'Achalandage journalier'!L38+'Achalandage journalier'!L47+'Achalandage journalier'!L56+'Achalandage journalier'!L65+'Achalandage journalier'!L75+'Achalandage journalier'!L84+'Achalandage journalier'!L93+'Achalandage journalier'!L102+'Achalandage journalier'!L111+'Achalandage journalier'!L120+'Achalandage journalier'!L129+'Achalandage journalier'!L139+'Achalandage journalier'!L148+'Achalandage journalier'!L157+'Achalandage journalier'!L166+'Achalandage journalier'!L175+'Achalandage journalier'!L184+'Achalandage journalier'!L193+'Achalandage journalier'!L203+'Achalandage journalier'!L212+'Achalandage journalier'!L221+'Achalandage journalier'!L230+'Achalandage journalier'!L239+'Achalandage journalier'!L248+'Achalandage journalier'!L257</f>
        <v>252</v>
      </c>
      <c r="M11" s="80">
        <f>+'Achalandage journalier'!M11+'Achalandage journalier'!M20+'Achalandage journalier'!M29+'Achalandage journalier'!M38+'Achalandage journalier'!M47+'Achalandage journalier'!M56+'Achalandage journalier'!M65+'Achalandage journalier'!M75+'Achalandage journalier'!M84+'Achalandage journalier'!M93+'Achalandage journalier'!M102+'Achalandage journalier'!M111+'Achalandage journalier'!M120+'Achalandage journalier'!M129+'Achalandage journalier'!M139+'Achalandage journalier'!M148+'Achalandage journalier'!M157+'Achalandage journalier'!M166+'Achalandage journalier'!M175+'Achalandage journalier'!M184+'Achalandage journalier'!M193+'Achalandage journalier'!M203+'Achalandage journalier'!M212+'Achalandage journalier'!M221+'Achalandage journalier'!M230+'Achalandage journalier'!M239+'Achalandage journalier'!M248+'Achalandage journalier'!M257</f>
        <v>252</v>
      </c>
      <c r="N11" s="80">
        <f>+'Achalandage journalier'!N11+'Achalandage journalier'!N20+'Achalandage journalier'!N29+'Achalandage journalier'!N38+'Achalandage journalier'!N47+'Achalandage journalier'!N56+'Achalandage journalier'!N65+'Achalandage journalier'!N75+'Achalandage journalier'!N84+'Achalandage journalier'!N93+'Achalandage journalier'!N102+'Achalandage journalier'!N111+'Achalandage journalier'!N120+'Achalandage journalier'!N129+'Achalandage journalier'!N139+'Achalandage journalier'!N148+'Achalandage journalier'!N157+'Achalandage journalier'!N166+'Achalandage journalier'!N175+'Achalandage journalier'!N184+'Achalandage journalier'!N193+'Achalandage journalier'!N203+'Achalandage journalier'!N212+'Achalandage journalier'!N221+'Achalandage journalier'!N230+'Achalandage journalier'!N239+'Achalandage journalier'!N248+'Achalandage journalier'!N257</f>
        <v>252</v>
      </c>
      <c r="O11" s="80">
        <f>+'Achalandage journalier'!O11+'Achalandage journalier'!O20+'Achalandage journalier'!O29+'Achalandage journalier'!O38+'Achalandage journalier'!O47+'Achalandage journalier'!O56+'Achalandage journalier'!O65+'Achalandage journalier'!O75+'Achalandage journalier'!O84+'Achalandage journalier'!O93+'Achalandage journalier'!O102+'Achalandage journalier'!O111+'Achalandage journalier'!O120+'Achalandage journalier'!O129+'Achalandage journalier'!O139+'Achalandage journalier'!O148+'Achalandage journalier'!O157+'Achalandage journalier'!O166+'Achalandage journalier'!O175+'Achalandage journalier'!O184+'Achalandage journalier'!O193+'Achalandage journalier'!O203+'Achalandage journalier'!O212+'Achalandage journalier'!O221+'Achalandage journalier'!O230+'Achalandage journalier'!O239+'Achalandage journalier'!O248+'Achalandage journalier'!O257</f>
        <v>224</v>
      </c>
      <c r="P11" s="80">
        <f>+'Achalandage journalier'!P11+'Achalandage journalier'!P20+'Achalandage journalier'!P29+'Achalandage journalier'!P38+'Achalandage journalier'!P47+'Achalandage journalier'!P56+'Achalandage journalier'!P65+'Achalandage journalier'!P75+'Achalandage journalier'!P84+'Achalandage journalier'!P93+'Achalandage journalier'!P102+'Achalandage journalier'!P111+'Achalandage journalier'!P120+'Achalandage journalier'!P129+'Achalandage journalier'!P139+'Achalandage journalier'!P148+'Achalandage journalier'!P157+'Achalandage journalier'!P166+'Achalandage journalier'!P175+'Achalandage journalier'!P184+'Achalandage journalier'!P193+'Achalandage journalier'!P203+'Achalandage journalier'!P212+'Achalandage journalier'!P221+'Achalandage journalier'!P230+'Achalandage journalier'!P239+'Achalandage journalier'!P248+'Achalandage journalier'!P257</f>
        <v>224</v>
      </c>
      <c r="Q11" s="81">
        <f t="shared" si="3"/>
        <v>2463</v>
      </c>
    </row>
    <row r="12" spans="2:17" x14ac:dyDescent="0.15">
      <c r="B12" s="12">
        <v>2</v>
      </c>
      <c r="C12" s="13" t="str">
        <f>'Achalandage journalier'!C12</f>
        <v>9 h 30 à 11 h 30</v>
      </c>
      <c r="D12" s="82">
        <f>+'Achalandage journalier'!D12+'Achalandage journalier'!D21+'Achalandage journalier'!D30+'Achalandage journalier'!D39+'Achalandage journalier'!D48+'Achalandage journalier'!D57+'Achalandage journalier'!D66+'Achalandage journalier'!D76+'Achalandage journalier'!D85+'Achalandage journalier'!D94+'Achalandage journalier'!D103+'Achalandage journalier'!D112+'Achalandage journalier'!D121+'Achalandage journalier'!D130+'Achalandage journalier'!D140+'Achalandage journalier'!D149+'Achalandage journalier'!D158+'Achalandage journalier'!D167+'Achalandage journalier'!D176+'Achalandage journalier'!D185+'Achalandage journalier'!D194+'Achalandage journalier'!D204+'Achalandage journalier'!D213+'Achalandage journalier'!D222+'Achalandage journalier'!D231+'Achalandage journalier'!D240+'Achalandage journalier'!D249+'Achalandage journalier'!D258</f>
        <v>84</v>
      </c>
      <c r="E12" s="82">
        <f>+'Achalandage journalier'!E12+'Achalandage journalier'!E21+'Achalandage journalier'!E30+'Achalandage journalier'!E39+'Achalandage journalier'!E48+'Achalandage journalier'!E57+'Achalandage journalier'!E66+'Achalandage journalier'!E76+'Achalandage journalier'!E85+'Achalandage journalier'!E94+'Achalandage journalier'!E103+'Achalandage journalier'!E112+'Achalandage journalier'!E121+'Achalandage journalier'!E130+'Achalandage journalier'!E140+'Achalandage journalier'!E149+'Achalandage journalier'!E158+'Achalandage journalier'!E167+'Achalandage journalier'!E176+'Achalandage journalier'!E185+'Achalandage journalier'!E194+'Achalandage journalier'!E204+'Achalandage journalier'!E213+'Achalandage journalier'!E222+'Achalandage journalier'!E231+'Achalandage journalier'!E240+'Achalandage journalier'!E249+'Achalandage journalier'!E258</f>
        <v>84</v>
      </c>
      <c r="F12" s="82">
        <f>+'Achalandage journalier'!F12+'Achalandage journalier'!F21+'Achalandage journalier'!F30+'Achalandage journalier'!F39+'Achalandage journalier'!F48+'Achalandage journalier'!F57+'Achalandage journalier'!F66+'Achalandage journalier'!F76+'Achalandage journalier'!F85+'Achalandage journalier'!F94+'Achalandage journalier'!F103+'Achalandage journalier'!F112+'Achalandage journalier'!F121+'Achalandage journalier'!F130+'Achalandage journalier'!F140+'Achalandage journalier'!F149+'Achalandage journalier'!F158+'Achalandage journalier'!F167+'Achalandage journalier'!F176+'Achalandage journalier'!F185+'Achalandage journalier'!F194+'Achalandage journalier'!F204+'Achalandage journalier'!F213+'Achalandage journalier'!F222+'Achalandage journalier'!F231+'Achalandage journalier'!F240+'Achalandage journalier'!F249+'Achalandage journalier'!F258</f>
        <v>112</v>
      </c>
      <c r="G12" s="82">
        <f>+'Achalandage journalier'!G12+'Achalandage journalier'!G21+'Achalandage journalier'!G30+'Achalandage journalier'!G39+'Achalandage journalier'!G48+'Achalandage journalier'!G57+'Achalandage journalier'!G66+'Achalandage journalier'!G76+'Achalandage journalier'!G85+'Achalandage journalier'!G94+'Achalandage journalier'!G103+'Achalandage journalier'!G112+'Achalandage journalier'!G121+'Achalandage journalier'!G130+'Achalandage journalier'!G140+'Achalandage journalier'!G149+'Achalandage journalier'!G158+'Achalandage journalier'!G167+'Achalandage journalier'!G176+'Achalandage journalier'!G185+'Achalandage journalier'!G194+'Achalandage journalier'!G204+'Achalandage journalier'!G213+'Achalandage journalier'!G222+'Achalandage journalier'!G231+'Achalandage journalier'!G240+'Achalandage journalier'!G249+'Achalandage journalier'!G258</f>
        <v>140</v>
      </c>
      <c r="H12" s="82">
        <f>+'Achalandage journalier'!H12+'Achalandage journalier'!H21+'Achalandage journalier'!H30+'Achalandage journalier'!H39+'Achalandage journalier'!H48+'Achalandage journalier'!H57+'Achalandage journalier'!H66+'Achalandage journalier'!H76+'Achalandage journalier'!H85+'Achalandage journalier'!H94+'Achalandage journalier'!H103+'Achalandage journalier'!H112+'Achalandage journalier'!H121+'Achalandage journalier'!H130+'Achalandage journalier'!H140+'Achalandage journalier'!H149+'Achalandage journalier'!H158+'Achalandage journalier'!H167+'Achalandage journalier'!H176+'Achalandage journalier'!H185+'Achalandage journalier'!H194+'Achalandage journalier'!H204+'Achalandage journalier'!H213+'Achalandage journalier'!H222+'Achalandage journalier'!H231+'Achalandage journalier'!H240+'Achalandage journalier'!H249+'Achalandage journalier'!H258</f>
        <v>168</v>
      </c>
      <c r="I12" s="82">
        <f>+'Achalandage journalier'!I12+'Achalandage journalier'!I21+'Achalandage journalier'!I30+'Achalandage journalier'!I39+'Achalandage journalier'!I48+'Achalandage journalier'!I57+'Achalandage journalier'!I66+'Achalandage journalier'!I76+'Achalandage journalier'!I85+'Achalandage journalier'!I94+'Achalandage journalier'!I103+'Achalandage journalier'!I112+'Achalandage journalier'!I121+'Achalandage journalier'!I130+'Achalandage journalier'!I140+'Achalandage journalier'!I149+'Achalandage journalier'!I158+'Achalandage journalier'!I167+'Achalandage journalier'!I176+'Achalandage journalier'!I185+'Achalandage journalier'!I194+'Achalandage journalier'!I204+'Achalandage journalier'!I213+'Achalandage journalier'!I222+'Achalandage journalier'!I231+'Achalandage journalier'!I240+'Achalandage journalier'!I249+'Achalandage journalier'!I258</f>
        <v>196</v>
      </c>
      <c r="J12" s="82">
        <f>+'Achalandage journalier'!J12+'Achalandage journalier'!J21+'Achalandage journalier'!J30+'Achalandage journalier'!J39+'Achalandage journalier'!J48+'Achalandage journalier'!J57+'Achalandage journalier'!J66+'Achalandage journalier'!J76+'Achalandage journalier'!J85+'Achalandage journalier'!J94+'Achalandage journalier'!J103+'Achalandage journalier'!J112+'Achalandage journalier'!J121+'Achalandage journalier'!J130+'Achalandage journalier'!J140+'Achalandage journalier'!J149+'Achalandage journalier'!J158+'Achalandage journalier'!J167+'Achalandage journalier'!J176+'Achalandage journalier'!J185+'Achalandage journalier'!J194+'Achalandage journalier'!J204+'Achalandage journalier'!J213+'Achalandage journalier'!J222+'Achalandage journalier'!J231+'Achalandage journalier'!J240+'Achalandage journalier'!J249+'Achalandage journalier'!J258</f>
        <v>216</v>
      </c>
      <c r="K12" s="82">
        <f>+'Achalandage journalier'!K12+'Achalandage journalier'!K21+'Achalandage journalier'!K30+'Achalandage journalier'!K39+'Achalandage journalier'!K48+'Achalandage journalier'!K57+'Achalandage journalier'!K66+'Achalandage journalier'!K76+'Achalandage journalier'!K85+'Achalandage journalier'!K94+'Achalandage journalier'!K103+'Achalandage journalier'!K112+'Achalandage journalier'!K121+'Achalandage journalier'!K130+'Achalandage journalier'!K140+'Achalandage journalier'!K149+'Achalandage journalier'!K158+'Achalandage journalier'!K167+'Achalandage journalier'!K176+'Achalandage journalier'!K185+'Achalandage journalier'!K194+'Achalandage journalier'!K204+'Achalandage journalier'!K213+'Achalandage journalier'!K222+'Achalandage journalier'!K231+'Achalandage journalier'!K240+'Achalandage journalier'!K249+'Achalandage journalier'!K258</f>
        <v>252</v>
      </c>
      <c r="L12" s="82">
        <f>+'Achalandage journalier'!L12+'Achalandage journalier'!L21+'Achalandage journalier'!L30+'Achalandage journalier'!L39+'Achalandage journalier'!L48+'Achalandage journalier'!L57+'Achalandage journalier'!L66+'Achalandage journalier'!L76+'Achalandage journalier'!L85+'Achalandage journalier'!L94+'Achalandage journalier'!L103+'Achalandage journalier'!L112+'Achalandage journalier'!L121+'Achalandage journalier'!L130+'Achalandage journalier'!L140+'Achalandage journalier'!L149+'Achalandage journalier'!L158+'Achalandage journalier'!L167+'Achalandage journalier'!L176+'Achalandage journalier'!L185+'Achalandage journalier'!L194+'Achalandage journalier'!L204+'Achalandage journalier'!L213+'Achalandage journalier'!L222+'Achalandage journalier'!L231+'Achalandage journalier'!L240+'Achalandage journalier'!L249+'Achalandage journalier'!L258</f>
        <v>252</v>
      </c>
      <c r="M12" s="82">
        <f>+'Achalandage journalier'!M12+'Achalandage journalier'!M21+'Achalandage journalier'!M30+'Achalandage journalier'!M39+'Achalandage journalier'!M48+'Achalandage journalier'!M57+'Achalandage journalier'!M66+'Achalandage journalier'!M76+'Achalandage journalier'!M85+'Achalandage journalier'!M94+'Achalandage journalier'!M103+'Achalandage journalier'!M112+'Achalandage journalier'!M121+'Achalandage journalier'!M130+'Achalandage journalier'!M140+'Achalandage journalier'!M149+'Achalandage journalier'!M158+'Achalandage journalier'!M167+'Achalandage journalier'!M176+'Achalandage journalier'!M185+'Achalandage journalier'!M194+'Achalandage journalier'!M204+'Achalandage journalier'!M213+'Achalandage journalier'!M222+'Achalandage journalier'!M231+'Achalandage journalier'!M240+'Achalandage journalier'!M249+'Achalandage journalier'!M258</f>
        <v>252</v>
      </c>
      <c r="N12" s="82">
        <f>+'Achalandage journalier'!N12+'Achalandage journalier'!N21+'Achalandage journalier'!N30+'Achalandage journalier'!N39+'Achalandage journalier'!N48+'Achalandage journalier'!N57+'Achalandage journalier'!N66+'Achalandage journalier'!N76+'Achalandage journalier'!N85+'Achalandage journalier'!N94+'Achalandage journalier'!N103+'Achalandage journalier'!N112+'Achalandage journalier'!N121+'Achalandage journalier'!N130+'Achalandage journalier'!N140+'Achalandage journalier'!N149+'Achalandage journalier'!N158+'Achalandage journalier'!N167+'Achalandage journalier'!N176+'Achalandage journalier'!N185+'Achalandage journalier'!N194+'Achalandage journalier'!N204+'Achalandage journalier'!N213+'Achalandage journalier'!N222+'Achalandage journalier'!N231+'Achalandage journalier'!N240+'Achalandage journalier'!N249+'Achalandage journalier'!N258</f>
        <v>252</v>
      </c>
      <c r="O12" s="82">
        <f>+'Achalandage journalier'!O12+'Achalandage journalier'!O21+'Achalandage journalier'!O30+'Achalandage journalier'!O39+'Achalandage journalier'!O48+'Achalandage journalier'!O57+'Achalandage journalier'!O66+'Achalandage journalier'!O76+'Achalandage journalier'!O85+'Achalandage journalier'!O94+'Achalandage journalier'!O103+'Achalandage journalier'!O112+'Achalandage journalier'!O121+'Achalandage journalier'!O130+'Achalandage journalier'!O140+'Achalandage journalier'!O149+'Achalandage journalier'!O158+'Achalandage journalier'!O167+'Achalandage journalier'!O176+'Achalandage journalier'!O185+'Achalandage journalier'!O194+'Achalandage journalier'!O204+'Achalandage journalier'!O213+'Achalandage journalier'!O222+'Achalandage journalier'!O231+'Achalandage journalier'!O240+'Achalandage journalier'!O249+'Achalandage journalier'!O258</f>
        <v>224</v>
      </c>
      <c r="P12" s="82">
        <f>+'Achalandage journalier'!P12+'Achalandage journalier'!P21+'Achalandage journalier'!P30+'Achalandage journalier'!P39+'Achalandage journalier'!P48+'Achalandage journalier'!P57+'Achalandage journalier'!P66+'Achalandage journalier'!P76+'Achalandage journalier'!P85+'Achalandage journalier'!P94+'Achalandage journalier'!P103+'Achalandage journalier'!P112+'Achalandage journalier'!P121+'Achalandage journalier'!P130+'Achalandage journalier'!P140+'Achalandage journalier'!P149+'Achalandage journalier'!P158+'Achalandage journalier'!P167+'Achalandage journalier'!P176+'Achalandage journalier'!P185+'Achalandage journalier'!P194+'Achalandage journalier'!P204+'Achalandage journalier'!P213+'Achalandage journalier'!P222+'Achalandage journalier'!P231+'Achalandage journalier'!P240+'Achalandage journalier'!P249+'Achalandage journalier'!P258</f>
        <v>224</v>
      </c>
      <c r="Q12" s="83">
        <f t="shared" si="3"/>
        <v>2456</v>
      </c>
    </row>
    <row r="13" spans="2:17" ht="13" customHeight="1" x14ac:dyDescent="0.15">
      <c r="B13" s="12">
        <v>3</v>
      </c>
      <c r="C13" s="13" t="str">
        <f>'Achalandage journalier'!C13</f>
        <v>11 h 30 à 14 h 30</v>
      </c>
      <c r="D13" s="82">
        <f>+'Achalandage journalier'!D13+'Achalandage journalier'!D22+'Achalandage journalier'!D31+'Achalandage journalier'!D40+'Achalandage journalier'!D49+'Achalandage journalier'!D58+'Achalandage journalier'!D67+'Achalandage journalier'!D77+'Achalandage journalier'!D86+'Achalandage journalier'!D95+'Achalandage journalier'!D104+'Achalandage journalier'!D113+'Achalandage journalier'!D122+'Achalandage journalier'!D131+'Achalandage journalier'!D141+'Achalandage journalier'!D150+'Achalandage journalier'!D159+'Achalandage journalier'!D168+'Achalandage journalier'!D177+'Achalandage journalier'!D186+'Achalandage journalier'!D195+'Achalandage journalier'!D205+'Achalandage journalier'!D214+'Achalandage journalier'!D223+'Achalandage journalier'!D232+'Achalandage journalier'!D241+'Achalandage journalier'!D250+'Achalandage journalier'!D259</f>
        <v>84</v>
      </c>
      <c r="E13" s="82">
        <f>+'Achalandage journalier'!E13+'Achalandage journalier'!E22+'Achalandage journalier'!E31+'Achalandage journalier'!E40+'Achalandage journalier'!E49+'Achalandage journalier'!E58+'Achalandage journalier'!E67+'Achalandage journalier'!E77+'Achalandage journalier'!E86+'Achalandage journalier'!E95+'Achalandage journalier'!E104+'Achalandage journalier'!E113+'Achalandage journalier'!E122+'Achalandage journalier'!E131+'Achalandage journalier'!E141+'Achalandage journalier'!E150+'Achalandage journalier'!E159+'Achalandage journalier'!E168+'Achalandage journalier'!E177+'Achalandage journalier'!E186+'Achalandage journalier'!E195+'Achalandage journalier'!E205+'Achalandage journalier'!E214+'Achalandage journalier'!E223+'Achalandage journalier'!E232+'Achalandage journalier'!E241+'Achalandage journalier'!E250+'Achalandage journalier'!E259</f>
        <v>84</v>
      </c>
      <c r="F13" s="82">
        <f>+'Achalandage journalier'!F13+'Achalandage journalier'!F22+'Achalandage journalier'!F31+'Achalandage journalier'!F40+'Achalandage journalier'!F49+'Achalandage journalier'!F58+'Achalandage journalier'!F67+'Achalandage journalier'!F77+'Achalandage journalier'!F86+'Achalandage journalier'!F95+'Achalandage journalier'!F104+'Achalandage journalier'!F113+'Achalandage journalier'!F122+'Achalandage journalier'!F131+'Achalandage journalier'!F141+'Achalandage journalier'!F150+'Achalandage journalier'!F159+'Achalandage journalier'!F168+'Achalandage journalier'!F177+'Achalandage journalier'!F186+'Achalandage journalier'!F195+'Achalandage journalier'!F205+'Achalandage journalier'!F214+'Achalandage journalier'!F223+'Achalandage journalier'!F232+'Achalandage journalier'!F241+'Achalandage journalier'!F250+'Achalandage journalier'!F259</f>
        <v>112</v>
      </c>
      <c r="G13" s="82">
        <f>+'Achalandage journalier'!G13+'Achalandage journalier'!G22+'Achalandage journalier'!G31+'Achalandage journalier'!G40+'Achalandage journalier'!G49+'Achalandage journalier'!G58+'Achalandage journalier'!G67+'Achalandage journalier'!G77+'Achalandage journalier'!G86+'Achalandage journalier'!G95+'Achalandage journalier'!G104+'Achalandage journalier'!G113+'Achalandage journalier'!G122+'Achalandage journalier'!G131+'Achalandage journalier'!G141+'Achalandage journalier'!G150+'Achalandage journalier'!G159+'Achalandage journalier'!G168+'Achalandage journalier'!G177+'Achalandage journalier'!G186+'Achalandage journalier'!G195+'Achalandage journalier'!G205+'Achalandage journalier'!G214+'Achalandage journalier'!G223+'Achalandage journalier'!G232+'Achalandage journalier'!G241+'Achalandage journalier'!G250+'Achalandage journalier'!G259</f>
        <v>140</v>
      </c>
      <c r="H13" s="82">
        <f>+'Achalandage journalier'!H13+'Achalandage journalier'!H22+'Achalandage journalier'!H31+'Achalandage journalier'!H40+'Achalandage journalier'!H49+'Achalandage journalier'!H58+'Achalandage journalier'!H67+'Achalandage journalier'!H77+'Achalandage journalier'!H86+'Achalandage journalier'!H95+'Achalandage journalier'!H104+'Achalandage journalier'!H113+'Achalandage journalier'!H122+'Achalandage journalier'!H131+'Achalandage journalier'!H141+'Achalandage journalier'!H150+'Achalandage journalier'!H159+'Achalandage journalier'!H168+'Achalandage journalier'!H177+'Achalandage journalier'!H186+'Achalandage journalier'!H195+'Achalandage journalier'!H205+'Achalandage journalier'!H214+'Achalandage journalier'!H223+'Achalandage journalier'!H232+'Achalandage journalier'!H241+'Achalandage journalier'!H250+'Achalandage journalier'!H259</f>
        <v>168</v>
      </c>
      <c r="I13" s="82">
        <f>+'Achalandage journalier'!I13+'Achalandage journalier'!I22+'Achalandage journalier'!I31+'Achalandage journalier'!I40+'Achalandage journalier'!I49+'Achalandage journalier'!I58+'Achalandage journalier'!I67+'Achalandage journalier'!I77+'Achalandage journalier'!I86+'Achalandage journalier'!I95+'Achalandage journalier'!I104+'Achalandage journalier'!I113+'Achalandage journalier'!I122+'Achalandage journalier'!I131+'Achalandage journalier'!I141+'Achalandage journalier'!I150+'Achalandage journalier'!I159+'Achalandage journalier'!I168+'Achalandage journalier'!I177+'Achalandage journalier'!I186+'Achalandage journalier'!I195+'Achalandage journalier'!I205+'Achalandage journalier'!I214+'Achalandage journalier'!I223+'Achalandage journalier'!I232+'Achalandage journalier'!I241+'Achalandage journalier'!I250+'Achalandage journalier'!I259</f>
        <v>196</v>
      </c>
      <c r="J13" s="82">
        <f>+'Achalandage journalier'!J13+'Achalandage journalier'!J22+'Achalandage journalier'!J31+'Achalandage journalier'!J40+'Achalandage journalier'!J49+'Achalandage journalier'!J58+'Achalandage journalier'!J67+'Achalandage journalier'!J77+'Achalandage journalier'!J86+'Achalandage journalier'!J95+'Achalandage journalier'!J104+'Achalandage journalier'!J113+'Achalandage journalier'!J122+'Achalandage journalier'!J131+'Achalandage journalier'!J141+'Achalandage journalier'!J150+'Achalandage journalier'!J159+'Achalandage journalier'!J168+'Achalandage journalier'!J177+'Achalandage journalier'!J186+'Achalandage journalier'!J195+'Achalandage journalier'!J205+'Achalandage journalier'!J214+'Achalandage journalier'!J223+'Achalandage journalier'!J232+'Achalandage journalier'!J241+'Achalandage journalier'!J250+'Achalandage journalier'!J259</f>
        <v>224</v>
      </c>
      <c r="K13" s="82">
        <f>+'Achalandage journalier'!K13+'Achalandage journalier'!K22+'Achalandage journalier'!K31+'Achalandage journalier'!K40+'Achalandage journalier'!K49+'Achalandage journalier'!K58+'Achalandage journalier'!K67+'Achalandage journalier'!K77+'Achalandage journalier'!K86+'Achalandage journalier'!K95+'Achalandage journalier'!K104+'Achalandage journalier'!K113+'Achalandage journalier'!K122+'Achalandage journalier'!K131+'Achalandage journalier'!K141+'Achalandage journalier'!K150+'Achalandage journalier'!K159+'Achalandage journalier'!K168+'Achalandage journalier'!K177+'Achalandage journalier'!K186+'Achalandage journalier'!K195+'Achalandage journalier'!K205+'Achalandage journalier'!K214+'Achalandage journalier'!K223+'Achalandage journalier'!K232+'Achalandage journalier'!K241+'Achalandage journalier'!K250+'Achalandage journalier'!K259</f>
        <v>252</v>
      </c>
      <c r="L13" s="82">
        <f>+'Achalandage journalier'!L13+'Achalandage journalier'!L22+'Achalandage journalier'!L31+'Achalandage journalier'!L40+'Achalandage journalier'!L49+'Achalandage journalier'!L58+'Achalandage journalier'!L67+'Achalandage journalier'!L77+'Achalandage journalier'!L86+'Achalandage journalier'!L95+'Achalandage journalier'!L104+'Achalandage journalier'!L113+'Achalandage journalier'!L122+'Achalandage journalier'!L131+'Achalandage journalier'!L141+'Achalandage journalier'!L150+'Achalandage journalier'!L159+'Achalandage journalier'!L168+'Achalandage journalier'!L177+'Achalandage journalier'!L186+'Achalandage journalier'!L195+'Achalandage journalier'!L205+'Achalandage journalier'!L214+'Achalandage journalier'!L223+'Achalandage journalier'!L232+'Achalandage journalier'!L241+'Achalandage journalier'!L250+'Achalandage journalier'!L259</f>
        <v>252</v>
      </c>
      <c r="M13" s="82">
        <f>+'Achalandage journalier'!M13+'Achalandage journalier'!M22+'Achalandage journalier'!M31+'Achalandage journalier'!M40+'Achalandage journalier'!M49+'Achalandage journalier'!M58+'Achalandage journalier'!M67+'Achalandage journalier'!M77+'Achalandage journalier'!M86+'Achalandage journalier'!M95+'Achalandage journalier'!M104+'Achalandage journalier'!M113+'Achalandage journalier'!M122+'Achalandage journalier'!M131+'Achalandage journalier'!M141+'Achalandage journalier'!M150+'Achalandage journalier'!M159+'Achalandage journalier'!M168+'Achalandage journalier'!M177+'Achalandage journalier'!M186+'Achalandage journalier'!M195+'Achalandage journalier'!M205+'Achalandage journalier'!M214+'Achalandage journalier'!M223+'Achalandage journalier'!M232+'Achalandage journalier'!M241+'Achalandage journalier'!M250+'Achalandage journalier'!M259</f>
        <v>252</v>
      </c>
      <c r="N13" s="82">
        <f>+'Achalandage journalier'!N13+'Achalandage journalier'!N22+'Achalandage journalier'!N31+'Achalandage journalier'!N40+'Achalandage journalier'!N49+'Achalandage journalier'!N58+'Achalandage journalier'!N67+'Achalandage journalier'!N77+'Achalandage journalier'!N86+'Achalandage journalier'!N95+'Achalandage journalier'!N104+'Achalandage journalier'!N113+'Achalandage journalier'!N122+'Achalandage journalier'!N131+'Achalandage journalier'!N141+'Achalandage journalier'!N150+'Achalandage journalier'!N159+'Achalandage journalier'!N168+'Achalandage journalier'!N177+'Achalandage journalier'!N186+'Achalandage journalier'!N195+'Achalandage journalier'!N205+'Achalandage journalier'!N214+'Achalandage journalier'!N223+'Achalandage journalier'!N232+'Achalandage journalier'!N241+'Achalandage journalier'!N250+'Achalandage journalier'!N259</f>
        <v>252</v>
      </c>
      <c r="O13" s="82">
        <f>+'Achalandage journalier'!O13+'Achalandage journalier'!O22+'Achalandage journalier'!O31+'Achalandage journalier'!O40+'Achalandage journalier'!O49+'Achalandage journalier'!O58+'Achalandage journalier'!O67+'Achalandage journalier'!O77+'Achalandage journalier'!O86+'Achalandage journalier'!O95+'Achalandage journalier'!O104+'Achalandage journalier'!O113+'Achalandage journalier'!O122+'Achalandage journalier'!O131+'Achalandage journalier'!O141+'Achalandage journalier'!O150+'Achalandage journalier'!O159+'Achalandage journalier'!O168+'Achalandage journalier'!O177+'Achalandage journalier'!O186+'Achalandage journalier'!O195+'Achalandage journalier'!O205+'Achalandage journalier'!O214+'Achalandage journalier'!O223+'Achalandage journalier'!O232+'Achalandage journalier'!O241+'Achalandage journalier'!O250+'Achalandage journalier'!O259</f>
        <v>224</v>
      </c>
      <c r="P13" s="82">
        <f>+'Achalandage journalier'!P13+'Achalandage journalier'!P22+'Achalandage journalier'!P31+'Achalandage journalier'!P40+'Achalandage journalier'!P49+'Achalandage journalier'!P58+'Achalandage journalier'!P67+'Achalandage journalier'!P77+'Achalandage journalier'!P86+'Achalandage journalier'!P95+'Achalandage journalier'!P104+'Achalandage journalier'!P113+'Achalandage journalier'!P122+'Achalandage journalier'!P131+'Achalandage journalier'!P141+'Achalandage journalier'!P150+'Achalandage journalier'!P159+'Achalandage journalier'!P168+'Achalandage journalier'!P177+'Achalandage journalier'!P186+'Achalandage journalier'!P195+'Achalandage journalier'!P205+'Achalandage journalier'!P214+'Achalandage journalier'!P223+'Achalandage journalier'!P232+'Achalandage journalier'!P241+'Achalandage journalier'!P250+'Achalandage journalier'!P259</f>
        <v>224</v>
      </c>
      <c r="Q13" s="83">
        <f t="shared" si="3"/>
        <v>2464</v>
      </c>
    </row>
    <row r="14" spans="2:17" x14ac:dyDescent="0.15">
      <c r="B14" s="12">
        <v>4</v>
      </c>
      <c r="C14" s="13" t="str">
        <f>'Achalandage journalier'!C14</f>
        <v>14 h 30 à 17 h</v>
      </c>
      <c r="D14" s="93">
        <f>+'Achalandage journalier'!D14+'Achalandage journalier'!D23+'Achalandage journalier'!D32+'Achalandage journalier'!D41+'Achalandage journalier'!D50+'Achalandage journalier'!D59+'Achalandage journalier'!D68+'Achalandage journalier'!D78+'Achalandage journalier'!D87+'Achalandage journalier'!D96+'Achalandage journalier'!D105+'Achalandage journalier'!D114+'Achalandage journalier'!D123+'Achalandage journalier'!D132+'Achalandage journalier'!D142+'Achalandage journalier'!D151+'Achalandage journalier'!D160+'Achalandage journalier'!D169+'Achalandage journalier'!D178+'Achalandage journalier'!D187+'Achalandage journalier'!D196+'Achalandage journalier'!D206+'Achalandage journalier'!D215+'Achalandage journalier'!D224+'Achalandage journalier'!D233+'Achalandage journalier'!D242+'Achalandage journalier'!D251+'Achalandage journalier'!D260</f>
        <v>84</v>
      </c>
      <c r="E14" s="93">
        <f>+'Achalandage journalier'!E14+'Achalandage journalier'!E23+'Achalandage journalier'!E32+'Achalandage journalier'!E41+'Achalandage journalier'!E50+'Achalandage journalier'!E59+'Achalandage journalier'!E68+'Achalandage journalier'!E78+'Achalandage journalier'!E87+'Achalandage journalier'!E96+'Achalandage journalier'!E105+'Achalandage journalier'!E114+'Achalandage journalier'!E123+'Achalandage journalier'!E132+'Achalandage journalier'!E142+'Achalandage journalier'!E151+'Achalandage journalier'!E160+'Achalandage journalier'!E169+'Achalandage journalier'!E178+'Achalandage journalier'!E187+'Achalandage journalier'!E196+'Achalandage journalier'!E206+'Achalandage journalier'!E215+'Achalandage journalier'!E224+'Achalandage journalier'!E233+'Achalandage journalier'!E242+'Achalandage journalier'!E251+'Achalandage journalier'!E260</f>
        <v>84</v>
      </c>
      <c r="F14" s="93">
        <f>+'Achalandage journalier'!F14+'Achalandage journalier'!F23+'Achalandage journalier'!F32+'Achalandage journalier'!F41+'Achalandage journalier'!F50+'Achalandage journalier'!F59+'Achalandage journalier'!F68+'Achalandage journalier'!F78+'Achalandage journalier'!F87+'Achalandage journalier'!F96+'Achalandage journalier'!F105+'Achalandage journalier'!F114+'Achalandage journalier'!F123+'Achalandage journalier'!F132+'Achalandage journalier'!F142+'Achalandage journalier'!F151+'Achalandage journalier'!F160+'Achalandage journalier'!F169+'Achalandage journalier'!F178+'Achalandage journalier'!F187+'Achalandage journalier'!F196+'Achalandage journalier'!F206+'Achalandage journalier'!F215+'Achalandage journalier'!F224+'Achalandage journalier'!F233+'Achalandage journalier'!F242+'Achalandage journalier'!F251+'Achalandage journalier'!F260</f>
        <v>112</v>
      </c>
      <c r="G14" s="93">
        <f>+'Achalandage journalier'!G14+'Achalandage journalier'!G23+'Achalandage journalier'!G32+'Achalandage journalier'!G41+'Achalandage journalier'!G50+'Achalandage journalier'!G59+'Achalandage journalier'!G68+'Achalandage journalier'!G78+'Achalandage journalier'!G87+'Achalandage journalier'!G96+'Achalandage journalier'!G105+'Achalandage journalier'!G114+'Achalandage journalier'!G123+'Achalandage journalier'!G132+'Achalandage journalier'!G142+'Achalandage journalier'!G151+'Achalandage journalier'!G160+'Achalandage journalier'!G169+'Achalandage journalier'!G178+'Achalandage journalier'!G187+'Achalandage journalier'!G196+'Achalandage journalier'!G206+'Achalandage journalier'!G215+'Achalandage journalier'!G224+'Achalandage journalier'!G233+'Achalandage journalier'!G242+'Achalandage journalier'!G251+'Achalandage journalier'!G260</f>
        <v>140</v>
      </c>
      <c r="H14" s="93">
        <f>+'Achalandage journalier'!H14+'Achalandage journalier'!H23+'Achalandage journalier'!H32+'Achalandage journalier'!H41+'Achalandage journalier'!H50+'Achalandage journalier'!H59+'Achalandage journalier'!H68+'Achalandage journalier'!H78+'Achalandage journalier'!H87+'Achalandage journalier'!H96+'Achalandage journalier'!H105+'Achalandage journalier'!H114+'Achalandage journalier'!H123+'Achalandage journalier'!H132+'Achalandage journalier'!H142+'Achalandage journalier'!H151+'Achalandage journalier'!H160+'Achalandage journalier'!H169+'Achalandage journalier'!H178+'Achalandage journalier'!H187+'Achalandage journalier'!H196+'Achalandage journalier'!H206+'Achalandage journalier'!H215+'Achalandage journalier'!H224+'Achalandage journalier'!H233+'Achalandage journalier'!H242+'Achalandage journalier'!H251+'Achalandage journalier'!H260</f>
        <v>168</v>
      </c>
      <c r="I14" s="93">
        <f>+'Achalandage journalier'!I14+'Achalandage journalier'!I23+'Achalandage journalier'!I32+'Achalandage journalier'!I41+'Achalandage journalier'!I50+'Achalandage journalier'!I59+'Achalandage journalier'!I68+'Achalandage journalier'!I78+'Achalandage journalier'!I87+'Achalandage journalier'!I96+'Achalandage journalier'!I105+'Achalandage journalier'!I114+'Achalandage journalier'!I123+'Achalandage journalier'!I132+'Achalandage journalier'!I142+'Achalandage journalier'!I151+'Achalandage journalier'!I160+'Achalandage journalier'!I169+'Achalandage journalier'!I178+'Achalandage journalier'!I187+'Achalandage journalier'!I196+'Achalandage journalier'!I206+'Achalandage journalier'!I215+'Achalandage journalier'!I224+'Achalandage journalier'!I233+'Achalandage journalier'!I242+'Achalandage journalier'!I251+'Achalandage journalier'!I260</f>
        <v>196</v>
      </c>
      <c r="J14" s="93">
        <f>+'Achalandage journalier'!J14+'Achalandage journalier'!J23+'Achalandage journalier'!J32+'Achalandage journalier'!J41+'Achalandage journalier'!J50+'Achalandage journalier'!J59+'Achalandage journalier'!J68+'Achalandage journalier'!J78+'Achalandage journalier'!J87+'Achalandage journalier'!J96+'Achalandage journalier'!J105+'Achalandage journalier'!J114+'Achalandage journalier'!J123+'Achalandage journalier'!J132+'Achalandage journalier'!J142+'Achalandage journalier'!J151+'Achalandage journalier'!J160+'Achalandage journalier'!J169+'Achalandage journalier'!J178+'Achalandage journalier'!J187+'Achalandage journalier'!J196+'Achalandage journalier'!J206+'Achalandage journalier'!J215+'Achalandage journalier'!J224+'Achalandage journalier'!J233+'Achalandage journalier'!J242+'Achalandage journalier'!J251+'Achalandage journalier'!J260</f>
        <v>224</v>
      </c>
      <c r="K14" s="93">
        <f>+'Achalandage journalier'!K14+'Achalandage journalier'!K23+'Achalandage journalier'!K32+'Achalandage journalier'!K41+'Achalandage journalier'!K50+'Achalandage journalier'!K59+'Achalandage journalier'!K68+'Achalandage journalier'!K78+'Achalandage journalier'!K87+'Achalandage journalier'!K96+'Achalandage journalier'!K105+'Achalandage journalier'!K114+'Achalandage journalier'!K123+'Achalandage journalier'!K132+'Achalandage journalier'!K142+'Achalandage journalier'!K151+'Achalandage journalier'!K160+'Achalandage journalier'!K169+'Achalandage journalier'!K178+'Achalandage journalier'!K187+'Achalandage journalier'!K196+'Achalandage journalier'!K206+'Achalandage journalier'!K215+'Achalandage journalier'!K224+'Achalandage journalier'!K233+'Achalandage journalier'!K242+'Achalandage journalier'!K251+'Achalandage journalier'!K260</f>
        <v>252</v>
      </c>
      <c r="L14" s="93">
        <f>+'Achalandage journalier'!L14+'Achalandage journalier'!L23+'Achalandage journalier'!L32+'Achalandage journalier'!L41+'Achalandage journalier'!L50+'Achalandage journalier'!L59+'Achalandage journalier'!L68+'Achalandage journalier'!L78+'Achalandage journalier'!L87+'Achalandage journalier'!L96+'Achalandage journalier'!L105+'Achalandage journalier'!L114+'Achalandage journalier'!L123+'Achalandage journalier'!L132+'Achalandage journalier'!L142+'Achalandage journalier'!L151+'Achalandage journalier'!L160+'Achalandage journalier'!L169+'Achalandage journalier'!L178+'Achalandage journalier'!L187+'Achalandage journalier'!L196+'Achalandage journalier'!L206+'Achalandage journalier'!L215+'Achalandage journalier'!L224+'Achalandage journalier'!L233+'Achalandage journalier'!L242+'Achalandage journalier'!L251+'Achalandage journalier'!L260</f>
        <v>252</v>
      </c>
      <c r="M14" s="93">
        <f>+'Achalandage journalier'!M14+'Achalandage journalier'!M23+'Achalandage journalier'!M32+'Achalandage journalier'!M41+'Achalandage journalier'!M50+'Achalandage journalier'!M59+'Achalandage journalier'!M68+'Achalandage journalier'!M78+'Achalandage journalier'!M87+'Achalandage journalier'!M96+'Achalandage journalier'!M105+'Achalandage journalier'!M114+'Achalandage journalier'!M123+'Achalandage journalier'!M132+'Achalandage journalier'!M142+'Achalandage journalier'!M151+'Achalandage journalier'!M160+'Achalandage journalier'!M169+'Achalandage journalier'!M178+'Achalandage journalier'!M187+'Achalandage journalier'!M196+'Achalandage journalier'!M206+'Achalandage journalier'!M215+'Achalandage journalier'!M224+'Achalandage journalier'!M233+'Achalandage journalier'!M242+'Achalandage journalier'!M251+'Achalandage journalier'!M260</f>
        <v>252</v>
      </c>
      <c r="N14" s="93">
        <f>+'Achalandage journalier'!N14+'Achalandage journalier'!N23+'Achalandage journalier'!N32+'Achalandage journalier'!N41+'Achalandage journalier'!N50+'Achalandage journalier'!N59+'Achalandage journalier'!N68+'Achalandage journalier'!N78+'Achalandage journalier'!N87+'Achalandage journalier'!N96+'Achalandage journalier'!N105+'Achalandage journalier'!N114+'Achalandage journalier'!N123+'Achalandage journalier'!N132+'Achalandage journalier'!N142+'Achalandage journalier'!N151+'Achalandage journalier'!N160+'Achalandage journalier'!N169+'Achalandage journalier'!N178+'Achalandage journalier'!N187+'Achalandage journalier'!N196+'Achalandage journalier'!N206+'Achalandage journalier'!N215+'Achalandage journalier'!N224+'Achalandage journalier'!N233+'Achalandage journalier'!N242+'Achalandage journalier'!N251+'Achalandage journalier'!N260</f>
        <v>252</v>
      </c>
      <c r="O14" s="93">
        <f>+'Achalandage journalier'!O14+'Achalandage journalier'!O23+'Achalandage journalier'!O32+'Achalandage journalier'!O41+'Achalandage journalier'!O50+'Achalandage journalier'!O59+'Achalandage journalier'!O68+'Achalandage journalier'!O78+'Achalandage journalier'!O87+'Achalandage journalier'!O96+'Achalandage journalier'!O105+'Achalandage journalier'!O114+'Achalandage journalier'!O123+'Achalandage journalier'!O132+'Achalandage journalier'!O142+'Achalandage journalier'!O151+'Achalandage journalier'!O160+'Achalandage journalier'!O169+'Achalandage journalier'!O178+'Achalandage journalier'!O187+'Achalandage journalier'!O196+'Achalandage journalier'!O206+'Achalandage journalier'!O215+'Achalandage journalier'!O224+'Achalandage journalier'!O233+'Achalandage journalier'!O242+'Achalandage journalier'!O251+'Achalandage journalier'!O260</f>
        <v>224</v>
      </c>
      <c r="P14" s="93">
        <f>+'Achalandage journalier'!P14+'Achalandage journalier'!P23+'Achalandage journalier'!P32+'Achalandage journalier'!P41+'Achalandage journalier'!P50+'Achalandage journalier'!P59+'Achalandage journalier'!P68+'Achalandage journalier'!P78+'Achalandage journalier'!P87+'Achalandage journalier'!P96+'Achalandage journalier'!P105+'Achalandage journalier'!P114+'Achalandage journalier'!P123+'Achalandage journalier'!P132+'Achalandage journalier'!P142+'Achalandage journalier'!P151+'Achalandage journalier'!P160+'Achalandage journalier'!P169+'Achalandage journalier'!P178+'Achalandage journalier'!P187+'Achalandage journalier'!P196+'Achalandage journalier'!P206+'Achalandage journalier'!P215+'Achalandage journalier'!P224+'Achalandage journalier'!P233+'Achalandage journalier'!P242+'Achalandage journalier'!P251+'Achalandage journalier'!P260</f>
        <v>224</v>
      </c>
      <c r="Q14" s="83">
        <f t="shared" si="3"/>
        <v>2464</v>
      </c>
    </row>
    <row r="15" spans="2:17" x14ac:dyDescent="0.15">
      <c r="B15" s="12">
        <v>5</v>
      </c>
      <c r="C15" s="13" t="str">
        <f>'Achalandage journalier'!C15</f>
        <v>17 h à 19 h</v>
      </c>
      <c r="D15" s="82">
        <f>+'Achalandage journalier'!D15+'Achalandage journalier'!D24+'Achalandage journalier'!D33+'Achalandage journalier'!D42+'Achalandage journalier'!D51+'Achalandage journalier'!D60+'Achalandage journalier'!D69+'Achalandage journalier'!D79+'Achalandage journalier'!D88+'Achalandage journalier'!D97+'Achalandage journalier'!D106+'Achalandage journalier'!D115+'Achalandage journalier'!D124+'Achalandage journalier'!D133+'Achalandage journalier'!D143+'Achalandage journalier'!D152+'Achalandage journalier'!D161+'Achalandage journalier'!D170+'Achalandage journalier'!D179+'Achalandage journalier'!D188+'Achalandage journalier'!D197+'Achalandage journalier'!D207+'Achalandage journalier'!D216+'Achalandage journalier'!D225+'Achalandage journalier'!D234+'Achalandage journalier'!D243+'Achalandage journalier'!D252+'Achalandage journalier'!D261</f>
        <v>84</v>
      </c>
      <c r="E15" s="82">
        <f>+'Achalandage journalier'!E15+'Achalandage journalier'!E24+'Achalandage journalier'!E33+'Achalandage journalier'!E42+'Achalandage journalier'!E51+'Achalandage journalier'!E60+'Achalandage journalier'!E69+'Achalandage journalier'!E79+'Achalandage journalier'!E88+'Achalandage journalier'!E97+'Achalandage journalier'!E106+'Achalandage journalier'!E115+'Achalandage journalier'!E124+'Achalandage journalier'!E133+'Achalandage journalier'!E143+'Achalandage journalier'!E152+'Achalandage journalier'!E161+'Achalandage journalier'!E170+'Achalandage journalier'!E179+'Achalandage journalier'!E188+'Achalandage journalier'!E197+'Achalandage journalier'!E207+'Achalandage journalier'!E216+'Achalandage journalier'!E225+'Achalandage journalier'!E234+'Achalandage journalier'!E243+'Achalandage journalier'!E252+'Achalandage journalier'!E261</f>
        <v>84</v>
      </c>
      <c r="F15" s="82">
        <f>+'Achalandage journalier'!F15+'Achalandage journalier'!F24+'Achalandage journalier'!F33+'Achalandage journalier'!F42+'Achalandage journalier'!F51+'Achalandage journalier'!F60+'Achalandage journalier'!F69+'Achalandage journalier'!F79+'Achalandage journalier'!F88+'Achalandage journalier'!F97+'Achalandage journalier'!F106+'Achalandage journalier'!F115+'Achalandage journalier'!F124+'Achalandage journalier'!F133+'Achalandage journalier'!F143+'Achalandage journalier'!F152+'Achalandage journalier'!F161+'Achalandage journalier'!F170+'Achalandage journalier'!F179+'Achalandage journalier'!F188+'Achalandage journalier'!F197+'Achalandage journalier'!F207+'Achalandage journalier'!F216+'Achalandage journalier'!F225+'Achalandage journalier'!F234+'Achalandage journalier'!F243+'Achalandage journalier'!F252+'Achalandage journalier'!F261</f>
        <v>112</v>
      </c>
      <c r="G15" s="82">
        <f>+'Achalandage journalier'!G15+'Achalandage journalier'!G24+'Achalandage journalier'!G33+'Achalandage journalier'!G42+'Achalandage journalier'!G51+'Achalandage journalier'!G60+'Achalandage journalier'!G69+'Achalandage journalier'!G79+'Achalandage journalier'!G88+'Achalandage journalier'!G97+'Achalandage journalier'!G106+'Achalandage journalier'!G115+'Achalandage journalier'!G124+'Achalandage journalier'!G133+'Achalandage journalier'!G143+'Achalandage journalier'!G152+'Achalandage journalier'!G161+'Achalandage journalier'!G170+'Achalandage journalier'!G179+'Achalandage journalier'!G188+'Achalandage journalier'!G197+'Achalandage journalier'!G207+'Achalandage journalier'!G216+'Achalandage journalier'!G225+'Achalandage journalier'!G234+'Achalandage journalier'!G243+'Achalandage journalier'!G252+'Achalandage journalier'!G261</f>
        <v>140</v>
      </c>
      <c r="H15" s="82">
        <f>+'Achalandage journalier'!H15+'Achalandage journalier'!H24+'Achalandage journalier'!H33+'Achalandage journalier'!H42+'Achalandage journalier'!H51+'Achalandage journalier'!H60+'Achalandage journalier'!H69+'Achalandage journalier'!H79+'Achalandage journalier'!H88+'Achalandage journalier'!H97+'Achalandage journalier'!H106+'Achalandage journalier'!H115+'Achalandage journalier'!H124+'Achalandage journalier'!H133+'Achalandage journalier'!H143+'Achalandage journalier'!H152+'Achalandage journalier'!H161+'Achalandage journalier'!H170+'Achalandage journalier'!H179+'Achalandage journalier'!H188+'Achalandage journalier'!H197+'Achalandage journalier'!H207+'Achalandage journalier'!H216+'Achalandage journalier'!H225+'Achalandage journalier'!H234+'Achalandage journalier'!H243+'Achalandage journalier'!H252+'Achalandage journalier'!H261</f>
        <v>168</v>
      </c>
      <c r="I15" s="82">
        <f>+'Achalandage journalier'!I15+'Achalandage journalier'!I24+'Achalandage journalier'!I33+'Achalandage journalier'!I42+'Achalandage journalier'!I51+'Achalandage journalier'!I60+'Achalandage journalier'!I69+'Achalandage journalier'!I79+'Achalandage journalier'!I88+'Achalandage journalier'!I97+'Achalandage journalier'!I106+'Achalandage journalier'!I115+'Achalandage journalier'!I124+'Achalandage journalier'!I133+'Achalandage journalier'!I143+'Achalandage journalier'!I152+'Achalandage journalier'!I161+'Achalandage journalier'!I170+'Achalandage journalier'!I179+'Achalandage journalier'!I188+'Achalandage journalier'!I197+'Achalandage journalier'!I207+'Achalandage journalier'!I216+'Achalandage journalier'!I225+'Achalandage journalier'!I234+'Achalandage journalier'!I243+'Achalandage journalier'!I252+'Achalandage journalier'!I261</f>
        <v>196</v>
      </c>
      <c r="J15" s="82">
        <f>+'Achalandage journalier'!J15+'Achalandage journalier'!J24+'Achalandage journalier'!J33+'Achalandage journalier'!J42+'Achalandage journalier'!J51+'Achalandage journalier'!J60+'Achalandage journalier'!J69+'Achalandage journalier'!J79+'Achalandage journalier'!J88+'Achalandage journalier'!J97+'Achalandage journalier'!J106+'Achalandage journalier'!J115+'Achalandage journalier'!J124+'Achalandage journalier'!J133+'Achalandage journalier'!J143+'Achalandage journalier'!J152+'Achalandage journalier'!J161+'Achalandage journalier'!J170+'Achalandage journalier'!J179+'Achalandage journalier'!J188+'Achalandage journalier'!J197+'Achalandage journalier'!J207+'Achalandage journalier'!J216+'Achalandage journalier'!J225+'Achalandage journalier'!J234+'Achalandage journalier'!J243+'Achalandage journalier'!J252+'Achalandage journalier'!J261</f>
        <v>224</v>
      </c>
      <c r="K15" s="82">
        <f>+'Achalandage journalier'!K15+'Achalandage journalier'!K24+'Achalandage journalier'!K33+'Achalandage journalier'!K42+'Achalandage journalier'!K51+'Achalandage journalier'!K60+'Achalandage journalier'!K69+'Achalandage journalier'!K79+'Achalandage journalier'!K88+'Achalandage journalier'!K97+'Achalandage journalier'!K106+'Achalandage journalier'!K115+'Achalandage journalier'!K124+'Achalandage journalier'!K133+'Achalandage journalier'!K143+'Achalandage journalier'!K152+'Achalandage journalier'!K161+'Achalandage journalier'!K170+'Achalandage journalier'!K179+'Achalandage journalier'!K188+'Achalandage journalier'!K197+'Achalandage journalier'!K207+'Achalandage journalier'!K216+'Achalandage journalier'!K225+'Achalandage journalier'!K234+'Achalandage journalier'!K243+'Achalandage journalier'!K252+'Achalandage journalier'!K261</f>
        <v>252</v>
      </c>
      <c r="L15" s="82">
        <f>+'Achalandage journalier'!L15+'Achalandage journalier'!L24+'Achalandage journalier'!L33+'Achalandage journalier'!L42+'Achalandage journalier'!L51+'Achalandage journalier'!L60+'Achalandage journalier'!L69+'Achalandage journalier'!L79+'Achalandage journalier'!L88+'Achalandage journalier'!L97+'Achalandage journalier'!L106+'Achalandage journalier'!L115+'Achalandage journalier'!L124+'Achalandage journalier'!L133+'Achalandage journalier'!L143+'Achalandage journalier'!L152+'Achalandage journalier'!L161+'Achalandage journalier'!L170+'Achalandage journalier'!L179+'Achalandage journalier'!L188+'Achalandage journalier'!L197+'Achalandage journalier'!L207+'Achalandage journalier'!L216+'Achalandage journalier'!L225+'Achalandage journalier'!L234+'Achalandage journalier'!L243+'Achalandage journalier'!L252+'Achalandage journalier'!L261</f>
        <v>252</v>
      </c>
      <c r="M15" s="82">
        <f>+'Achalandage journalier'!M15+'Achalandage journalier'!M24+'Achalandage journalier'!M33+'Achalandage journalier'!M42+'Achalandage journalier'!M51+'Achalandage journalier'!M60+'Achalandage journalier'!M69+'Achalandage journalier'!M79+'Achalandage journalier'!M88+'Achalandage journalier'!M97+'Achalandage journalier'!M106+'Achalandage journalier'!M115+'Achalandage journalier'!M124+'Achalandage journalier'!M133+'Achalandage journalier'!M143+'Achalandage journalier'!M152+'Achalandage journalier'!M161+'Achalandage journalier'!M170+'Achalandage journalier'!M179+'Achalandage journalier'!M188+'Achalandage journalier'!M197+'Achalandage journalier'!M207+'Achalandage journalier'!M216+'Achalandage journalier'!M225+'Achalandage journalier'!M234+'Achalandage journalier'!M243+'Achalandage journalier'!M252+'Achalandage journalier'!M261</f>
        <v>252</v>
      </c>
      <c r="N15" s="82">
        <f>+'Achalandage journalier'!N15+'Achalandage journalier'!N24+'Achalandage journalier'!N33+'Achalandage journalier'!N42+'Achalandage journalier'!N51+'Achalandage journalier'!N60+'Achalandage journalier'!N69+'Achalandage journalier'!N79+'Achalandage journalier'!N88+'Achalandage journalier'!N97+'Achalandage journalier'!N106+'Achalandage journalier'!N115+'Achalandage journalier'!N124+'Achalandage journalier'!N133+'Achalandage journalier'!N143+'Achalandage journalier'!N152+'Achalandage journalier'!N161+'Achalandage journalier'!N170+'Achalandage journalier'!N179+'Achalandage journalier'!N188+'Achalandage journalier'!N197+'Achalandage journalier'!N207+'Achalandage journalier'!N216+'Achalandage journalier'!N225+'Achalandage journalier'!N234+'Achalandage journalier'!N243+'Achalandage journalier'!N252+'Achalandage journalier'!N261</f>
        <v>252</v>
      </c>
      <c r="O15" s="82">
        <f>+'Achalandage journalier'!O15+'Achalandage journalier'!O24+'Achalandage journalier'!O33+'Achalandage journalier'!O42+'Achalandage journalier'!O51+'Achalandage journalier'!O60+'Achalandage journalier'!O69+'Achalandage journalier'!O79+'Achalandage journalier'!O88+'Achalandage journalier'!O97+'Achalandage journalier'!O106+'Achalandage journalier'!O115+'Achalandage journalier'!O124+'Achalandage journalier'!O133+'Achalandage journalier'!O143+'Achalandage journalier'!O152+'Achalandage journalier'!O161+'Achalandage journalier'!O170+'Achalandage journalier'!O179+'Achalandage journalier'!O188+'Achalandage journalier'!O197+'Achalandage journalier'!O207+'Achalandage journalier'!O216+'Achalandage journalier'!O225+'Achalandage journalier'!O234+'Achalandage journalier'!O243+'Achalandage journalier'!O252+'Achalandage journalier'!O261</f>
        <v>224</v>
      </c>
      <c r="P15" s="82">
        <f>+'Achalandage journalier'!P15+'Achalandage journalier'!P24+'Achalandage journalier'!P33+'Achalandage journalier'!P42+'Achalandage journalier'!P51+'Achalandage journalier'!P60+'Achalandage journalier'!P69+'Achalandage journalier'!P79+'Achalandage journalier'!P88+'Achalandage journalier'!P97+'Achalandage journalier'!P106+'Achalandage journalier'!P115+'Achalandage journalier'!P124+'Achalandage journalier'!P133+'Achalandage journalier'!P143+'Achalandage journalier'!P152+'Achalandage journalier'!P161+'Achalandage journalier'!P170+'Achalandage journalier'!P179+'Achalandage journalier'!P188+'Achalandage journalier'!P197+'Achalandage journalier'!P207+'Achalandage journalier'!P216+'Achalandage journalier'!P225+'Achalandage journalier'!P234+'Achalandage journalier'!P243+'Achalandage journalier'!P252+'Achalandage journalier'!P261</f>
        <v>224</v>
      </c>
      <c r="Q15" s="83">
        <f t="shared" si="3"/>
        <v>2464</v>
      </c>
    </row>
    <row r="16" spans="2:17" x14ac:dyDescent="0.15">
      <c r="B16" s="12">
        <v>6</v>
      </c>
      <c r="C16" s="13" t="str">
        <f>'Achalandage journalier'!C16</f>
        <v>19 h à 23 h</v>
      </c>
      <c r="D16" s="82">
        <f>+'Achalandage journalier'!D16+'Achalandage journalier'!D25+'Achalandage journalier'!D34+'Achalandage journalier'!D43+'Achalandage journalier'!D52+'Achalandage journalier'!D61+'Achalandage journalier'!D70+'Achalandage journalier'!D80+'Achalandage journalier'!D89+'Achalandage journalier'!D98+'Achalandage journalier'!D107+'Achalandage journalier'!D116+'Achalandage journalier'!D125+'Achalandage journalier'!D134+'Achalandage journalier'!D144+'Achalandage journalier'!D153+'Achalandage journalier'!D162+'Achalandage journalier'!D171+'Achalandage journalier'!D180+'Achalandage journalier'!D189+'Achalandage journalier'!D198+'Achalandage journalier'!D208+'Achalandage journalier'!D217+'Achalandage journalier'!D226+'Achalandage journalier'!D235+'Achalandage journalier'!D244+'Achalandage journalier'!D253+'Achalandage journalier'!D262</f>
        <v>84</v>
      </c>
      <c r="E16" s="82">
        <f>+'Achalandage journalier'!E16+'Achalandage journalier'!E25+'Achalandage journalier'!E34+'Achalandage journalier'!E43+'Achalandage journalier'!E52+'Achalandage journalier'!E61+'Achalandage journalier'!E70+'Achalandage journalier'!E80+'Achalandage journalier'!E89+'Achalandage journalier'!E98+'Achalandage journalier'!E107+'Achalandage journalier'!E116+'Achalandage journalier'!E125+'Achalandage journalier'!E134+'Achalandage journalier'!E144+'Achalandage journalier'!E153+'Achalandage journalier'!E162+'Achalandage journalier'!E171+'Achalandage journalier'!E180+'Achalandage journalier'!E189+'Achalandage journalier'!E198+'Achalandage journalier'!E208+'Achalandage journalier'!E217+'Achalandage journalier'!E226+'Achalandage journalier'!E235+'Achalandage journalier'!E244+'Achalandage journalier'!E253+'Achalandage journalier'!E262</f>
        <v>84</v>
      </c>
      <c r="F16" s="82">
        <f>+'Achalandage journalier'!F16+'Achalandage journalier'!F25+'Achalandage journalier'!F34+'Achalandage journalier'!F43+'Achalandage journalier'!F52+'Achalandage journalier'!F61+'Achalandage journalier'!F70+'Achalandage journalier'!F80+'Achalandage journalier'!F89+'Achalandage journalier'!F98+'Achalandage journalier'!F107+'Achalandage journalier'!F116+'Achalandage journalier'!F125+'Achalandage journalier'!F134+'Achalandage journalier'!F144+'Achalandage journalier'!F153+'Achalandage journalier'!F162+'Achalandage journalier'!F171+'Achalandage journalier'!F180+'Achalandage journalier'!F189+'Achalandage journalier'!F198+'Achalandage journalier'!F208+'Achalandage journalier'!F217+'Achalandage journalier'!F226+'Achalandage journalier'!F235+'Achalandage journalier'!F244+'Achalandage journalier'!F253+'Achalandage journalier'!F262</f>
        <v>112</v>
      </c>
      <c r="G16" s="82">
        <f>+'Achalandage journalier'!G16+'Achalandage journalier'!G25+'Achalandage journalier'!G34+'Achalandage journalier'!G43+'Achalandage journalier'!G52+'Achalandage journalier'!G61+'Achalandage journalier'!G70+'Achalandage journalier'!G80+'Achalandage journalier'!G89+'Achalandage journalier'!G98+'Achalandage journalier'!G107+'Achalandage journalier'!G116+'Achalandage journalier'!G125+'Achalandage journalier'!G134+'Achalandage journalier'!G144+'Achalandage journalier'!G153+'Achalandage journalier'!G162+'Achalandage journalier'!G171+'Achalandage journalier'!G180+'Achalandage journalier'!G189+'Achalandage journalier'!G198+'Achalandage journalier'!G208+'Achalandage journalier'!G217+'Achalandage journalier'!G226+'Achalandage journalier'!G235+'Achalandage journalier'!G244+'Achalandage journalier'!G253+'Achalandage journalier'!G262</f>
        <v>140</v>
      </c>
      <c r="H16" s="82">
        <f>+'Achalandage journalier'!H16+'Achalandage journalier'!H25+'Achalandage journalier'!H34+'Achalandage journalier'!H43+'Achalandage journalier'!H52+'Achalandage journalier'!H61+'Achalandage journalier'!H70+'Achalandage journalier'!H80+'Achalandage journalier'!H89+'Achalandage journalier'!H98+'Achalandage journalier'!H107+'Achalandage journalier'!H116+'Achalandage journalier'!H125+'Achalandage journalier'!H134+'Achalandage journalier'!H144+'Achalandage journalier'!H153+'Achalandage journalier'!H162+'Achalandage journalier'!H171+'Achalandage journalier'!H180+'Achalandage journalier'!H189+'Achalandage journalier'!H198+'Achalandage journalier'!H208+'Achalandage journalier'!H217+'Achalandage journalier'!H226+'Achalandage journalier'!H235+'Achalandage journalier'!H244+'Achalandage journalier'!H253+'Achalandage journalier'!H262</f>
        <v>168</v>
      </c>
      <c r="I16" s="82">
        <f>+'Achalandage journalier'!I16+'Achalandage journalier'!I25+'Achalandage journalier'!I34+'Achalandage journalier'!I43+'Achalandage journalier'!I52+'Achalandage journalier'!I61+'Achalandage journalier'!I70+'Achalandage journalier'!I80+'Achalandage journalier'!I89+'Achalandage journalier'!I98+'Achalandage journalier'!I107+'Achalandage journalier'!I116+'Achalandage journalier'!I125+'Achalandage journalier'!I134+'Achalandage journalier'!I144+'Achalandage journalier'!I153+'Achalandage journalier'!I162+'Achalandage journalier'!I171+'Achalandage journalier'!I180+'Achalandage journalier'!I189+'Achalandage journalier'!I198+'Achalandage journalier'!I208+'Achalandage journalier'!I217+'Achalandage journalier'!I226+'Achalandage journalier'!I235+'Achalandage journalier'!I244+'Achalandage journalier'!I253+'Achalandage journalier'!I262</f>
        <v>196</v>
      </c>
      <c r="J16" s="82">
        <f>+'Achalandage journalier'!J16+'Achalandage journalier'!J25+'Achalandage journalier'!J34+'Achalandage journalier'!J43+'Achalandage journalier'!J52+'Achalandage journalier'!J61+'Achalandage journalier'!J70+'Achalandage journalier'!J80+'Achalandage journalier'!J89+'Achalandage journalier'!J98+'Achalandage journalier'!J107+'Achalandage journalier'!J116+'Achalandage journalier'!J125+'Achalandage journalier'!J134+'Achalandage journalier'!J144+'Achalandage journalier'!J153+'Achalandage journalier'!J162+'Achalandage journalier'!J171+'Achalandage journalier'!J180+'Achalandage journalier'!J189+'Achalandage journalier'!J198+'Achalandage journalier'!J208+'Achalandage journalier'!J217+'Achalandage journalier'!J226+'Achalandage journalier'!J235+'Achalandage journalier'!J244+'Achalandage journalier'!J253+'Achalandage journalier'!J262</f>
        <v>224</v>
      </c>
      <c r="K16" s="82">
        <f>+'Achalandage journalier'!K16+'Achalandage journalier'!K25+'Achalandage journalier'!K34+'Achalandage journalier'!K43+'Achalandage journalier'!K52+'Achalandage journalier'!K61+'Achalandage journalier'!K70+'Achalandage journalier'!K80+'Achalandage journalier'!K89+'Achalandage journalier'!K98+'Achalandage journalier'!K107+'Achalandage journalier'!K116+'Achalandage journalier'!K125+'Achalandage journalier'!K134+'Achalandage journalier'!K144+'Achalandage journalier'!K153+'Achalandage journalier'!K162+'Achalandage journalier'!K171+'Achalandage journalier'!K180+'Achalandage journalier'!K189+'Achalandage journalier'!K198+'Achalandage journalier'!K208+'Achalandage journalier'!K217+'Achalandage journalier'!K226+'Achalandage journalier'!K235+'Achalandage journalier'!K244+'Achalandage journalier'!K253+'Achalandage journalier'!K262</f>
        <v>252</v>
      </c>
      <c r="L16" s="82">
        <f>+'Achalandage journalier'!L16+'Achalandage journalier'!L25+'Achalandage journalier'!L34+'Achalandage journalier'!L43+'Achalandage journalier'!L52+'Achalandage journalier'!L61+'Achalandage journalier'!L70+'Achalandage journalier'!L80+'Achalandage journalier'!L89+'Achalandage journalier'!L98+'Achalandage journalier'!L107+'Achalandage journalier'!L116+'Achalandage journalier'!L125+'Achalandage journalier'!L134+'Achalandage journalier'!L144+'Achalandage journalier'!L153+'Achalandage journalier'!L162+'Achalandage journalier'!L171+'Achalandage journalier'!L180+'Achalandage journalier'!L189+'Achalandage journalier'!L198+'Achalandage journalier'!L208+'Achalandage journalier'!L217+'Achalandage journalier'!L226+'Achalandage journalier'!L235+'Achalandage journalier'!L244+'Achalandage journalier'!L253+'Achalandage journalier'!L262</f>
        <v>252</v>
      </c>
      <c r="M16" s="82">
        <f>+'Achalandage journalier'!M16+'Achalandage journalier'!M25+'Achalandage journalier'!M34+'Achalandage journalier'!M43+'Achalandage journalier'!M52+'Achalandage journalier'!M61+'Achalandage journalier'!M70+'Achalandage journalier'!M80+'Achalandage journalier'!M89+'Achalandage journalier'!M98+'Achalandage journalier'!M107+'Achalandage journalier'!M116+'Achalandage journalier'!M125+'Achalandage journalier'!M134+'Achalandage journalier'!M144+'Achalandage journalier'!M153+'Achalandage journalier'!M162+'Achalandage journalier'!M171+'Achalandage journalier'!M180+'Achalandage journalier'!M189+'Achalandage journalier'!M198+'Achalandage journalier'!M208+'Achalandage journalier'!M217+'Achalandage journalier'!M226+'Achalandage journalier'!M235+'Achalandage journalier'!M244+'Achalandage journalier'!M253+'Achalandage journalier'!M262</f>
        <v>252</v>
      </c>
      <c r="N16" s="82">
        <f>+'Achalandage journalier'!N16+'Achalandage journalier'!N25+'Achalandage journalier'!N34+'Achalandage journalier'!N43+'Achalandage journalier'!N52+'Achalandage journalier'!N61+'Achalandage journalier'!N70+'Achalandage journalier'!N80+'Achalandage journalier'!N89+'Achalandage journalier'!N98+'Achalandage journalier'!N107+'Achalandage journalier'!N116+'Achalandage journalier'!N125+'Achalandage journalier'!N134+'Achalandage journalier'!N144+'Achalandage journalier'!N153+'Achalandage journalier'!N162+'Achalandage journalier'!N171+'Achalandage journalier'!N180+'Achalandage journalier'!N189+'Achalandage journalier'!N198+'Achalandage journalier'!N208+'Achalandage journalier'!N217+'Achalandage journalier'!N226+'Achalandage journalier'!N235+'Achalandage journalier'!N244+'Achalandage journalier'!N253+'Achalandage journalier'!N262</f>
        <v>252</v>
      </c>
      <c r="O16" s="82">
        <f>+'Achalandage journalier'!O16+'Achalandage journalier'!O25+'Achalandage journalier'!O34+'Achalandage journalier'!O43+'Achalandage journalier'!O52+'Achalandage journalier'!O61+'Achalandage journalier'!O70+'Achalandage journalier'!O80+'Achalandage journalier'!O89+'Achalandage journalier'!O98+'Achalandage journalier'!O107+'Achalandage journalier'!O116+'Achalandage journalier'!O125+'Achalandage journalier'!O134+'Achalandage journalier'!O144+'Achalandage journalier'!O153+'Achalandage journalier'!O162+'Achalandage journalier'!O171+'Achalandage journalier'!O180+'Achalandage journalier'!O189+'Achalandage journalier'!O198+'Achalandage journalier'!O208+'Achalandage journalier'!O217+'Achalandage journalier'!O226+'Achalandage journalier'!O235+'Achalandage journalier'!O244+'Achalandage journalier'!O253+'Achalandage journalier'!O262</f>
        <v>224</v>
      </c>
      <c r="P16" s="82">
        <f>+'Achalandage journalier'!P16+'Achalandage journalier'!P25+'Achalandage journalier'!P34+'Achalandage journalier'!P43+'Achalandage journalier'!P52+'Achalandage journalier'!P61+'Achalandage journalier'!P70+'Achalandage journalier'!P80+'Achalandage journalier'!P89+'Achalandage journalier'!P98+'Achalandage journalier'!P107+'Achalandage journalier'!P116+'Achalandage journalier'!P125+'Achalandage journalier'!P134+'Achalandage journalier'!P144+'Achalandage journalier'!P153+'Achalandage journalier'!P162+'Achalandage journalier'!P171+'Achalandage journalier'!P180+'Achalandage journalier'!P189+'Achalandage journalier'!P198+'Achalandage journalier'!P208+'Achalandage journalier'!P217+'Achalandage journalier'!P226+'Achalandage journalier'!P235+'Achalandage journalier'!P244+'Achalandage journalier'!P253+'Achalandage journalier'!P262</f>
        <v>224</v>
      </c>
      <c r="Q16" s="83">
        <f t="shared" si="3"/>
        <v>2464</v>
      </c>
    </row>
    <row r="17" spans="2:17" x14ac:dyDescent="0.15">
      <c r="B17" s="12">
        <v>7</v>
      </c>
      <c r="C17" s="13" t="str">
        <f>'Achalandage journalier'!C17</f>
        <v>23 h à 6 h</v>
      </c>
      <c r="D17" s="82">
        <f>+'Achalandage journalier'!D17+'Achalandage journalier'!D26+'Achalandage journalier'!D35+'Achalandage journalier'!D44+'Achalandage journalier'!D53+'Achalandage journalier'!D62+'Achalandage journalier'!D71+'Achalandage journalier'!D81+'Achalandage journalier'!D90+'Achalandage journalier'!D99+'Achalandage journalier'!D108+'Achalandage journalier'!D117+'Achalandage journalier'!D126+'Achalandage journalier'!D135+'Achalandage journalier'!D145+'Achalandage journalier'!D154+'Achalandage journalier'!D163+'Achalandage journalier'!D172+'Achalandage journalier'!D181+'Achalandage journalier'!D190+'Achalandage journalier'!D199+'Achalandage journalier'!D209+'Achalandage journalier'!D218+'Achalandage journalier'!D227+'Achalandage journalier'!D236+'Achalandage journalier'!D245+'Achalandage journalier'!D254+'Achalandage journalier'!D263</f>
        <v>1081</v>
      </c>
      <c r="E17" s="82">
        <f>+'Achalandage journalier'!E17+'Achalandage journalier'!E26+'Achalandage journalier'!E35+'Achalandage journalier'!E44+'Achalandage journalier'!E53+'Achalandage journalier'!E62+'Achalandage journalier'!E71+'Achalandage journalier'!E81+'Achalandage journalier'!E90+'Achalandage journalier'!E99+'Achalandage journalier'!E108+'Achalandage journalier'!E117+'Achalandage journalier'!E126+'Achalandage journalier'!E135+'Achalandage journalier'!E145+'Achalandage journalier'!E154+'Achalandage journalier'!E163+'Achalandage journalier'!E172+'Achalandage journalier'!E181+'Achalandage journalier'!E190+'Achalandage journalier'!E199+'Achalandage journalier'!E209+'Achalandage journalier'!E218+'Achalandage journalier'!E227+'Achalandage journalier'!E236+'Achalandage journalier'!E245+'Achalandage journalier'!E254+'Achalandage journalier'!E263</f>
        <v>1081</v>
      </c>
      <c r="F17" s="82">
        <f>+'Achalandage journalier'!F17+'Achalandage journalier'!F26+'Achalandage journalier'!F35+'Achalandage journalier'!F44+'Achalandage journalier'!F53+'Achalandage journalier'!F62+'Achalandage journalier'!F71+'Achalandage journalier'!F81+'Achalandage journalier'!F90+'Achalandage journalier'!F99+'Achalandage journalier'!F108+'Achalandage journalier'!F117+'Achalandage journalier'!F126+'Achalandage journalier'!F135+'Achalandage journalier'!F145+'Achalandage journalier'!F154+'Achalandage journalier'!F163+'Achalandage journalier'!F172+'Achalandage journalier'!F181+'Achalandage journalier'!F190+'Achalandage journalier'!F199+'Achalandage journalier'!F209+'Achalandage journalier'!F218+'Achalandage journalier'!F227+'Achalandage journalier'!F236+'Achalandage journalier'!F245+'Achalandage journalier'!F254+'Achalandage journalier'!F263</f>
        <v>1608</v>
      </c>
      <c r="G17" s="82">
        <f>+'Achalandage journalier'!G17+'Achalandage journalier'!G26+'Achalandage journalier'!G35+'Achalandage journalier'!G44+'Achalandage journalier'!G53+'Achalandage journalier'!G62+'Achalandage journalier'!G71+'Achalandage journalier'!G81+'Achalandage journalier'!G90+'Achalandage journalier'!G99+'Achalandage journalier'!G108+'Achalandage journalier'!G117+'Achalandage journalier'!G126+'Achalandage journalier'!G135+'Achalandage journalier'!G145+'Achalandage journalier'!G154+'Achalandage journalier'!G163+'Achalandage journalier'!G172+'Achalandage journalier'!G181+'Achalandage journalier'!G190+'Achalandage journalier'!G199+'Achalandage journalier'!G209+'Achalandage journalier'!G218+'Achalandage journalier'!G227+'Achalandage journalier'!G236+'Achalandage journalier'!G245+'Achalandage journalier'!G254+'Achalandage journalier'!G263</f>
        <v>2135</v>
      </c>
      <c r="H17" s="82">
        <f>+'Achalandage journalier'!H17+'Achalandage journalier'!H26+'Achalandage journalier'!H35+'Achalandage journalier'!H44+'Achalandage journalier'!H53+'Achalandage journalier'!H62+'Achalandage journalier'!H71+'Achalandage journalier'!H81+'Achalandage journalier'!H90+'Achalandage journalier'!H99+'Achalandage journalier'!H108+'Achalandage journalier'!H117+'Achalandage journalier'!H126+'Achalandage journalier'!H135+'Achalandage journalier'!H145+'Achalandage journalier'!H154+'Achalandage journalier'!H163+'Achalandage journalier'!H172+'Achalandage journalier'!H181+'Achalandage journalier'!H190+'Achalandage journalier'!H199+'Achalandage journalier'!H209+'Achalandage journalier'!H218+'Achalandage journalier'!H227+'Achalandage journalier'!H236+'Achalandage journalier'!H245+'Achalandage journalier'!H254+'Achalandage journalier'!H263</f>
        <v>2662</v>
      </c>
      <c r="I17" s="82">
        <f>+'Achalandage journalier'!I17+'Achalandage journalier'!I26+'Achalandage journalier'!I35+'Achalandage journalier'!I44+'Achalandage journalier'!I53+'Achalandage journalier'!I62+'Achalandage journalier'!I71+'Achalandage journalier'!I81+'Achalandage journalier'!I90+'Achalandage journalier'!I99+'Achalandage journalier'!I108+'Achalandage journalier'!I117+'Achalandage journalier'!I126+'Achalandage journalier'!I135+'Achalandage journalier'!I145+'Achalandage journalier'!I154+'Achalandage journalier'!I163+'Achalandage journalier'!I172+'Achalandage journalier'!I181+'Achalandage journalier'!I190+'Achalandage journalier'!I199+'Achalandage journalier'!I209+'Achalandage journalier'!I218+'Achalandage journalier'!I227+'Achalandage journalier'!I236+'Achalandage journalier'!I245+'Achalandage journalier'!I254+'Achalandage journalier'!I263</f>
        <v>3189</v>
      </c>
      <c r="J17" s="82">
        <f>+'Achalandage journalier'!J17+'Achalandage journalier'!J26+'Achalandage journalier'!J35+'Achalandage journalier'!J44+'Achalandage journalier'!J53+'Achalandage journalier'!J62+'Achalandage journalier'!J71+'Achalandage journalier'!J81+'Achalandage journalier'!J90+'Achalandage journalier'!J99+'Achalandage journalier'!J108+'Achalandage journalier'!J117+'Achalandage journalier'!J126+'Achalandage journalier'!J135+'Achalandage journalier'!J145+'Achalandage journalier'!J154+'Achalandage journalier'!J163+'Achalandage journalier'!J172+'Achalandage journalier'!J181+'Achalandage journalier'!J190+'Achalandage journalier'!J199+'Achalandage journalier'!J209+'Achalandage journalier'!J218+'Achalandage journalier'!J227+'Achalandage journalier'!J236+'Achalandage journalier'!J245+'Achalandage journalier'!J254+'Achalandage journalier'!J263</f>
        <v>3716</v>
      </c>
      <c r="K17" s="82">
        <f>+'Achalandage journalier'!K17+'Achalandage journalier'!K26+'Achalandage journalier'!K35+'Achalandage journalier'!K44+'Achalandage journalier'!K53+'Achalandage journalier'!K62+'Achalandage journalier'!K71+'Achalandage journalier'!K81+'Achalandage journalier'!K90+'Achalandage journalier'!K99+'Achalandage journalier'!K108+'Achalandage journalier'!K117+'Achalandage journalier'!K126+'Achalandage journalier'!K135+'Achalandage journalier'!K145+'Achalandage journalier'!K154+'Achalandage journalier'!K163+'Achalandage journalier'!K172+'Achalandage journalier'!K181+'Achalandage journalier'!K190+'Achalandage journalier'!K199+'Achalandage journalier'!K209+'Achalandage journalier'!K218+'Achalandage journalier'!K227+'Achalandage journalier'!K236+'Achalandage journalier'!K245+'Achalandage journalier'!K254+'Achalandage journalier'!K263</f>
        <v>4243</v>
      </c>
      <c r="L17" s="82">
        <f>+'Achalandage journalier'!L17+'Achalandage journalier'!L26+'Achalandage journalier'!L35+'Achalandage journalier'!L44+'Achalandage journalier'!L53+'Achalandage journalier'!L62+'Achalandage journalier'!L71+'Achalandage journalier'!L81+'Achalandage journalier'!L90+'Achalandage journalier'!L99+'Achalandage journalier'!L108+'Achalandage journalier'!L117+'Achalandage journalier'!L126+'Achalandage journalier'!L135+'Achalandage journalier'!L145+'Achalandage journalier'!L154+'Achalandage journalier'!L163+'Achalandage journalier'!L172+'Achalandage journalier'!L181+'Achalandage journalier'!L190+'Achalandage journalier'!L199+'Achalandage journalier'!L209+'Achalandage journalier'!L218+'Achalandage journalier'!L227+'Achalandage journalier'!L236+'Achalandage journalier'!L245+'Achalandage journalier'!L254+'Achalandage journalier'!L263</f>
        <v>4243</v>
      </c>
      <c r="M17" s="82">
        <f>+'Achalandage journalier'!M17+'Achalandage journalier'!M26+'Achalandage journalier'!M35+'Achalandage journalier'!M44+'Achalandage journalier'!M53+'Achalandage journalier'!M62+'Achalandage journalier'!M71+'Achalandage journalier'!M81+'Achalandage journalier'!M90+'Achalandage journalier'!M99+'Achalandage journalier'!M108+'Achalandage journalier'!M117+'Achalandage journalier'!M126+'Achalandage journalier'!M135+'Achalandage journalier'!M145+'Achalandage journalier'!M154+'Achalandage journalier'!M163+'Achalandage journalier'!M172+'Achalandage journalier'!M181+'Achalandage journalier'!M190+'Achalandage journalier'!M199+'Achalandage journalier'!M209+'Achalandage journalier'!M218+'Achalandage journalier'!M227+'Achalandage journalier'!M236+'Achalandage journalier'!M245+'Achalandage journalier'!M254+'Achalandage journalier'!M263</f>
        <v>4243</v>
      </c>
      <c r="N17" s="82">
        <f>+'Achalandage journalier'!N17+'Achalandage journalier'!N26+'Achalandage journalier'!N35+'Achalandage journalier'!N44+'Achalandage journalier'!N53+'Achalandage journalier'!N62+'Achalandage journalier'!N71+'Achalandage journalier'!N81+'Achalandage journalier'!N90+'Achalandage journalier'!N99+'Achalandage journalier'!N108+'Achalandage journalier'!N117+'Achalandage journalier'!N126+'Achalandage journalier'!N135+'Achalandage journalier'!N145+'Achalandage journalier'!N154+'Achalandage journalier'!N163+'Achalandage journalier'!N172+'Achalandage journalier'!N181+'Achalandage journalier'!N190+'Achalandage journalier'!N199+'Achalandage journalier'!N209+'Achalandage journalier'!N218+'Achalandage journalier'!N227+'Achalandage journalier'!N236+'Achalandage journalier'!N245+'Achalandage journalier'!N254+'Achalandage journalier'!N263</f>
        <v>4243</v>
      </c>
      <c r="O17" s="82">
        <f>+'Achalandage journalier'!O17+'Achalandage journalier'!O26+'Achalandage journalier'!O35+'Achalandage journalier'!O44+'Achalandage journalier'!O53+'Achalandage journalier'!O62+'Achalandage journalier'!O71+'Achalandage journalier'!O81+'Achalandage journalier'!O90+'Achalandage journalier'!O99+'Achalandage journalier'!O108+'Achalandage journalier'!O117+'Achalandage journalier'!O126+'Achalandage journalier'!O135+'Achalandage journalier'!O145+'Achalandage journalier'!O154+'Achalandage journalier'!O163+'Achalandage journalier'!O172+'Achalandage journalier'!O181+'Achalandage journalier'!O190+'Achalandage journalier'!O199+'Achalandage journalier'!O209+'Achalandage journalier'!O218+'Achalandage journalier'!O227+'Achalandage journalier'!O236+'Achalandage journalier'!O245+'Achalandage journalier'!O254+'Achalandage journalier'!O263</f>
        <v>3716</v>
      </c>
      <c r="P17" s="82">
        <f>+'Achalandage journalier'!P17+'Achalandage journalier'!P26+'Achalandage journalier'!P35+'Achalandage journalier'!P44+'Achalandage journalier'!P53+'Achalandage journalier'!P62+'Achalandage journalier'!P71+'Achalandage journalier'!P81+'Achalandage journalier'!P90+'Achalandage journalier'!P99+'Achalandage journalier'!P108+'Achalandage journalier'!P117+'Achalandage journalier'!P126+'Achalandage journalier'!P135+'Achalandage journalier'!P145+'Achalandage journalier'!P154+'Achalandage journalier'!P163+'Achalandage journalier'!P172+'Achalandage journalier'!P181+'Achalandage journalier'!P190+'Achalandage journalier'!P199+'Achalandage journalier'!P209+'Achalandage journalier'!P218+'Achalandage journalier'!P227+'Achalandage journalier'!P236+'Achalandage journalier'!P245+'Achalandage journalier'!P254+'Achalandage journalier'!P263</f>
        <v>3716</v>
      </c>
      <c r="Q17" s="83">
        <f t="shared" si="3"/>
        <v>39876</v>
      </c>
    </row>
    <row r="18" spans="2:17" ht="14" thickBot="1" x14ac:dyDescent="0.2">
      <c r="B18" s="25"/>
      <c r="C18" s="84" t="str">
        <f>'Achalandage journalier'!C18</f>
        <v>Total</v>
      </c>
      <c r="D18" s="85">
        <f t="shared" ref="D18:P18" si="6">+D11+D12+D13+D14+D15+D16+D17</f>
        <v>1585</v>
      </c>
      <c r="E18" s="85">
        <f t="shared" si="6"/>
        <v>1585</v>
      </c>
      <c r="F18" s="85">
        <f t="shared" si="6"/>
        <v>2280</v>
      </c>
      <c r="G18" s="85">
        <f t="shared" si="6"/>
        <v>2975</v>
      </c>
      <c r="H18" s="85">
        <f t="shared" si="6"/>
        <v>3670</v>
      </c>
      <c r="I18" s="85">
        <f t="shared" si="6"/>
        <v>4365</v>
      </c>
      <c r="J18" s="85">
        <f t="shared" si="6"/>
        <v>5051</v>
      </c>
      <c r="K18" s="85">
        <f t="shared" si="6"/>
        <v>5755</v>
      </c>
      <c r="L18" s="85">
        <f t="shared" si="6"/>
        <v>5755</v>
      </c>
      <c r="M18" s="85">
        <f t="shared" si="6"/>
        <v>5755</v>
      </c>
      <c r="N18" s="85">
        <f t="shared" si="6"/>
        <v>5755</v>
      </c>
      <c r="O18" s="85">
        <f t="shared" si="6"/>
        <v>5060</v>
      </c>
      <c r="P18" s="85">
        <f t="shared" si="6"/>
        <v>5060</v>
      </c>
      <c r="Q18" s="86">
        <f>+Q11+Q12+Q13+Q14+Q15+Q16+Q17</f>
        <v>54651</v>
      </c>
    </row>
    <row r="19" spans="2:17" ht="15" thickTop="1" thickBot="1" x14ac:dyDescent="0.2">
      <c r="B19" s="1314" t="s">
        <v>39</v>
      </c>
      <c r="C19" s="1315"/>
      <c r="D19" s="87">
        <f>'Achalandage journalier'!D267</f>
        <v>1585</v>
      </c>
      <c r="E19" s="87">
        <f>'Achalandage journalier'!E267</f>
        <v>1585</v>
      </c>
      <c r="F19" s="87">
        <f>'Achalandage journalier'!F267</f>
        <v>2280</v>
      </c>
      <c r="G19" s="87">
        <f>'Achalandage journalier'!G267</f>
        <v>2975</v>
      </c>
      <c r="H19" s="87">
        <f>'Achalandage journalier'!H267</f>
        <v>3670</v>
      </c>
      <c r="I19" s="87">
        <f>'Achalandage journalier'!I267</f>
        <v>4365</v>
      </c>
      <c r="J19" s="87">
        <f>'Achalandage journalier'!J267</f>
        <v>5051</v>
      </c>
      <c r="K19" s="87">
        <f>'Achalandage journalier'!K267</f>
        <v>5755</v>
      </c>
      <c r="L19" s="87">
        <f>'Achalandage journalier'!L267</f>
        <v>5755</v>
      </c>
      <c r="M19" s="87">
        <f>'Achalandage journalier'!M267</f>
        <v>5755</v>
      </c>
      <c r="N19" s="87">
        <f>'Achalandage journalier'!N267</f>
        <v>5755</v>
      </c>
      <c r="O19" s="87">
        <f>'Achalandage journalier'!O267</f>
        <v>5060</v>
      </c>
      <c r="P19" s="87">
        <f>'Achalandage journalier'!P267</f>
        <v>5060</v>
      </c>
      <c r="Q19" s="88">
        <f>'Achalandage journalier'!Q267</f>
        <v>54651</v>
      </c>
    </row>
    <row r="20" spans="2:17" ht="15" thickTop="1" thickBot="1" x14ac:dyDescent="0.2"/>
    <row r="21" spans="2:17" ht="15" thickTop="1" thickBot="1" x14ac:dyDescent="0.2">
      <c r="B21" s="1316" t="s">
        <v>40</v>
      </c>
      <c r="C21" s="1317"/>
      <c r="D21" s="97">
        <f t="shared" ref="D21:Q21" si="7">+D19/(D7*D9)</f>
        <v>1.8869047619047619</v>
      </c>
      <c r="E21" s="97">
        <f t="shared" si="7"/>
        <v>1.8869047619047619</v>
      </c>
      <c r="F21" s="97">
        <f t="shared" si="7"/>
        <v>2.7142857142857144</v>
      </c>
      <c r="G21" s="97">
        <f t="shared" si="7"/>
        <v>3.5416666666666665</v>
      </c>
      <c r="H21" s="97">
        <f t="shared" si="7"/>
        <v>4.3690476190476186</v>
      </c>
      <c r="I21" s="97">
        <f t="shared" si="7"/>
        <v>5.1964285714285712</v>
      </c>
      <c r="J21" s="97">
        <f t="shared" si="7"/>
        <v>6.0130952380952385</v>
      </c>
      <c r="K21" s="97">
        <f t="shared" si="7"/>
        <v>6.8511904761904763</v>
      </c>
      <c r="L21" s="97">
        <f t="shared" si="7"/>
        <v>6.8511904761904763</v>
      </c>
      <c r="M21" s="97">
        <f t="shared" si="7"/>
        <v>6.8511904761904763</v>
      </c>
      <c r="N21" s="97">
        <f t="shared" si="7"/>
        <v>6.8511904761904763</v>
      </c>
      <c r="O21" s="97">
        <f t="shared" si="7"/>
        <v>6.0238095238095237</v>
      </c>
      <c r="P21" s="97">
        <f t="shared" si="7"/>
        <v>6.0238095238095237</v>
      </c>
      <c r="Q21" s="98">
        <f t="shared" si="7"/>
        <v>5.0046703296703301</v>
      </c>
    </row>
    <row r="22" spans="2:17" ht="15" thickTop="1" thickBot="1" x14ac:dyDescent="0.2"/>
    <row r="23" spans="2:17" ht="15" thickTop="1" thickBot="1" x14ac:dyDescent="0.2">
      <c r="B23" s="1316" t="s">
        <v>41</v>
      </c>
      <c r="C23" s="1317"/>
      <c r="D23" s="89">
        <f t="shared" ref="D23:Q23" si="8">+D19/(D7*D9)</f>
        <v>1.8869047619047619</v>
      </c>
      <c r="E23" s="89">
        <f t="shared" si="8"/>
        <v>1.8869047619047619</v>
      </c>
      <c r="F23" s="89">
        <f t="shared" si="8"/>
        <v>2.7142857142857144</v>
      </c>
      <c r="G23" s="89">
        <f t="shared" si="8"/>
        <v>3.5416666666666665</v>
      </c>
      <c r="H23" s="89">
        <f t="shared" si="8"/>
        <v>4.3690476190476186</v>
      </c>
      <c r="I23" s="89">
        <f t="shared" si="8"/>
        <v>5.1964285714285712</v>
      </c>
      <c r="J23" s="89">
        <f t="shared" si="8"/>
        <v>6.0130952380952385</v>
      </c>
      <c r="K23" s="89">
        <f t="shared" si="8"/>
        <v>6.8511904761904763</v>
      </c>
      <c r="L23" s="89">
        <f t="shared" si="8"/>
        <v>6.8511904761904763</v>
      </c>
      <c r="M23" s="89">
        <f t="shared" si="8"/>
        <v>6.8511904761904763</v>
      </c>
      <c r="N23" s="89">
        <f t="shared" si="8"/>
        <v>6.8511904761904763</v>
      </c>
      <c r="O23" s="89">
        <f t="shared" si="8"/>
        <v>6.0238095238095237</v>
      </c>
      <c r="P23" s="89">
        <f t="shared" si="8"/>
        <v>6.0238095238095237</v>
      </c>
      <c r="Q23" s="90">
        <f t="shared" si="8"/>
        <v>5.0046703296703301</v>
      </c>
    </row>
    <row r="24" spans="2:17" ht="14" thickTop="1" x14ac:dyDescent="0.15"/>
  </sheetData>
  <sheetProtection algorithmName="SHA-512" hashValue="s9sXrETmqPzk9mISKnSHKT9FqftWfqZowhoOjmHWFPusbC33naWHx+04n1yDlDM9oyY0Ajk524LAkqF5x8QBkw==" saltValue="boIunDBYm8aKal8Wu6u0Ow==" spinCount="100000" sheet="1" objects="1" scenarios="1"/>
  <mergeCells count="9">
    <mergeCell ref="B19:C19"/>
    <mergeCell ref="B21:C21"/>
    <mergeCell ref="B23:C23"/>
    <mergeCell ref="B2:Q2"/>
    <mergeCell ref="B3:Q3"/>
    <mergeCell ref="B4:Q4"/>
    <mergeCell ref="B7:C7"/>
    <mergeCell ref="B8:C8"/>
    <mergeCell ref="B9:C9"/>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E0E6F-FC5C-984F-A056-9D1BCDCD8AA2}">
  <sheetPr codeName="Feuil4">
    <tabColor theme="1"/>
  </sheetPr>
  <dimension ref="A1:T642"/>
  <sheetViews>
    <sheetView topLeftCell="A38" zoomScale="130" zoomScaleNormal="130" workbookViewId="0">
      <selection activeCell="G64" sqref="G64"/>
    </sheetView>
  </sheetViews>
  <sheetFormatPr baseColWidth="10" defaultColWidth="10.6640625" defaultRowHeight="13" x14ac:dyDescent="0.15"/>
  <cols>
    <col min="1" max="1" width="10.6640625" style="138"/>
    <col min="2" max="2" width="5.33203125" style="138" customWidth="1"/>
    <col min="3" max="3" width="3.6640625" style="138" customWidth="1"/>
    <col min="4" max="4" width="69" style="138" bestFit="1" customWidth="1"/>
    <col min="5" max="5" width="52.1640625" style="138" bestFit="1" customWidth="1"/>
    <col min="6" max="6" width="21.6640625" style="138" bestFit="1" customWidth="1"/>
    <col min="7" max="7" width="30.1640625" style="138" bestFit="1" customWidth="1"/>
    <col min="8" max="8" width="47.5" style="138" bestFit="1" customWidth="1"/>
    <col min="9" max="9" width="9.83203125" style="138" bestFit="1" customWidth="1"/>
    <col min="10" max="10" width="7.6640625" style="138" customWidth="1"/>
    <col min="11" max="11" width="2.5" style="138" customWidth="1"/>
    <col min="12" max="12" width="23.5" style="138" customWidth="1"/>
    <col min="13" max="13" width="15.33203125" style="138" customWidth="1"/>
    <col min="14" max="14" width="19.1640625" style="138" customWidth="1"/>
    <col min="15" max="15" width="9.6640625" style="138" customWidth="1"/>
    <col min="16" max="16" width="7" style="138" customWidth="1"/>
    <col min="17" max="18" width="1.6640625" style="138" customWidth="1"/>
    <col min="19" max="19" width="4.6640625" style="138" customWidth="1"/>
    <col min="20" max="16384" width="10.6640625" style="138"/>
  </cols>
  <sheetData>
    <row r="1" spans="1:14" ht="13" customHeight="1" x14ac:dyDescent="0.15">
      <c r="A1" s="1343" t="s">
        <v>130</v>
      </c>
    </row>
    <row r="2" spans="1:14" ht="22" customHeight="1" x14ac:dyDescent="0.25">
      <c r="A2" s="1344"/>
      <c r="D2" s="284" t="s">
        <v>129</v>
      </c>
      <c r="F2" s="280"/>
    </row>
    <row r="3" spans="1:14" ht="23" thickBot="1" x14ac:dyDescent="0.3">
      <c r="A3" s="1344"/>
      <c r="D3" s="282"/>
    </row>
    <row r="4" spans="1:14" ht="23" customHeight="1" thickTop="1" x14ac:dyDescent="0.25">
      <c r="A4" s="1344"/>
      <c r="D4" s="282"/>
      <c r="E4" s="1335" t="s">
        <v>128</v>
      </c>
      <c r="F4" s="1335" t="s">
        <v>127</v>
      </c>
      <c r="G4" s="1335" t="s">
        <v>126</v>
      </c>
      <c r="H4" s="1335" t="s">
        <v>125</v>
      </c>
      <c r="I4" s="283"/>
      <c r="L4" s="1329" t="s">
        <v>79</v>
      </c>
      <c r="M4" s="1329" t="s">
        <v>78</v>
      </c>
      <c r="N4" s="206"/>
    </row>
    <row r="5" spans="1:14" ht="22" x14ac:dyDescent="0.25">
      <c r="A5" s="1344"/>
      <c r="D5" s="282"/>
      <c r="E5" s="1336"/>
      <c r="F5" s="1338"/>
      <c r="G5" s="1338"/>
      <c r="H5" s="1338"/>
      <c r="I5" s="281"/>
      <c r="L5" s="1330"/>
      <c r="M5" s="1340"/>
      <c r="N5" s="206"/>
    </row>
    <row r="6" spans="1:14" ht="17" customHeight="1" thickBot="1" x14ac:dyDescent="0.25">
      <c r="A6" s="1344"/>
      <c r="E6" s="1337"/>
      <c r="F6" s="1339"/>
      <c r="G6" s="1339"/>
      <c r="H6" s="1339"/>
      <c r="I6" s="281"/>
      <c r="L6" s="1331"/>
      <c r="M6" s="1341"/>
      <c r="N6" s="206"/>
    </row>
    <row r="7" spans="1:14" ht="18" thickTop="1" thickBot="1" x14ac:dyDescent="0.25">
      <c r="A7" s="1344"/>
      <c r="B7" s="138" t="s">
        <v>1</v>
      </c>
      <c r="E7" s="280"/>
      <c r="F7" s="280"/>
      <c r="G7" s="279"/>
      <c r="L7" s="286"/>
      <c r="N7" s="206"/>
    </row>
    <row r="8" spans="1:14" ht="19" thickTop="1" x14ac:dyDescent="0.3">
      <c r="A8" s="1344"/>
      <c r="B8" s="171"/>
      <c r="C8" s="171"/>
      <c r="D8" s="238" t="s">
        <v>124</v>
      </c>
      <c r="E8" s="261"/>
      <c r="F8" s="261"/>
      <c r="G8" s="241"/>
      <c r="H8" s="171"/>
      <c r="I8" s="171"/>
      <c r="J8" s="171"/>
      <c r="K8" s="171"/>
      <c r="L8" s="278"/>
      <c r="M8" s="294"/>
      <c r="N8" s="206"/>
    </row>
    <row r="9" spans="1:14" ht="18" x14ac:dyDescent="0.3">
      <c r="A9" s="1344"/>
      <c r="B9" s="171">
        <v>1</v>
      </c>
      <c r="C9" s="171">
        <v>1</v>
      </c>
      <c r="D9" s="171" t="s">
        <v>123</v>
      </c>
      <c r="E9" s="1023">
        <v>1.21</v>
      </c>
      <c r="F9" s="1024">
        <v>3.3</v>
      </c>
      <c r="G9" s="263">
        <f t="shared" ref="G9:G21" si="0">E9/F9</f>
        <v>0.3666666666666667</v>
      </c>
      <c r="H9" s="262">
        <f t="shared" ref="H9:H21" si="1">F9-E9</f>
        <v>2.09</v>
      </c>
      <c r="I9" s="261">
        <f>F9</f>
        <v>3.3</v>
      </c>
      <c r="J9" s="1342">
        <f>3/12</f>
        <v>0.25</v>
      </c>
      <c r="K9" s="266"/>
      <c r="L9" s="276"/>
      <c r="M9" s="293"/>
      <c r="N9" s="206"/>
    </row>
    <row r="10" spans="1:14" ht="18" x14ac:dyDescent="0.3">
      <c r="A10" s="1344"/>
      <c r="B10" s="171">
        <v>2</v>
      </c>
      <c r="C10" s="171">
        <v>2</v>
      </c>
      <c r="D10" s="171" t="s">
        <v>122</v>
      </c>
      <c r="E10" s="1023">
        <v>1.31</v>
      </c>
      <c r="F10" s="1024">
        <v>3.8</v>
      </c>
      <c r="G10" s="263">
        <f t="shared" si="0"/>
        <v>0.34473684210526317</v>
      </c>
      <c r="H10" s="262">
        <f t="shared" si="1"/>
        <v>2.4899999999999998</v>
      </c>
      <c r="I10" s="261"/>
      <c r="J10" s="1333"/>
      <c r="K10" s="260"/>
      <c r="L10" s="228"/>
      <c r="M10" s="293"/>
      <c r="N10" s="206"/>
    </row>
    <row r="11" spans="1:14" ht="19" thickBot="1" x14ac:dyDescent="0.35">
      <c r="A11" s="1344"/>
      <c r="B11" s="272">
        <v>3</v>
      </c>
      <c r="C11" s="272">
        <v>3</v>
      </c>
      <c r="D11" s="272" t="s">
        <v>121</v>
      </c>
      <c r="E11" s="1025">
        <v>1.35</v>
      </c>
      <c r="F11" s="1026">
        <v>4</v>
      </c>
      <c r="G11" s="269">
        <f t="shared" si="0"/>
        <v>0.33750000000000002</v>
      </c>
      <c r="H11" s="268">
        <f t="shared" si="1"/>
        <v>2.65</v>
      </c>
      <c r="I11" s="267">
        <f>+I9+1.1</f>
        <v>4.4000000000000004</v>
      </c>
      <c r="J11" s="1334"/>
      <c r="K11" s="260"/>
      <c r="L11" s="228"/>
      <c r="M11" s="293"/>
      <c r="N11" s="206"/>
    </row>
    <row r="12" spans="1:14" ht="18" x14ac:dyDescent="0.3">
      <c r="A12" s="1344"/>
      <c r="B12" s="171">
        <v>4</v>
      </c>
      <c r="C12" s="171">
        <v>4</v>
      </c>
      <c r="D12" s="171" t="s">
        <v>120</v>
      </c>
      <c r="E12" s="1023">
        <v>1.4</v>
      </c>
      <c r="F12" s="1024">
        <v>4.5</v>
      </c>
      <c r="G12" s="263">
        <f t="shared" si="0"/>
        <v>0.31111111111111112</v>
      </c>
      <c r="H12" s="262">
        <f t="shared" si="1"/>
        <v>3.1</v>
      </c>
      <c r="I12" s="261">
        <f>+I11+0.01</f>
        <v>4.41</v>
      </c>
      <c r="J12" s="1332">
        <f>7/12</f>
        <v>0.58333333333333337</v>
      </c>
      <c r="K12" s="266"/>
      <c r="L12" s="228"/>
      <c r="M12" s="293"/>
      <c r="N12" s="206"/>
    </row>
    <row r="13" spans="1:14" ht="18" x14ac:dyDescent="0.3">
      <c r="A13" s="1344"/>
      <c r="B13" s="171">
        <v>5</v>
      </c>
      <c r="C13" s="171">
        <v>5</v>
      </c>
      <c r="D13" s="171" t="s">
        <v>119</v>
      </c>
      <c r="E13" s="1023">
        <v>1.24</v>
      </c>
      <c r="F13" s="1024">
        <v>4.5999999999999996</v>
      </c>
      <c r="G13" s="263">
        <f t="shared" si="0"/>
        <v>0.26956521739130435</v>
      </c>
      <c r="H13" s="262">
        <f t="shared" si="1"/>
        <v>3.3599999999999994</v>
      </c>
      <c r="I13" s="261"/>
      <c r="J13" s="1333"/>
      <c r="K13" s="260"/>
      <c r="L13" s="228"/>
      <c r="M13" s="293"/>
      <c r="N13" s="206"/>
    </row>
    <row r="14" spans="1:14" ht="18" x14ac:dyDescent="0.3">
      <c r="A14" s="1344"/>
      <c r="B14" s="171">
        <v>6</v>
      </c>
      <c r="C14" s="171">
        <v>6</v>
      </c>
      <c r="D14" s="171" t="s">
        <v>118</v>
      </c>
      <c r="E14" s="1023">
        <v>1.39</v>
      </c>
      <c r="F14" s="1024">
        <v>4.7</v>
      </c>
      <c r="G14" s="263">
        <f t="shared" si="0"/>
        <v>0.29574468085106381</v>
      </c>
      <c r="H14" s="262">
        <f t="shared" si="1"/>
        <v>3.3100000000000005</v>
      </c>
      <c r="I14" s="261"/>
      <c r="J14" s="1333"/>
      <c r="K14" s="260"/>
      <c r="L14" s="228"/>
      <c r="M14" s="293"/>
      <c r="N14" s="206"/>
    </row>
    <row r="15" spans="1:14" ht="18" x14ac:dyDescent="0.3">
      <c r="A15" s="1344"/>
      <c r="B15" s="171">
        <v>7</v>
      </c>
      <c r="C15" s="171">
        <v>7</v>
      </c>
      <c r="D15" s="171" t="s">
        <v>117</v>
      </c>
      <c r="E15" s="1023">
        <v>1.51</v>
      </c>
      <c r="F15" s="1024">
        <v>4.8</v>
      </c>
      <c r="G15" s="263">
        <f t="shared" si="0"/>
        <v>0.31458333333333333</v>
      </c>
      <c r="H15" s="262">
        <f t="shared" si="1"/>
        <v>3.29</v>
      </c>
      <c r="I15" s="261"/>
      <c r="J15" s="1333"/>
      <c r="K15" s="260"/>
      <c r="L15" s="228"/>
      <c r="M15" s="293"/>
      <c r="N15" s="206"/>
    </row>
    <row r="16" spans="1:14" ht="18" x14ac:dyDescent="0.3">
      <c r="A16" s="1344"/>
      <c r="B16" s="171">
        <v>8</v>
      </c>
      <c r="C16" s="171">
        <v>8</v>
      </c>
      <c r="D16" s="171" t="s">
        <v>116</v>
      </c>
      <c r="E16" s="1023">
        <v>1.53</v>
      </c>
      <c r="F16" s="1024">
        <v>4.9000000000000004</v>
      </c>
      <c r="G16" s="263">
        <f t="shared" si="0"/>
        <v>0.31224489795918364</v>
      </c>
      <c r="H16" s="262">
        <f t="shared" si="1"/>
        <v>3.37</v>
      </c>
      <c r="I16" s="261"/>
      <c r="J16" s="1333"/>
      <c r="K16" s="260"/>
      <c r="L16" s="228"/>
      <c r="M16" s="293"/>
      <c r="N16" s="206"/>
    </row>
    <row r="17" spans="1:14" ht="18" x14ac:dyDescent="0.3">
      <c r="A17" s="1344"/>
      <c r="B17" s="171">
        <v>9</v>
      </c>
      <c r="C17" s="171">
        <v>9</v>
      </c>
      <c r="D17" s="171" t="s">
        <v>115</v>
      </c>
      <c r="E17" s="1023">
        <v>1.55</v>
      </c>
      <c r="F17" s="1024">
        <v>5</v>
      </c>
      <c r="G17" s="263">
        <f t="shared" si="0"/>
        <v>0.31</v>
      </c>
      <c r="H17" s="262">
        <f t="shared" si="1"/>
        <v>3.45</v>
      </c>
      <c r="I17" s="261"/>
      <c r="J17" s="1333"/>
      <c r="K17" s="260"/>
      <c r="L17" s="228"/>
      <c r="M17" s="293"/>
      <c r="N17" s="206"/>
    </row>
    <row r="18" spans="1:14" ht="19" thickBot="1" x14ac:dyDescent="0.35">
      <c r="A18" s="1344"/>
      <c r="B18" s="272">
        <v>10</v>
      </c>
      <c r="C18" s="272">
        <v>10</v>
      </c>
      <c r="D18" s="272" t="s">
        <v>114</v>
      </c>
      <c r="E18" s="1025">
        <v>1.59</v>
      </c>
      <c r="F18" s="1026">
        <v>5.2</v>
      </c>
      <c r="G18" s="269">
        <f t="shared" si="0"/>
        <v>0.30576923076923079</v>
      </c>
      <c r="H18" s="268">
        <f t="shared" si="1"/>
        <v>3.6100000000000003</v>
      </c>
      <c r="I18" s="267">
        <f>+I11+1.1</f>
        <v>5.5</v>
      </c>
      <c r="J18" s="1334"/>
      <c r="K18" s="260"/>
      <c r="L18" s="228"/>
      <c r="M18" s="293"/>
      <c r="N18" s="206"/>
    </row>
    <row r="19" spans="1:14" ht="18" x14ac:dyDescent="0.3">
      <c r="A19" s="1344"/>
      <c r="B19" s="171">
        <v>11</v>
      </c>
      <c r="C19" s="171">
        <v>11</v>
      </c>
      <c r="D19" s="171" t="s">
        <v>113</v>
      </c>
      <c r="E19" s="1023">
        <v>1.83</v>
      </c>
      <c r="F19" s="1024">
        <v>6.4</v>
      </c>
      <c r="G19" s="263">
        <f t="shared" si="0"/>
        <v>0.28593750000000001</v>
      </c>
      <c r="H19" s="262">
        <f t="shared" si="1"/>
        <v>4.57</v>
      </c>
      <c r="I19" s="261">
        <f>+I18+0.01</f>
        <v>5.51</v>
      </c>
      <c r="J19" s="1332">
        <f>2/12</f>
        <v>0.16666666666666666</v>
      </c>
      <c r="K19" s="266"/>
      <c r="L19" s="228"/>
      <c r="M19" s="293"/>
      <c r="N19" s="206"/>
    </row>
    <row r="20" spans="1:14" ht="18" x14ac:dyDescent="0.3">
      <c r="A20" s="1344"/>
      <c r="B20" s="171">
        <v>12</v>
      </c>
      <c r="C20" s="171">
        <v>12</v>
      </c>
      <c r="D20" s="171" t="s">
        <v>112</v>
      </c>
      <c r="E20" s="1023">
        <v>1.87</v>
      </c>
      <c r="F20" s="1024">
        <v>6.6</v>
      </c>
      <c r="G20" s="263">
        <f t="shared" si="0"/>
        <v>0.28333333333333338</v>
      </c>
      <c r="H20" s="262">
        <f t="shared" si="1"/>
        <v>4.7299999999999995</v>
      </c>
      <c r="I20" s="261">
        <f>F20</f>
        <v>6.6</v>
      </c>
      <c r="J20" s="1333"/>
      <c r="K20" s="260"/>
      <c r="L20" s="228"/>
      <c r="M20" s="293"/>
      <c r="N20" s="206"/>
    </row>
    <row r="21" spans="1:14" ht="19" x14ac:dyDescent="0.35">
      <c r="A21" s="1344"/>
      <c r="B21" s="171"/>
      <c r="C21" s="171"/>
      <c r="D21" s="238" t="s">
        <v>111</v>
      </c>
      <c r="E21" s="259">
        <f>SUM(E9:E20)/C20</f>
        <v>1.4816666666666667</v>
      </c>
      <c r="F21" s="237">
        <f>SUM(F9:F20)/C20</f>
        <v>4.8166666666666673</v>
      </c>
      <c r="G21" s="274">
        <f t="shared" si="0"/>
        <v>0.30761245674740478</v>
      </c>
      <c r="H21" s="257">
        <f t="shared" si="1"/>
        <v>3.3350000000000009</v>
      </c>
      <c r="I21" s="256"/>
      <c r="J21" s="171"/>
      <c r="K21" s="171"/>
      <c r="L21" s="1022">
        <v>1</v>
      </c>
      <c r="M21" s="295" t="s">
        <v>1</v>
      </c>
      <c r="N21" s="206"/>
    </row>
    <row r="22" spans="1:14" ht="18" x14ac:dyDescent="0.3">
      <c r="A22" s="1344"/>
      <c r="B22" s="171" t="s">
        <v>1</v>
      </c>
      <c r="C22" s="171"/>
      <c r="D22" s="171"/>
      <c r="E22" s="242"/>
      <c r="F22" s="242"/>
      <c r="G22" s="263"/>
      <c r="H22" s="240"/>
      <c r="I22" s="261"/>
      <c r="J22" s="171"/>
      <c r="K22" s="171"/>
      <c r="L22" s="228"/>
      <c r="M22" s="293"/>
      <c r="N22" s="206"/>
    </row>
    <row r="23" spans="1:14" ht="18" x14ac:dyDescent="0.3">
      <c r="A23" s="1344"/>
      <c r="B23" s="171"/>
      <c r="C23" s="171"/>
      <c r="D23" s="238" t="s">
        <v>110</v>
      </c>
      <c r="E23" s="242"/>
      <c r="F23" s="242"/>
      <c r="G23" s="263"/>
      <c r="H23" s="240"/>
      <c r="I23" s="261"/>
      <c r="J23" s="171"/>
      <c r="K23" s="171"/>
      <c r="L23" s="228"/>
      <c r="M23" s="293"/>
      <c r="N23" s="206"/>
    </row>
    <row r="24" spans="1:14" ht="18" x14ac:dyDescent="0.3">
      <c r="A24" s="1344"/>
      <c r="B24" s="171">
        <v>13</v>
      </c>
      <c r="C24" s="171">
        <v>1</v>
      </c>
      <c r="D24" s="171" t="s">
        <v>109</v>
      </c>
      <c r="E24" s="265">
        <f>1.14*2</f>
        <v>2.2799999999999998</v>
      </c>
      <c r="F24" s="264">
        <f>3.3*2</f>
        <v>6.6</v>
      </c>
      <c r="G24" s="263">
        <f t="shared" ref="G24:G36" si="2">E24/F24</f>
        <v>0.34545454545454546</v>
      </c>
      <c r="H24" s="262">
        <f t="shared" ref="H24:H36" si="3">F24-E24</f>
        <v>4.32</v>
      </c>
      <c r="I24" s="261">
        <f>F24</f>
        <v>6.6</v>
      </c>
      <c r="J24" s="1342">
        <f>3/12</f>
        <v>0.25</v>
      </c>
      <c r="K24" s="266"/>
      <c r="L24" s="228"/>
      <c r="M24" s="293"/>
      <c r="N24" s="206"/>
    </row>
    <row r="25" spans="1:14" ht="18" x14ac:dyDescent="0.3">
      <c r="A25" s="1344"/>
      <c r="B25" s="171">
        <v>14</v>
      </c>
      <c r="C25" s="171">
        <v>2</v>
      </c>
      <c r="D25" s="171" t="s">
        <v>108</v>
      </c>
      <c r="E25" s="265">
        <f>1.33*2</f>
        <v>2.66</v>
      </c>
      <c r="F25" s="264">
        <f>3.8*2</f>
        <v>7.6</v>
      </c>
      <c r="G25" s="263">
        <f t="shared" si="2"/>
        <v>0.35000000000000003</v>
      </c>
      <c r="H25" s="262">
        <f t="shared" si="3"/>
        <v>4.9399999999999995</v>
      </c>
      <c r="I25" s="261"/>
      <c r="J25" s="1333"/>
      <c r="K25" s="260"/>
      <c r="L25" s="228"/>
      <c r="M25" s="293"/>
      <c r="N25" s="206"/>
    </row>
    <row r="26" spans="1:14" ht="19" thickBot="1" x14ac:dyDescent="0.35">
      <c r="A26" s="1344"/>
      <c r="B26" s="272">
        <v>15</v>
      </c>
      <c r="C26" s="272">
        <v>3</v>
      </c>
      <c r="D26" s="272" t="s">
        <v>107</v>
      </c>
      <c r="E26" s="271">
        <f>1.37*2</f>
        <v>2.74</v>
      </c>
      <c r="F26" s="270">
        <f>4*2</f>
        <v>8</v>
      </c>
      <c r="G26" s="269">
        <f t="shared" si="2"/>
        <v>0.34250000000000003</v>
      </c>
      <c r="H26" s="268">
        <f t="shared" si="3"/>
        <v>5.26</v>
      </c>
      <c r="I26" s="267">
        <f>+I24+2.2</f>
        <v>8.8000000000000007</v>
      </c>
      <c r="J26" s="1334"/>
      <c r="K26" s="260"/>
      <c r="L26" s="228"/>
      <c r="M26" s="293"/>
      <c r="N26" s="206"/>
    </row>
    <row r="27" spans="1:14" ht="18" x14ac:dyDescent="0.3">
      <c r="A27" s="1344"/>
      <c r="B27" s="171">
        <v>16</v>
      </c>
      <c r="C27" s="171">
        <v>4</v>
      </c>
      <c r="D27" s="171" t="s">
        <v>106</v>
      </c>
      <c r="E27" s="265">
        <f>1.36*2</f>
        <v>2.72</v>
      </c>
      <c r="F27" s="264">
        <f>4.5*2</f>
        <v>9</v>
      </c>
      <c r="G27" s="263">
        <f t="shared" si="2"/>
        <v>0.30222222222222223</v>
      </c>
      <c r="H27" s="262">
        <f t="shared" si="3"/>
        <v>6.2799999999999994</v>
      </c>
      <c r="I27" s="261">
        <f>+I26+0.01</f>
        <v>8.81</v>
      </c>
      <c r="J27" s="1332">
        <f>7/12</f>
        <v>0.58333333333333337</v>
      </c>
      <c r="K27" s="266"/>
      <c r="L27" s="228"/>
      <c r="M27" s="293"/>
      <c r="N27" s="206"/>
    </row>
    <row r="28" spans="1:14" ht="18" x14ac:dyDescent="0.3">
      <c r="A28" s="1344"/>
      <c r="B28" s="171">
        <v>17</v>
      </c>
      <c r="C28" s="171">
        <v>5</v>
      </c>
      <c r="D28" s="171" t="s">
        <v>105</v>
      </c>
      <c r="E28" s="265">
        <f>1.38*2</f>
        <v>2.76</v>
      </c>
      <c r="F28" s="264">
        <f>4.6*2</f>
        <v>9.1999999999999993</v>
      </c>
      <c r="G28" s="263">
        <f t="shared" si="2"/>
        <v>0.3</v>
      </c>
      <c r="H28" s="262">
        <f t="shared" si="3"/>
        <v>6.4399999999999995</v>
      </c>
      <c r="I28" s="261"/>
      <c r="J28" s="1333"/>
      <c r="K28" s="260"/>
      <c r="L28" s="228"/>
      <c r="M28" s="293"/>
      <c r="N28" s="206"/>
    </row>
    <row r="29" spans="1:14" ht="18" x14ac:dyDescent="0.3">
      <c r="A29" s="1344"/>
      <c r="B29" s="171">
        <v>18</v>
      </c>
      <c r="C29" s="171">
        <v>6</v>
      </c>
      <c r="D29" s="171" t="s">
        <v>104</v>
      </c>
      <c r="E29" s="265">
        <f>1.4*2</f>
        <v>2.8</v>
      </c>
      <c r="F29" s="264">
        <f>4.7*2</f>
        <v>9.4</v>
      </c>
      <c r="G29" s="263">
        <f t="shared" si="2"/>
        <v>0.2978723404255319</v>
      </c>
      <c r="H29" s="262">
        <f t="shared" si="3"/>
        <v>6.6000000000000005</v>
      </c>
      <c r="I29" s="261"/>
      <c r="J29" s="1333"/>
      <c r="K29" s="260"/>
      <c r="L29" s="228"/>
      <c r="M29" s="293"/>
      <c r="N29" s="206"/>
    </row>
    <row r="30" spans="1:14" ht="18" x14ac:dyDescent="0.3">
      <c r="A30" s="1344"/>
      <c r="B30" s="171">
        <v>19</v>
      </c>
      <c r="C30" s="171">
        <v>7</v>
      </c>
      <c r="D30" s="171" t="s">
        <v>103</v>
      </c>
      <c r="E30" s="265">
        <f>1.41*2</f>
        <v>2.82</v>
      </c>
      <c r="F30" s="264">
        <f>4.8*2</f>
        <v>9.6</v>
      </c>
      <c r="G30" s="263">
        <f t="shared" si="2"/>
        <v>0.29375000000000001</v>
      </c>
      <c r="H30" s="262">
        <f t="shared" si="3"/>
        <v>6.7799999999999994</v>
      </c>
      <c r="I30" s="261"/>
      <c r="J30" s="1333"/>
      <c r="K30" s="260"/>
      <c r="L30" s="228"/>
      <c r="M30" s="293"/>
      <c r="N30" s="206"/>
    </row>
    <row r="31" spans="1:14" ht="18" x14ac:dyDescent="0.3">
      <c r="A31" s="1344"/>
      <c r="B31" s="171">
        <v>20</v>
      </c>
      <c r="C31" s="171">
        <v>8</v>
      </c>
      <c r="D31" s="171" t="s">
        <v>102</v>
      </c>
      <c r="E31" s="265">
        <f>1.43*2</f>
        <v>2.86</v>
      </c>
      <c r="F31" s="264">
        <f>4.9*2</f>
        <v>9.8000000000000007</v>
      </c>
      <c r="G31" s="263">
        <f t="shared" si="2"/>
        <v>0.2918367346938775</v>
      </c>
      <c r="H31" s="262">
        <f t="shared" si="3"/>
        <v>6.9400000000000013</v>
      </c>
      <c r="I31" s="261"/>
      <c r="J31" s="1333"/>
      <c r="K31" s="260"/>
      <c r="L31" s="228"/>
      <c r="M31" s="293"/>
      <c r="N31" s="206"/>
    </row>
    <row r="32" spans="1:14" ht="18" x14ac:dyDescent="0.3">
      <c r="A32" s="1344"/>
      <c r="B32" s="171">
        <v>21</v>
      </c>
      <c r="C32" s="171">
        <v>9</v>
      </c>
      <c r="D32" s="171" t="s">
        <v>101</v>
      </c>
      <c r="E32" s="265">
        <f>1.45*2</f>
        <v>2.9</v>
      </c>
      <c r="F32" s="264">
        <f>5*2</f>
        <v>10</v>
      </c>
      <c r="G32" s="263">
        <f t="shared" si="2"/>
        <v>0.28999999999999998</v>
      </c>
      <c r="H32" s="262">
        <f t="shared" si="3"/>
        <v>7.1</v>
      </c>
      <c r="I32" s="261"/>
      <c r="J32" s="1333"/>
      <c r="K32" s="260"/>
      <c r="L32" s="228"/>
      <c r="M32" s="293"/>
      <c r="N32" s="206"/>
    </row>
    <row r="33" spans="1:20" ht="19" thickBot="1" x14ac:dyDescent="0.35">
      <c r="A33" s="1344"/>
      <c r="B33" s="272">
        <v>22</v>
      </c>
      <c r="C33" s="272">
        <v>10</v>
      </c>
      <c r="D33" s="272" t="s">
        <v>100</v>
      </c>
      <c r="E33" s="271">
        <f>1.49*2</f>
        <v>2.98</v>
      </c>
      <c r="F33" s="270">
        <f>5.2*2</f>
        <v>10.4</v>
      </c>
      <c r="G33" s="269">
        <f t="shared" si="2"/>
        <v>0.28653846153846152</v>
      </c>
      <c r="H33" s="268">
        <f t="shared" si="3"/>
        <v>7.42</v>
      </c>
      <c r="I33" s="267">
        <f>+I26+2.2</f>
        <v>11</v>
      </c>
      <c r="J33" s="1334"/>
      <c r="K33" s="260"/>
      <c r="L33" s="228"/>
      <c r="M33" s="293"/>
      <c r="N33" s="206"/>
    </row>
    <row r="34" spans="1:20" ht="18" x14ac:dyDescent="0.3">
      <c r="A34" s="1344"/>
      <c r="B34" s="171">
        <v>23</v>
      </c>
      <c r="C34" s="171">
        <v>11</v>
      </c>
      <c r="D34" s="171" t="s">
        <v>99</v>
      </c>
      <c r="E34" s="265">
        <f>1.59*2</f>
        <v>3.18</v>
      </c>
      <c r="F34" s="264">
        <f>5.8*2</f>
        <v>11.6</v>
      </c>
      <c r="G34" s="263">
        <f t="shared" si="2"/>
        <v>0.27413793103448281</v>
      </c>
      <c r="H34" s="262">
        <f t="shared" si="3"/>
        <v>8.42</v>
      </c>
      <c r="I34" s="261">
        <f>+I33+0.01</f>
        <v>11.01</v>
      </c>
      <c r="J34" s="1332">
        <f>2/12</f>
        <v>0.16666666666666666</v>
      </c>
      <c r="K34" s="266"/>
      <c r="L34" s="228"/>
      <c r="M34" s="293"/>
      <c r="N34" s="206"/>
    </row>
    <row r="35" spans="1:20" ht="18" x14ac:dyDescent="0.3">
      <c r="A35" s="1344"/>
      <c r="B35" s="171">
        <v>24</v>
      </c>
      <c r="C35" s="171">
        <v>12</v>
      </c>
      <c r="D35" s="171" t="s">
        <v>98</v>
      </c>
      <c r="E35" s="265">
        <f>1.74*2</f>
        <v>3.48</v>
      </c>
      <c r="F35" s="264">
        <f>6.6*2</f>
        <v>13.2</v>
      </c>
      <c r="G35" s="263">
        <f t="shared" si="2"/>
        <v>0.26363636363636367</v>
      </c>
      <c r="H35" s="262">
        <f t="shared" si="3"/>
        <v>9.7199999999999989</v>
      </c>
      <c r="I35" s="261">
        <f>F35</f>
        <v>13.2</v>
      </c>
      <c r="J35" s="1333"/>
      <c r="K35" s="260"/>
      <c r="L35" s="228"/>
      <c r="M35" s="293"/>
      <c r="N35" s="206"/>
    </row>
    <row r="36" spans="1:20" ht="19" x14ac:dyDescent="0.35">
      <c r="A36" s="1344"/>
      <c r="B36" s="171"/>
      <c r="C36" s="171"/>
      <c r="D36" s="238" t="s">
        <v>97</v>
      </c>
      <c r="E36" s="259">
        <f>SUM(E24:E35)/C35</f>
        <v>2.8483333333333332</v>
      </c>
      <c r="F36" s="259">
        <f>SUM(F24:F35)/C35</f>
        <v>9.5333333333333332</v>
      </c>
      <c r="G36" s="258">
        <f t="shared" si="2"/>
        <v>0.29877622377622376</v>
      </c>
      <c r="H36" s="257">
        <f t="shared" si="3"/>
        <v>6.6850000000000005</v>
      </c>
      <c r="I36" s="256"/>
      <c r="J36" s="171"/>
      <c r="K36" s="171"/>
      <c r="L36" s="1027">
        <v>1</v>
      </c>
      <c r="M36" s="227" t="s">
        <v>1</v>
      </c>
      <c r="N36" s="206"/>
    </row>
    <row r="37" spans="1:20" ht="19" thickBot="1" x14ac:dyDescent="0.35">
      <c r="A37" s="1344"/>
      <c r="B37" s="171"/>
      <c r="C37" s="171"/>
      <c r="D37" s="171"/>
      <c r="E37" s="242"/>
      <c r="F37" s="242"/>
      <c r="G37" s="241"/>
      <c r="H37" s="240"/>
      <c r="I37" s="171"/>
      <c r="J37" s="171"/>
      <c r="K37" s="171"/>
      <c r="L37" s="228"/>
      <c r="M37" s="293"/>
      <c r="N37" s="206"/>
    </row>
    <row r="38" spans="1:20" ht="21" thickTop="1" thickBot="1" x14ac:dyDescent="0.4">
      <c r="A38" s="1344"/>
      <c r="B38" s="171"/>
      <c r="C38" s="253"/>
      <c r="D38" s="252"/>
      <c r="E38" s="251"/>
      <c r="F38" s="251"/>
      <c r="G38" s="250"/>
      <c r="H38" s="249"/>
      <c r="I38" s="248"/>
      <c r="J38" s="171"/>
      <c r="K38" s="171"/>
      <c r="L38" s="228"/>
      <c r="M38" s="293"/>
      <c r="N38" s="206"/>
      <c r="P38" s="291"/>
      <c r="Q38" s="291"/>
      <c r="R38" s="291"/>
      <c r="S38" s="291"/>
      <c r="T38" s="291"/>
    </row>
    <row r="39" spans="1:20" ht="20" thickTop="1" thickBot="1" x14ac:dyDescent="0.35">
      <c r="A39" s="1344"/>
      <c r="B39" s="171"/>
      <c r="C39" s="233"/>
      <c r="D39" s="238"/>
      <c r="E39" s="247" t="s">
        <v>56</v>
      </c>
      <c r="F39" s="247" t="s">
        <v>53</v>
      </c>
      <c r="G39" s="246" t="s">
        <v>96</v>
      </c>
      <c r="H39" s="245" t="s">
        <v>58</v>
      </c>
      <c r="I39" s="244"/>
      <c r="J39" s="171"/>
      <c r="K39" s="171"/>
      <c r="L39" s="228"/>
      <c r="M39" s="293"/>
      <c r="N39" s="206"/>
      <c r="P39" s="291"/>
      <c r="Q39" s="291"/>
      <c r="R39" s="291"/>
      <c r="S39" s="291"/>
      <c r="T39" s="291"/>
    </row>
    <row r="40" spans="1:20" ht="19" thickTop="1" x14ac:dyDescent="0.3">
      <c r="A40" s="1344"/>
      <c r="B40" s="171"/>
      <c r="C40" s="233"/>
      <c r="D40" s="243" t="s">
        <v>95</v>
      </c>
      <c r="E40" s="242"/>
      <c r="F40" s="242"/>
      <c r="G40" s="241"/>
      <c r="H40" s="240"/>
      <c r="I40" s="239"/>
      <c r="J40" s="171"/>
      <c r="K40" s="171"/>
      <c r="L40" s="228"/>
      <c r="M40" s="293"/>
      <c r="N40" s="206"/>
      <c r="P40" s="291"/>
      <c r="Q40" s="291"/>
      <c r="R40" s="291"/>
      <c r="S40" s="291"/>
      <c r="T40" s="291"/>
    </row>
    <row r="41" spans="1:20" ht="19" x14ac:dyDescent="0.35">
      <c r="A41" s="1344"/>
      <c r="B41" s="171"/>
      <c r="C41" s="233"/>
      <c r="D41" s="238" t="s">
        <v>94</v>
      </c>
      <c r="E41" s="237">
        <f>+(E9+E10+E11+E12+E13+E14+E15+E16+E17+E18+E19+E20+E24+E25+E26+E27+E28+E29+E30+E31+E32+E33+E34+E35)/B35</f>
        <v>2.1649999999999996</v>
      </c>
      <c r="F41" s="237">
        <f>+(F9+F10+F11+F12+F13+F14+F15+F16+F17+F18+F19+F20+F24+F25+F26+F27+F28+F29+F30+F31+F32+F33+F34+F35)/B35</f>
        <v>7.1749999999999998</v>
      </c>
      <c r="G41" s="236">
        <f>E41/F41</f>
        <v>0.30174216027874562</v>
      </c>
      <c r="H41" s="235">
        <f>F41-E41</f>
        <v>5.01</v>
      </c>
      <c r="I41" s="234"/>
      <c r="J41" s="171"/>
      <c r="K41" s="171"/>
      <c r="L41" s="228">
        <f>+L21+L36</f>
        <v>2</v>
      </c>
      <c r="M41" s="227">
        <f>'% Occupation'!D19</f>
        <v>1585</v>
      </c>
      <c r="N41" s="206"/>
      <c r="P41" s="291"/>
      <c r="Q41" s="291"/>
      <c r="R41" s="291"/>
      <c r="S41" s="291"/>
      <c r="T41" s="291"/>
    </row>
    <row r="42" spans="1:20" ht="18" x14ac:dyDescent="0.3">
      <c r="A42" s="1344"/>
      <c r="B42" s="171"/>
      <c r="C42" s="233"/>
      <c r="D42" s="171"/>
      <c r="E42" s="232"/>
      <c r="F42" s="232"/>
      <c r="G42" s="231"/>
      <c r="H42" s="230"/>
      <c r="I42" s="229"/>
      <c r="J42" s="171"/>
      <c r="K42" s="171"/>
      <c r="L42" s="228"/>
      <c r="M42" s="293"/>
      <c r="N42" s="206"/>
      <c r="P42" s="291"/>
      <c r="Q42" s="291"/>
      <c r="R42" s="291"/>
      <c r="S42" s="291"/>
      <c r="T42" s="291"/>
    </row>
    <row r="43" spans="1:20" ht="19" thickBot="1" x14ac:dyDescent="0.35">
      <c r="A43" s="1344"/>
      <c r="B43" s="171"/>
      <c r="C43" s="226"/>
      <c r="D43" s="225"/>
      <c r="E43" s="224"/>
      <c r="F43" s="224"/>
      <c r="G43" s="223"/>
      <c r="H43" s="222"/>
      <c r="I43" s="221"/>
      <c r="J43" s="171"/>
      <c r="K43" s="171"/>
      <c r="L43" s="220"/>
      <c r="M43" s="292"/>
      <c r="N43" s="206"/>
      <c r="P43" s="291"/>
      <c r="Q43" s="291"/>
      <c r="R43" s="291"/>
      <c r="S43" s="291"/>
      <c r="T43" s="291"/>
    </row>
    <row r="44" spans="1:20" ht="19" thickTop="1" x14ac:dyDescent="0.3">
      <c r="A44" s="1344"/>
      <c r="B44" s="171"/>
      <c r="C44" s="171"/>
      <c r="D44" s="171"/>
      <c r="E44" s="171"/>
      <c r="F44" s="171" t="s">
        <v>1</v>
      </c>
      <c r="G44" s="171"/>
      <c r="H44" s="171"/>
      <c r="I44" s="171"/>
      <c r="J44" s="171"/>
      <c r="K44" s="171"/>
      <c r="L44" s="286"/>
      <c r="M44" s="285"/>
      <c r="N44" s="206"/>
      <c r="P44" s="291"/>
      <c r="Q44" s="291"/>
      <c r="R44" s="291"/>
      <c r="S44" s="291"/>
      <c r="T44" s="291"/>
    </row>
    <row r="45" spans="1:20" ht="23" x14ac:dyDescent="0.3">
      <c r="A45" s="1344"/>
      <c r="D45" s="284" t="s">
        <v>93</v>
      </c>
      <c r="F45" s="280"/>
      <c r="L45" s="286"/>
      <c r="M45" s="285"/>
      <c r="N45" s="206"/>
      <c r="P45" s="291"/>
      <c r="Q45" s="291"/>
      <c r="R45" s="291"/>
      <c r="S45" s="291"/>
      <c r="T45" s="291"/>
    </row>
    <row r="46" spans="1:20" ht="24" thickBot="1" x14ac:dyDescent="0.35">
      <c r="A46" s="1344"/>
      <c r="D46" s="282"/>
      <c r="L46" s="286"/>
      <c r="M46" s="285"/>
      <c r="N46" s="206"/>
    </row>
    <row r="47" spans="1:20" ht="23" customHeight="1" thickTop="1" x14ac:dyDescent="0.25">
      <c r="A47" s="1344"/>
      <c r="D47" s="282"/>
      <c r="E47" s="1335" t="str">
        <f>E4</f>
        <v>Coûts des ressources alimentaires pour chaque produit offert (voir recettes standardisées)</v>
      </c>
      <c r="F47" s="1335" t="str">
        <f>F4</f>
        <v>Prix de vente par produit offert</v>
      </c>
      <c r="G47" s="1335" t="str">
        <f>G4</f>
        <v xml:space="preserve">« Food &amp; Beverage Cost » </v>
      </c>
      <c r="H47" s="1335" t="str">
        <f>+H4</f>
        <v>Marge brute gagnée sur la vente de chaque produit offert</v>
      </c>
      <c r="I47" s="283"/>
      <c r="L47" s="1329" t="s">
        <v>79</v>
      </c>
      <c r="M47" s="1329" t="s">
        <v>78</v>
      </c>
      <c r="N47" s="206"/>
    </row>
    <row r="48" spans="1:20" ht="22" x14ac:dyDescent="0.25">
      <c r="A48" s="1344"/>
      <c r="D48" s="282"/>
      <c r="E48" s="1336"/>
      <c r="F48" s="1338"/>
      <c r="G48" s="1338"/>
      <c r="H48" s="1338"/>
      <c r="I48" s="281"/>
      <c r="L48" s="1330"/>
      <c r="M48" s="1340"/>
      <c r="N48" s="206"/>
    </row>
    <row r="49" spans="1:14" ht="14" customHeight="1" thickBot="1" x14ac:dyDescent="0.25">
      <c r="A49" s="1344"/>
      <c r="E49" s="1337"/>
      <c r="F49" s="1339"/>
      <c r="G49" s="1339"/>
      <c r="H49" s="1339"/>
      <c r="I49" s="281"/>
      <c r="L49" s="1331"/>
      <c r="M49" s="1341"/>
      <c r="N49" s="206"/>
    </row>
    <row r="50" spans="1:14" ht="20" thickTop="1" thickBot="1" x14ac:dyDescent="0.35">
      <c r="A50" s="1344"/>
      <c r="B50" s="138" t="s">
        <v>1</v>
      </c>
      <c r="E50" s="280"/>
      <c r="F50" s="280"/>
      <c r="G50" s="279"/>
      <c r="L50" s="286"/>
      <c r="M50" s="285"/>
      <c r="N50" s="206"/>
    </row>
    <row r="51" spans="1:14" ht="19" thickTop="1" x14ac:dyDescent="0.3">
      <c r="A51" s="1344"/>
      <c r="B51" s="171"/>
      <c r="C51" s="171"/>
      <c r="D51" s="238" t="str">
        <f t="shared" ref="D51:D64" si="4">D8</f>
        <v>Les Petite Gâteries</v>
      </c>
      <c r="E51" s="261"/>
      <c r="F51" s="261"/>
      <c r="G51" s="241"/>
      <c r="H51" s="171"/>
      <c r="I51" s="171"/>
      <c r="J51" s="171"/>
      <c r="K51" s="171"/>
      <c r="L51" s="278"/>
      <c r="M51" s="277"/>
      <c r="N51" s="206"/>
    </row>
    <row r="52" spans="1:14" ht="18" x14ac:dyDescent="0.3">
      <c r="A52" s="1344"/>
      <c r="B52" s="171">
        <f t="shared" ref="B52:C63" si="5">B9</f>
        <v>1</v>
      </c>
      <c r="C52" s="171">
        <f t="shared" si="5"/>
        <v>1</v>
      </c>
      <c r="D52" s="171" t="str">
        <f t="shared" si="4"/>
        <v>Petite Gâterie 1</v>
      </c>
      <c r="E52" s="265">
        <f t="shared" ref="E52:F63" si="6">E9</f>
        <v>1.21</v>
      </c>
      <c r="F52" s="273">
        <f t="shared" si="6"/>
        <v>3.3</v>
      </c>
      <c r="G52" s="263">
        <f t="shared" ref="G52:G64" si="7">E52/F52</f>
        <v>0.3666666666666667</v>
      </c>
      <c r="H52" s="262">
        <f t="shared" ref="H52:H64" si="8">F52-E52</f>
        <v>2.09</v>
      </c>
      <c r="I52" s="261"/>
      <c r="J52" s="171"/>
      <c r="K52" s="171"/>
      <c r="L52" s="276"/>
      <c r="M52" s="227"/>
      <c r="N52" s="206"/>
    </row>
    <row r="53" spans="1:14" ht="18" x14ac:dyDescent="0.3">
      <c r="A53" s="1344"/>
      <c r="B53" s="171">
        <f t="shared" si="5"/>
        <v>2</v>
      </c>
      <c r="C53" s="171">
        <f t="shared" si="5"/>
        <v>2</v>
      </c>
      <c r="D53" s="171" t="str">
        <f t="shared" si="4"/>
        <v>Petite Gâterie 2</v>
      </c>
      <c r="E53" s="265">
        <f t="shared" si="6"/>
        <v>1.31</v>
      </c>
      <c r="F53" s="264">
        <f t="shared" si="6"/>
        <v>3.8</v>
      </c>
      <c r="G53" s="263">
        <f t="shared" si="7"/>
        <v>0.34473684210526317</v>
      </c>
      <c r="H53" s="262">
        <f t="shared" si="8"/>
        <v>2.4899999999999998</v>
      </c>
      <c r="I53" s="261"/>
      <c r="J53" s="171"/>
      <c r="K53" s="171"/>
      <c r="L53" s="228"/>
      <c r="M53" s="227"/>
      <c r="N53" s="206"/>
    </row>
    <row r="54" spans="1:14" ht="18" x14ac:dyDescent="0.3">
      <c r="A54" s="1344"/>
      <c r="B54" s="171">
        <f t="shared" si="5"/>
        <v>3</v>
      </c>
      <c r="C54" s="171">
        <f t="shared" si="5"/>
        <v>3</v>
      </c>
      <c r="D54" s="171" t="str">
        <f t="shared" si="4"/>
        <v>Petite Gâterie 3</v>
      </c>
      <c r="E54" s="265">
        <f t="shared" si="6"/>
        <v>1.35</v>
      </c>
      <c r="F54" s="264">
        <f t="shared" si="6"/>
        <v>4</v>
      </c>
      <c r="G54" s="263">
        <f t="shared" si="7"/>
        <v>0.33750000000000002</v>
      </c>
      <c r="H54" s="262">
        <f t="shared" si="8"/>
        <v>2.65</v>
      </c>
      <c r="I54" s="261"/>
      <c r="J54" s="171"/>
      <c r="K54" s="171"/>
      <c r="L54" s="228"/>
      <c r="M54" s="227"/>
      <c r="N54" s="206"/>
    </row>
    <row r="55" spans="1:14" ht="18" x14ac:dyDescent="0.3">
      <c r="A55" s="1344"/>
      <c r="B55" s="171">
        <f t="shared" si="5"/>
        <v>4</v>
      </c>
      <c r="C55" s="171">
        <f t="shared" si="5"/>
        <v>4</v>
      </c>
      <c r="D55" s="171" t="str">
        <f t="shared" si="4"/>
        <v>Petite Gâterie 4</v>
      </c>
      <c r="E55" s="265">
        <f t="shared" si="6"/>
        <v>1.4</v>
      </c>
      <c r="F55" s="264">
        <f t="shared" si="6"/>
        <v>4.5</v>
      </c>
      <c r="G55" s="263">
        <f t="shared" si="7"/>
        <v>0.31111111111111112</v>
      </c>
      <c r="H55" s="262">
        <f t="shared" si="8"/>
        <v>3.1</v>
      </c>
      <c r="I55" s="261"/>
      <c r="J55" s="171"/>
      <c r="K55" s="171"/>
      <c r="L55" s="228"/>
      <c r="M55" s="227"/>
      <c r="N55" s="206"/>
    </row>
    <row r="56" spans="1:14" ht="18" x14ac:dyDescent="0.3">
      <c r="A56" s="1344"/>
      <c r="B56" s="171">
        <f t="shared" si="5"/>
        <v>5</v>
      </c>
      <c r="C56" s="171">
        <f t="shared" si="5"/>
        <v>5</v>
      </c>
      <c r="D56" s="171" t="str">
        <f t="shared" si="4"/>
        <v>Petite Gâterie 5</v>
      </c>
      <c r="E56" s="265">
        <f t="shared" si="6"/>
        <v>1.24</v>
      </c>
      <c r="F56" s="264">
        <f t="shared" si="6"/>
        <v>4.5999999999999996</v>
      </c>
      <c r="G56" s="263">
        <f t="shared" si="7"/>
        <v>0.26956521739130435</v>
      </c>
      <c r="H56" s="262">
        <f t="shared" si="8"/>
        <v>3.3599999999999994</v>
      </c>
      <c r="I56" s="261"/>
      <c r="J56" s="171"/>
      <c r="K56" s="171"/>
      <c r="L56" s="228"/>
      <c r="M56" s="227"/>
      <c r="N56" s="206"/>
    </row>
    <row r="57" spans="1:14" ht="18" x14ac:dyDescent="0.3">
      <c r="A57" s="1344"/>
      <c r="B57" s="171">
        <f t="shared" si="5"/>
        <v>6</v>
      </c>
      <c r="C57" s="171">
        <f t="shared" si="5"/>
        <v>6</v>
      </c>
      <c r="D57" s="171" t="str">
        <f t="shared" si="4"/>
        <v>Petite Gâterie 6</v>
      </c>
      <c r="E57" s="265">
        <f t="shared" si="6"/>
        <v>1.39</v>
      </c>
      <c r="F57" s="264">
        <f t="shared" si="6"/>
        <v>4.7</v>
      </c>
      <c r="G57" s="263">
        <f t="shared" si="7"/>
        <v>0.29574468085106381</v>
      </c>
      <c r="H57" s="262">
        <f t="shared" si="8"/>
        <v>3.3100000000000005</v>
      </c>
      <c r="I57" s="261"/>
      <c r="J57" s="171"/>
      <c r="K57" s="171"/>
      <c r="L57" s="228"/>
      <c r="M57" s="227"/>
      <c r="N57" s="206"/>
    </row>
    <row r="58" spans="1:14" ht="18" x14ac:dyDescent="0.3">
      <c r="A58" s="1344"/>
      <c r="B58" s="171">
        <f t="shared" si="5"/>
        <v>7</v>
      </c>
      <c r="C58" s="171">
        <f t="shared" si="5"/>
        <v>7</v>
      </c>
      <c r="D58" s="171" t="str">
        <f t="shared" si="4"/>
        <v>Petite Gâterie 7</v>
      </c>
      <c r="E58" s="265">
        <f t="shared" si="6"/>
        <v>1.51</v>
      </c>
      <c r="F58" s="264">
        <f t="shared" si="6"/>
        <v>4.8</v>
      </c>
      <c r="G58" s="263">
        <f t="shared" si="7"/>
        <v>0.31458333333333333</v>
      </c>
      <c r="H58" s="262">
        <f t="shared" si="8"/>
        <v>3.29</v>
      </c>
      <c r="I58" s="261"/>
      <c r="J58" s="171"/>
      <c r="K58" s="171"/>
      <c r="L58" s="228"/>
      <c r="M58" s="227"/>
      <c r="N58" s="206"/>
    </row>
    <row r="59" spans="1:14" ht="18" x14ac:dyDescent="0.3">
      <c r="A59" s="1344"/>
      <c r="B59" s="171">
        <f t="shared" si="5"/>
        <v>8</v>
      </c>
      <c r="C59" s="171">
        <f t="shared" si="5"/>
        <v>8</v>
      </c>
      <c r="D59" s="171" t="str">
        <f t="shared" si="4"/>
        <v>Petite Gâterie 8</v>
      </c>
      <c r="E59" s="265">
        <f t="shared" si="6"/>
        <v>1.53</v>
      </c>
      <c r="F59" s="264">
        <f t="shared" si="6"/>
        <v>4.9000000000000004</v>
      </c>
      <c r="G59" s="263">
        <f t="shared" si="7"/>
        <v>0.31224489795918364</v>
      </c>
      <c r="H59" s="262">
        <f t="shared" si="8"/>
        <v>3.37</v>
      </c>
      <c r="I59" s="261"/>
      <c r="J59" s="171"/>
      <c r="K59" s="171"/>
      <c r="L59" s="228"/>
      <c r="M59" s="227"/>
      <c r="N59" s="206"/>
    </row>
    <row r="60" spans="1:14" ht="18" x14ac:dyDescent="0.3">
      <c r="A60" s="1344"/>
      <c r="B60" s="171">
        <f t="shared" si="5"/>
        <v>9</v>
      </c>
      <c r="C60" s="171">
        <f t="shared" si="5"/>
        <v>9</v>
      </c>
      <c r="D60" s="171" t="str">
        <f t="shared" si="4"/>
        <v>Petite Gâterie 9</v>
      </c>
      <c r="E60" s="265">
        <f t="shared" si="6"/>
        <v>1.55</v>
      </c>
      <c r="F60" s="264">
        <f t="shared" si="6"/>
        <v>5</v>
      </c>
      <c r="G60" s="263">
        <f t="shared" si="7"/>
        <v>0.31</v>
      </c>
      <c r="H60" s="262">
        <f t="shared" si="8"/>
        <v>3.45</v>
      </c>
      <c r="I60" s="261"/>
      <c r="J60" s="171"/>
      <c r="K60" s="171"/>
      <c r="L60" s="228"/>
      <c r="M60" s="227"/>
      <c r="N60" s="206"/>
    </row>
    <row r="61" spans="1:14" ht="18" x14ac:dyDescent="0.3">
      <c r="A61" s="1344"/>
      <c r="B61" s="171">
        <f t="shared" si="5"/>
        <v>10</v>
      </c>
      <c r="C61" s="171">
        <f t="shared" si="5"/>
        <v>10</v>
      </c>
      <c r="D61" s="171" t="str">
        <f t="shared" si="4"/>
        <v>Petite Gâterie 10</v>
      </c>
      <c r="E61" s="265">
        <f t="shared" si="6"/>
        <v>1.59</v>
      </c>
      <c r="F61" s="264">
        <f t="shared" si="6"/>
        <v>5.2</v>
      </c>
      <c r="G61" s="263">
        <f t="shared" si="7"/>
        <v>0.30576923076923079</v>
      </c>
      <c r="H61" s="262">
        <f t="shared" si="8"/>
        <v>3.6100000000000003</v>
      </c>
      <c r="I61" s="261"/>
      <c r="J61" s="171"/>
      <c r="K61" s="171"/>
      <c r="L61" s="228"/>
      <c r="M61" s="227"/>
      <c r="N61" s="206"/>
    </row>
    <row r="62" spans="1:14" ht="18" x14ac:dyDescent="0.3">
      <c r="A62" s="1344"/>
      <c r="B62" s="171">
        <f t="shared" si="5"/>
        <v>11</v>
      </c>
      <c r="C62" s="171">
        <f t="shared" si="5"/>
        <v>11</v>
      </c>
      <c r="D62" s="171" t="str">
        <f t="shared" si="4"/>
        <v>Petite Gâterie 11</v>
      </c>
      <c r="E62" s="265">
        <f t="shared" si="6"/>
        <v>1.83</v>
      </c>
      <c r="F62" s="264">
        <f t="shared" si="6"/>
        <v>6.4</v>
      </c>
      <c r="G62" s="263">
        <f t="shared" si="7"/>
        <v>0.28593750000000001</v>
      </c>
      <c r="H62" s="262">
        <f t="shared" si="8"/>
        <v>4.57</v>
      </c>
      <c r="I62" s="261"/>
      <c r="J62" s="171"/>
      <c r="K62" s="171"/>
      <c r="L62" s="228"/>
      <c r="M62" s="227"/>
      <c r="N62" s="206"/>
    </row>
    <row r="63" spans="1:14" ht="18" x14ac:dyDescent="0.3">
      <c r="A63" s="1344"/>
      <c r="B63" s="171">
        <f t="shared" si="5"/>
        <v>12</v>
      </c>
      <c r="C63" s="171">
        <f t="shared" si="5"/>
        <v>12</v>
      </c>
      <c r="D63" s="171" t="str">
        <f t="shared" si="4"/>
        <v>Petite Gâterie 12</v>
      </c>
      <c r="E63" s="265">
        <f t="shared" si="6"/>
        <v>1.87</v>
      </c>
      <c r="F63" s="264">
        <f t="shared" si="6"/>
        <v>6.6</v>
      </c>
      <c r="G63" s="263">
        <f t="shared" si="7"/>
        <v>0.28333333333333338</v>
      </c>
      <c r="H63" s="262">
        <f t="shared" si="8"/>
        <v>4.7299999999999995</v>
      </c>
      <c r="I63" s="261"/>
      <c r="J63" s="171"/>
      <c r="K63" s="171"/>
      <c r="L63" s="228"/>
      <c r="M63" s="227"/>
      <c r="N63" s="206"/>
    </row>
    <row r="64" spans="1:14" ht="19" x14ac:dyDescent="0.35">
      <c r="A64" s="1344"/>
      <c r="B64" s="171"/>
      <c r="C64" s="171"/>
      <c r="D64" s="238" t="str">
        <f t="shared" si="4"/>
        <v>CmO—PmO—Food Cost—BmO</v>
      </c>
      <c r="E64" s="259">
        <f>SUM(E52:E63)/C63</f>
        <v>1.4816666666666667</v>
      </c>
      <c r="F64" s="259">
        <f>SUM(F52:F63)/C63</f>
        <v>4.8166666666666673</v>
      </c>
      <c r="G64" s="274">
        <f t="shared" si="7"/>
        <v>0.30761245674740478</v>
      </c>
      <c r="H64" s="257">
        <f t="shared" si="8"/>
        <v>3.3350000000000009</v>
      </c>
      <c r="I64" s="256"/>
      <c r="J64" s="171"/>
      <c r="K64" s="171"/>
      <c r="L64" s="1022">
        <v>1</v>
      </c>
      <c r="M64" s="227" t="s">
        <v>1</v>
      </c>
      <c r="N64" s="206"/>
    </row>
    <row r="65" spans="1:14" ht="18" x14ac:dyDescent="0.3">
      <c r="A65" s="1344"/>
      <c r="B65" s="171" t="s">
        <v>1</v>
      </c>
      <c r="C65" s="171"/>
      <c r="D65" s="171"/>
      <c r="E65" s="242"/>
      <c r="F65" s="242"/>
      <c r="G65" s="263"/>
      <c r="H65" s="240"/>
      <c r="I65" s="171"/>
      <c r="J65" s="171"/>
      <c r="K65" s="171"/>
      <c r="L65" s="228"/>
      <c r="M65" s="227"/>
      <c r="N65" s="206"/>
    </row>
    <row r="66" spans="1:14" ht="18" x14ac:dyDescent="0.3">
      <c r="A66" s="1344"/>
      <c r="B66" s="171"/>
      <c r="C66" s="171"/>
      <c r="D66" s="238" t="str">
        <f t="shared" ref="D66:D79" si="9">D23</f>
        <v>Les Boissons  Gâteries</v>
      </c>
      <c r="E66" s="242"/>
      <c r="F66" s="242"/>
      <c r="G66" s="263"/>
      <c r="H66" s="240"/>
      <c r="I66" s="171"/>
      <c r="J66" s="171"/>
      <c r="K66" s="171"/>
      <c r="L66" s="228"/>
      <c r="M66" s="227"/>
      <c r="N66" s="206"/>
    </row>
    <row r="67" spans="1:14" ht="18" x14ac:dyDescent="0.3">
      <c r="A67" s="1344"/>
      <c r="B67" s="171">
        <f t="shared" ref="B67:C78" si="10">B24</f>
        <v>13</v>
      </c>
      <c r="C67" s="171">
        <f t="shared" si="10"/>
        <v>1</v>
      </c>
      <c r="D67" s="171" t="str">
        <f t="shared" si="9"/>
        <v>Boisson spécial numéro 1</v>
      </c>
      <c r="E67" s="265">
        <f t="shared" ref="E67:F78" si="11">E24</f>
        <v>2.2799999999999998</v>
      </c>
      <c r="F67" s="273">
        <f t="shared" si="11"/>
        <v>6.6</v>
      </c>
      <c r="G67" s="263">
        <f t="shared" ref="G67:G79" si="12">E67/F67</f>
        <v>0.34545454545454546</v>
      </c>
      <c r="H67" s="262">
        <f t="shared" ref="H67:H79" si="13">F67-E67</f>
        <v>4.32</v>
      </c>
      <c r="I67" s="261"/>
      <c r="J67" s="171"/>
      <c r="K67" s="171"/>
      <c r="L67" s="228"/>
      <c r="M67" s="227"/>
      <c r="N67" s="206"/>
    </row>
    <row r="68" spans="1:14" ht="18" x14ac:dyDescent="0.3">
      <c r="A68" s="1344"/>
      <c r="B68" s="171">
        <f t="shared" si="10"/>
        <v>14</v>
      </c>
      <c r="C68" s="171">
        <f t="shared" si="10"/>
        <v>2</v>
      </c>
      <c r="D68" s="171" t="str">
        <f t="shared" si="9"/>
        <v>Boisson spécial numéro 2</v>
      </c>
      <c r="E68" s="265">
        <f t="shared" si="11"/>
        <v>2.66</v>
      </c>
      <c r="F68" s="264">
        <f t="shared" si="11"/>
        <v>7.6</v>
      </c>
      <c r="G68" s="263">
        <f t="shared" si="12"/>
        <v>0.35000000000000003</v>
      </c>
      <c r="H68" s="262">
        <f t="shared" si="13"/>
        <v>4.9399999999999995</v>
      </c>
      <c r="I68" s="261"/>
      <c r="J68" s="171"/>
      <c r="K68" s="171"/>
      <c r="L68" s="228"/>
      <c r="M68" s="227"/>
      <c r="N68" s="206"/>
    </row>
    <row r="69" spans="1:14" ht="18" x14ac:dyDescent="0.3">
      <c r="A69" s="1344"/>
      <c r="B69" s="171">
        <f t="shared" si="10"/>
        <v>15</v>
      </c>
      <c r="C69" s="171">
        <f t="shared" si="10"/>
        <v>3</v>
      </c>
      <c r="D69" s="171" t="str">
        <f t="shared" si="9"/>
        <v>Boisson spécial numéro 3</v>
      </c>
      <c r="E69" s="265">
        <f t="shared" si="11"/>
        <v>2.74</v>
      </c>
      <c r="F69" s="264">
        <f t="shared" si="11"/>
        <v>8</v>
      </c>
      <c r="G69" s="263">
        <f t="shared" si="12"/>
        <v>0.34250000000000003</v>
      </c>
      <c r="H69" s="262">
        <f t="shared" si="13"/>
        <v>5.26</v>
      </c>
      <c r="I69" s="261"/>
      <c r="J69" s="171"/>
      <c r="K69" s="171"/>
      <c r="L69" s="228"/>
      <c r="M69" s="227"/>
      <c r="N69" s="206"/>
    </row>
    <row r="70" spans="1:14" ht="18" x14ac:dyDescent="0.3">
      <c r="A70" s="1344"/>
      <c r="B70" s="171">
        <f t="shared" si="10"/>
        <v>16</v>
      </c>
      <c r="C70" s="171">
        <f t="shared" si="10"/>
        <v>4</v>
      </c>
      <c r="D70" s="171" t="str">
        <f t="shared" si="9"/>
        <v>Boisson spécial numéro 4</v>
      </c>
      <c r="E70" s="265">
        <f t="shared" si="11"/>
        <v>2.72</v>
      </c>
      <c r="F70" s="264">
        <f t="shared" si="11"/>
        <v>9</v>
      </c>
      <c r="G70" s="263">
        <f t="shared" si="12"/>
        <v>0.30222222222222223</v>
      </c>
      <c r="H70" s="262">
        <f t="shared" si="13"/>
        <v>6.2799999999999994</v>
      </c>
      <c r="I70" s="261"/>
      <c r="J70" s="171"/>
      <c r="K70" s="171"/>
      <c r="L70" s="228"/>
      <c r="M70" s="227"/>
      <c r="N70" s="206"/>
    </row>
    <row r="71" spans="1:14" ht="18" x14ac:dyDescent="0.3">
      <c r="A71" s="1344"/>
      <c r="B71" s="171">
        <f t="shared" si="10"/>
        <v>17</v>
      </c>
      <c r="C71" s="171">
        <f t="shared" si="10"/>
        <v>5</v>
      </c>
      <c r="D71" s="171" t="str">
        <f t="shared" si="9"/>
        <v>Boisson spécial numéro 5</v>
      </c>
      <c r="E71" s="265">
        <f t="shared" si="11"/>
        <v>2.76</v>
      </c>
      <c r="F71" s="264">
        <f t="shared" si="11"/>
        <v>9.1999999999999993</v>
      </c>
      <c r="G71" s="263">
        <f t="shared" si="12"/>
        <v>0.3</v>
      </c>
      <c r="H71" s="262">
        <f t="shared" si="13"/>
        <v>6.4399999999999995</v>
      </c>
      <c r="I71" s="261"/>
      <c r="J71" s="171"/>
      <c r="K71" s="171"/>
      <c r="L71" s="228"/>
      <c r="M71" s="227"/>
      <c r="N71" s="206"/>
    </row>
    <row r="72" spans="1:14" ht="18" x14ac:dyDescent="0.3">
      <c r="A72" s="1344"/>
      <c r="B72" s="171">
        <f t="shared" si="10"/>
        <v>18</v>
      </c>
      <c r="C72" s="171">
        <f t="shared" si="10"/>
        <v>6</v>
      </c>
      <c r="D72" s="171" t="str">
        <f t="shared" si="9"/>
        <v>Boisson spécial numéro 6</v>
      </c>
      <c r="E72" s="265">
        <f t="shared" si="11"/>
        <v>2.8</v>
      </c>
      <c r="F72" s="264">
        <f t="shared" si="11"/>
        <v>9.4</v>
      </c>
      <c r="G72" s="263">
        <f t="shared" si="12"/>
        <v>0.2978723404255319</v>
      </c>
      <c r="H72" s="262">
        <f t="shared" si="13"/>
        <v>6.6000000000000005</v>
      </c>
      <c r="I72" s="261"/>
      <c r="J72" s="171"/>
      <c r="K72" s="171"/>
      <c r="L72" s="228"/>
      <c r="M72" s="227"/>
      <c r="N72" s="206"/>
    </row>
    <row r="73" spans="1:14" ht="18" x14ac:dyDescent="0.3">
      <c r="A73" s="1344"/>
      <c r="B73" s="171">
        <f t="shared" si="10"/>
        <v>19</v>
      </c>
      <c r="C73" s="171">
        <f t="shared" si="10"/>
        <v>7</v>
      </c>
      <c r="D73" s="171" t="str">
        <f t="shared" si="9"/>
        <v>Boisson spécial numéro 7</v>
      </c>
      <c r="E73" s="265">
        <f t="shared" si="11"/>
        <v>2.82</v>
      </c>
      <c r="F73" s="264">
        <f t="shared" si="11"/>
        <v>9.6</v>
      </c>
      <c r="G73" s="263">
        <f t="shared" si="12"/>
        <v>0.29375000000000001</v>
      </c>
      <c r="H73" s="262">
        <f t="shared" si="13"/>
        <v>6.7799999999999994</v>
      </c>
      <c r="I73" s="261"/>
      <c r="J73" s="171"/>
      <c r="K73" s="171"/>
      <c r="L73" s="228"/>
      <c r="M73" s="227"/>
      <c r="N73" s="206"/>
    </row>
    <row r="74" spans="1:14" ht="18" x14ac:dyDescent="0.3">
      <c r="A74" s="1344"/>
      <c r="B74" s="171">
        <f t="shared" si="10"/>
        <v>20</v>
      </c>
      <c r="C74" s="171">
        <f t="shared" si="10"/>
        <v>8</v>
      </c>
      <c r="D74" s="171" t="str">
        <f t="shared" si="9"/>
        <v>Boisson spécial numéro 8</v>
      </c>
      <c r="E74" s="265">
        <f t="shared" si="11"/>
        <v>2.86</v>
      </c>
      <c r="F74" s="264">
        <f t="shared" si="11"/>
        <v>9.8000000000000007</v>
      </c>
      <c r="G74" s="263">
        <f t="shared" si="12"/>
        <v>0.2918367346938775</v>
      </c>
      <c r="H74" s="262">
        <f t="shared" si="13"/>
        <v>6.9400000000000013</v>
      </c>
      <c r="I74" s="261"/>
      <c r="J74" s="171"/>
      <c r="K74" s="171"/>
      <c r="L74" s="228"/>
      <c r="M74" s="227"/>
      <c r="N74" s="206"/>
    </row>
    <row r="75" spans="1:14" ht="18" x14ac:dyDescent="0.3">
      <c r="A75" s="1344"/>
      <c r="B75" s="171">
        <f t="shared" si="10"/>
        <v>21</v>
      </c>
      <c r="C75" s="171">
        <f t="shared" si="10"/>
        <v>9</v>
      </c>
      <c r="D75" s="171" t="str">
        <f t="shared" si="9"/>
        <v>Boisson spécial numéro 9</v>
      </c>
      <c r="E75" s="265">
        <f t="shared" si="11"/>
        <v>2.9</v>
      </c>
      <c r="F75" s="264">
        <f t="shared" si="11"/>
        <v>10</v>
      </c>
      <c r="G75" s="263">
        <f t="shared" si="12"/>
        <v>0.28999999999999998</v>
      </c>
      <c r="H75" s="262">
        <f t="shared" si="13"/>
        <v>7.1</v>
      </c>
      <c r="I75" s="261"/>
      <c r="J75" s="171"/>
      <c r="K75" s="171"/>
      <c r="L75" s="228"/>
      <c r="M75" s="227"/>
      <c r="N75" s="206"/>
    </row>
    <row r="76" spans="1:14" ht="18" x14ac:dyDescent="0.3">
      <c r="A76" s="1344"/>
      <c r="B76" s="171">
        <f t="shared" si="10"/>
        <v>22</v>
      </c>
      <c r="C76" s="171">
        <f t="shared" si="10"/>
        <v>10</v>
      </c>
      <c r="D76" s="171" t="str">
        <f t="shared" si="9"/>
        <v>Boisson spécial numéro 10</v>
      </c>
      <c r="E76" s="265">
        <f t="shared" si="11"/>
        <v>2.98</v>
      </c>
      <c r="F76" s="264">
        <f t="shared" si="11"/>
        <v>10.4</v>
      </c>
      <c r="G76" s="263">
        <f t="shared" si="12"/>
        <v>0.28653846153846152</v>
      </c>
      <c r="H76" s="262">
        <f t="shared" si="13"/>
        <v>7.42</v>
      </c>
      <c r="I76" s="261"/>
      <c r="J76" s="171"/>
      <c r="K76" s="171"/>
      <c r="L76" s="228"/>
      <c r="M76" s="227"/>
      <c r="N76" s="206"/>
    </row>
    <row r="77" spans="1:14" ht="18" x14ac:dyDescent="0.3">
      <c r="A77" s="1344"/>
      <c r="B77" s="171">
        <f t="shared" si="10"/>
        <v>23</v>
      </c>
      <c r="C77" s="171">
        <f t="shared" si="10"/>
        <v>11</v>
      </c>
      <c r="D77" s="171" t="str">
        <f t="shared" si="9"/>
        <v>Boisson spécial numéro 11</v>
      </c>
      <c r="E77" s="265">
        <f t="shared" si="11"/>
        <v>3.18</v>
      </c>
      <c r="F77" s="264">
        <f t="shared" si="11"/>
        <v>11.6</v>
      </c>
      <c r="G77" s="263">
        <f t="shared" si="12"/>
        <v>0.27413793103448281</v>
      </c>
      <c r="H77" s="262">
        <f t="shared" si="13"/>
        <v>8.42</v>
      </c>
      <c r="I77" s="261"/>
      <c r="J77" s="171"/>
      <c r="K77" s="171"/>
      <c r="L77" s="228"/>
      <c r="M77" s="227"/>
      <c r="N77" s="206"/>
    </row>
    <row r="78" spans="1:14" ht="18" x14ac:dyDescent="0.3">
      <c r="A78" s="1344"/>
      <c r="B78" s="171">
        <f t="shared" si="10"/>
        <v>24</v>
      </c>
      <c r="C78" s="171">
        <f t="shared" si="10"/>
        <v>12</v>
      </c>
      <c r="D78" s="171" t="str">
        <f t="shared" si="9"/>
        <v>Boisson spécial numéro 12</v>
      </c>
      <c r="E78" s="265">
        <f t="shared" si="11"/>
        <v>3.48</v>
      </c>
      <c r="F78" s="264">
        <f t="shared" si="11"/>
        <v>13.2</v>
      </c>
      <c r="G78" s="263">
        <f t="shared" si="12"/>
        <v>0.26363636363636367</v>
      </c>
      <c r="H78" s="262">
        <f t="shared" si="13"/>
        <v>9.7199999999999989</v>
      </c>
      <c r="I78" s="261"/>
      <c r="J78" s="171"/>
      <c r="K78" s="171"/>
      <c r="L78" s="228"/>
      <c r="M78" s="227"/>
      <c r="N78" s="206"/>
    </row>
    <row r="79" spans="1:14" ht="19" x14ac:dyDescent="0.35">
      <c r="A79" s="1344"/>
      <c r="B79" s="171"/>
      <c r="C79" s="171"/>
      <c r="D79" s="238" t="str">
        <f t="shared" si="9"/>
        <v>CmO—PmO—Beverage Cost—Marge brute</v>
      </c>
      <c r="E79" s="259">
        <f>SUM(E67:E78)/C78</f>
        <v>2.8483333333333332</v>
      </c>
      <c r="F79" s="259">
        <f>SUM(F67:F78)/C78</f>
        <v>9.5333333333333332</v>
      </c>
      <c r="G79" s="258">
        <f t="shared" si="12"/>
        <v>0.29877622377622376</v>
      </c>
      <c r="H79" s="257">
        <f t="shared" si="13"/>
        <v>6.6850000000000005</v>
      </c>
      <c r="I79" s="256"/>
      <c r="J79" s="171"/>
      <c r="K79" s="171"/>
      <c r="L79" s="1022">
        <v>1</v>
      </c>
      <c r="M79" s="227" t="s">
        <v>1</v>
      </c>
      <c r="N79" s="206"/>
    </row>
    <row r="80" spans="1:14" ht="19" thickBot="1" x14ac:dyDescent="0.35">
      <c r="A80" s="1344"/>
      <c r="B80" s="171"/>
      <c r="C80" s="171"/>
      <c r="D80" s="171"/>
      <c r="E80" s="242"/>
      <c r="F80" s="242"/>
      <c r="G80" s="241"/>
      <c r="H80" s="240"/>
      <c r="I80" s="171"/>
      <c r="J80" s="171"/>
      <c r="K80" s="171"/>
      <c r="L80" s="228"/>
      <c r="M80" s="227"/>
      <c r="N80" s="206"/>
    </row>
    <row r="81" spans="1:14" ht="21" thickTop="1" thickBot="1" x14ac:dyDescent="0.4">
      <c r="A81" s="1344"/>
      <c r="B81" s="171"/>
      <c r="C81" s="253"/>
      <c r="D81" s="252"/>
      <c r="E81" s="251"/>
      <c r="F81" s="251"/>
      <c r="G81" s="250"/>
      <c r="H81" s="249"/>
      <c r="I81" s="248"/>
      <c r="J81" s="171"/>
      <c r="K81" s="171"/>
      <c r="L81" s="228"/>
      <c r="M81" s="227"/>
      <c r="N81" s="206"/>
    </row>
    <row r="82" spans="1:14" ht="20" thickTop="1" thickBot="1" x14ac:dyDescent="0.35">
      <c r="A82" s="1344"/>
      <c r="B82" s="171"/>
      <c r="C82" s="233"/>
      <c r="D82" s="238"/>
      <c r="E82" s="247" t="str">
        <f>E39</f>
        <v>CmO</v>
      </c>
      <c r="F82" s="247" t="str">
        <f>F39</f>
        <v>PmO</v>
      </c>
      <c r="G82" s="246" t="str">
        <f>G39</f>
        <v>F&amp;BCmO</v>
      </c>
      <c r="H82" s="245" t="str">
        <f>H39</f>
        <v>BmO</v>
      </c>
      <c r="I82" s="244"/>
      <c r="J82" s="171"/>
      <c r="K82" s="171"/>
      <c r="L82" s="228"/>
      <c r="M82" s="227"/>
      <c r="N82" s="206"/>
    </row>
    <row r="83" spans="1:14" ht="19" thickTop="1" x14ac:dyDescent="0.3">
      <c r="A83" s="1344"/>
      <c r="B83" s="171"/>
      <c r="C83" s="233"/>
      <c r="D83" s="243" t="str">
        <f>D40</f>
        <v>OFFRE TOTALE AVEC LES GÂTERIES ET LES CAFÉS GÂTERIES</v>
      </c>
      <c r="E83" s="242"/>
      <c r="F83" s="242"/>
      <c r="G83" s="241"/>
      <c r="H83" s="240"/>
      <c r="I83" s="239"/>
      <c r="J83" s="171"/>
      <c r="K83" s="171"/>
      <c r="L83" s="228"/>
      <c r="M83" s="227"/>
      <c r="N83" s="206"/>
    </row>
    <row r="84" spans="1:14" ht="19" x14ac:dyDescent="0.35">
      <c r="A84" s="1344"/>
      <c r="B84" s="171"/>
      <c r="C84" s="233"/>
      <c r="D84" s="238" t="str">
        <f>D41</f>
        <v>CmO—PmO—F&amp;B cost moyen offert—Marge brute</v>
      </c>
      <c r="E84" s="237">
        <f>+(E52+E53+E54+E55+E56+E57+E58+E59+E60+E61+E62+E63+E67+E68+E69+E70+E71+E72+E73+E74+E75+E76+E77+E78)/B78</f>
        <v>2.1649999999999996</v>
      </c>
      <c r="F84" s="237">
        <f>+(F52+F53+F54+F55+F56+F57+F58+F59+F60+F61+F62+F63+F67+F68+F69+F70+F71+F72+F73+F74+F75+F76+F77+F78)/B78</f>
        <v>7.1749999999999998</v>
      </c>
      <c r="G84" s="236">
        <f>E84/F84</f>
        <v>0.30174216027874562</v>
      </c>
      <c r="H84" s="235">
        <f>F84-E84</f>
        <v>5.01</v>
      </c>
      <c r="I84" s="234"/>
      <c r="J84" s="171"/>
      <c r="K84" s="171"/>
      <c r="L84" s="228">
        <f>+L64+L79</f>
        <v>2</v>
      </c>
      <c r="M84" s="227">
        <f>'% Occupation'!E19</f>
        <v>1585</v>
      </c>
      <c r="N84" s="206"/>
    </row>
    <row r="85" spans="1:14" ht="18" x14ac:dyDescent="0.3">
      <c r="A85" s="1344"/>
      <c r="B85" s="171"/>
      <c r="C85" s="233"/>
      <c r="D85" s="171"/>
      <c r="E85" s="232"/>
      <c r="F85" s="232"/>
      <c r="G85" s="231"/>
      <c r="H85" s="230"/>
      <c r="I85" s="229"/>
      <c r="J85" s="171"/>
      <c r="K85" s="171"/>
      <c r="L85" s="228"/>
      <c r="M85" s="227"/>
      <c r="N85" s="206"/>
    </row>
    <row r="86" spans="1:14" ht="19" thickBot="1" x14ac:dyDescent="0.35">
      <c r="A86" s="1344"/>
      <c r="B86" s="171"/>
      <c r="C86" s="226"/>
      <c r="D86" s="225"/>
      <c r="E86" s="224"/>
      <c r="F86" s="224"/>
      <c r="G86" s="223"/>
      <c r="H86" s="222"/>
      <c r="I86" s="221"/>
      <c r="J86" s="171"/>
      <c r="K86" s="171"/>
      <c r="L86" s="220"/>
      <c r="M86" s="219"/>
      <c r="N86" s="206"/>
    </row>
    <row r="87" spans="1:14" ht="19" thickTop="1" x14ac:dyDescent="0.3">
      <c r="A87" s="1344"/>
      <c r="B87" s="291"/>
      <c r="C87" s="291"/>
      <c r="D87" s="291"/>
      <c r="E87" s="291"/>
      <c r="F87" s="291"/>
      <c r="G87" s="291"/>
      <c r="H87" s="291"/>
      <c r="I87" s="291"/>
      <c r="J87" s="171"/>
      <c r="K87" s="171"/>
      <c r="L87" s="286"/>
      <c r="M87" s="285"/>
      <c r="N87" s="206"/>
    </row>
    <row r="88" spans="1:14" ht="23" x14ac:dyDescent="0.3">
      <c r="A88" s="1344"/>
      <c r="D88" s="284" t="s">
        <v>92</v>
      </c>
      <c r="F88" s="280"/>
      <c r="L88" s="286"/>
      <c r="M88" s="285"/>
      <c r="N88" s="206"/>
    </row>
    <row r="89" spans="1:14" ht="24" thickBot="1" x14ac:dyDescent="0.35">
      <c r="A89" s="1344"/>
      <c r="D89" s="282"/>
      <c r="L89" s="286"/>
      <c r="M89" s="285"/>
      <c r="N89" s="206"/>
    </row>
    <row r="90" spans="1:14" ht="23" customHeight="1" thickTop="1" x14ac:dyDescent="0.25">
      <c r="A90" s="1344"/>
      <c r="D90" s="282"/>
      <c r="E90" s="1335" t="str">
        <f>E47</f>
        <v>Coûts des ressources alimentaires pour chaque produit offert (voir recettes standardisées)</v>
      </c>
      <c r="F90" s="1335" t="str">
        <f>F47</f>
        <v>Prix de vente par produit offert</v>
      </c>
      <c r="G90" s="1335" t="str">
        <f>G47</f>
        <v xml:space="preserve">« Food &amp; Beverage Cost » </v>
      </c>
      <c r="H90" s="1335" t="str">
        <f>H47</f>
        <v>Marge brute gagnée sur la vente de chaque produit offert</v>
      </c>
      <c r="I90" s="283"/>
      <c r="L90" s="1329" t="s">
        <v>79</v>
      </c>
      <c r="M90" s="1329" t="s">
        <v>78</v>
      </c>
      <c r="N90" s="206"/>
    </row>
    <row r="91" spans="1:14" ht="22" x14ac:dyDescent="0.25">
      <c r="A91" s="1344"/>
      <c r="D91" s="282"/>
      <c r="E91" s="1336"/>
      <c r="F91" s="1338"/>
      <c r="G91" s="1338"/>
      <c r="H91" s="1338"/>
      <c r="I91" s="281"/>
      <c r="L91" s="1330"/>
      <c r="M91" s="1340"/>
      <c r="N91" s="206"/>
    </row>
    <row r="92" spans="1:14" ht="17" thickBot="1" x14ac:dyDescent="0.25">
      <c r="A92" s="1344"/>
      <c r="E92" s="1337"/>
      <c r="F92" s="1339"/>
      <c r="G92" s="1339"/>
      <c r="H92" s="1339"/>
      <c r="I92" s="281"/>
      <c r="L92" s="1331"/>
      <c r="M92" s="1341"/>
      <c r="N92" s="206"/>
    </row>
    <row r="93" spans="1:14" ht="20" thickTop="1" thickBot="1" x14ac:dyDescent="0.35">
      <c r="A93" s="1344"/>
      <c r="B93" s="138" t="s">
        <v>1</v>
      </c>
      <c r="E93" s="280"/>
      <c r="F93" s="280"/>
      <c r="G93" s="279"/>
      <c r="L93" s="286"/>
      <c r="M93" s="285"/>
      <c r="N93" s="206"/>
    </row>
    <row r="94" spans="1:14" ht="19" thickTop="1" x14ac:dyDescent="0.3">
      <c r="A94" s="1344"/>
      <c r="B94" s="171"/>
      <c r="C94" s="171"/>
      <c r="D94" s="238" t="str">
        <f t="shared" ref="D94:D107" si="14">D51</f>
        <v>Les Petite Gâteries</v>
      </c>
      <c r="E94" s="261"/>
      <c r="F94" s="261"/>
      <c r="G94" s="241"/>
      <c r="H94" s="171"/>
      <c r="I94" s="171"/>
      <c r="J94" s="171"/>
      <c r="K94" s="171"/>
      <c r="L94" s="278"/>
      <c r="M94" s="277"/>
      <c r="N94" s="206"/>
    </row>
    <row r="95" spans="1:14" ht="18" x14ac:dyDescent="0.3">
      <c r="A95" s="1344"/>
      <c r="B95" s="171">
        <f t="shared" ref="B95:C106" si="15">B52</f>
        <v>1</v>
      </c>
      <c r="C95" s="171">
        <f t="shared" si="15"/>
        <v>1</v>
      </c>
      <c r="D95" s="171" t="str">
        <f t="shared" si="14"/>
        <v>Petite Gâterie 1</v>
      </c>
      <c r="E95" s="265">
        <f t="shared" ref="E95:F106" si="16">E52</f>
        <v>1.21</v>
      </c>
      <c r="F95" s="264">
        <f t="shared" si="16"/>
        <v>3.3</v>
      </c>
      <c r="G95" s="263">
        <f t="shared" ref="G95:G107" si="17">E95/F95</f>
        <v>0.3666666666666667</v>
      </c>
      <c r="H95" s="262">
        <f t="shared" ref="H95:H107" si="18">F95-E95</f>
        <v>2.09</v>
      </c>
      <c r="I95" s="261"/>
      <c r="J95" s="171"/>
      <c r="K95" s="171"/>
      <c r="L95" s="276"/>
      <c r="M95" s="227"/>
      <c r="N95" s="206"/>
    </row>
    <row r="96" spans="1:14" ht="18" x14ac:dyDescent="0.3">
      <c r="A96" s="1344"/>
      <c r="B96" s="171">
        <f t="shared" si="15"/>
        <v>2</v>
      </c>
      <c r="C96" s="171">
        <f t="shared" si="15"/>
        <v>2</v>
      </c>
      <c r="D96" s="171" t="str">
        <f t="shared" si="14"/>
        <v>Petite Gâterie 2</v>
      </c>
      <c r="E96" s="265">
        <f t="shared" si="16"/>
        <v>1.31</v>
      </c>
      <c r="F96" s="264">
        <f t="shared" si="16"/>
        <v>3.8</v>
      </c>
      <c r="G96" s="263">
        <f t="shared" si="17"/>
        <v>0.34473684210526317</v>
      </c>
      <c r="H96" s="262">
        <f t="shared" si="18"/>
        <v>2.4899999999999998</v>
      </c>
      <c r="I96" s="261"/>
      <c r="J96" s="171"/>
      <c r="K96" s="171"/>
      <c r="L96" s="228"/>
      <c r="M96" s="227"/>
      <c r="N96" s="206"/>
    </row>
    <row r="97" spans="1:14" ht="18" x14ac:dyDescent="0.3">
      <c r="A97" s="1344"/>
      <c r="B97" s="171">
        <f t="shared" si="15"/>
        <v>3</v>
      </c>
      <c r="C97" s="171">
        <f t="shared" si="15"/>
        <v>3</v>
      </c>
      <c r="D97" s="171" t="str">
        <f t="shared" si="14"/>
        <v>Petite Gâterie 3</v>
      </c>
      <c r="E97" s="265">
        <f t="shared" si="16"/>
        <v>1.35</v>
      </c>
      <c r="F97" s="264">
        <f t="shared" si="16"/>
        <v>4</v>
      </c>
      <c r="G97" s="263">
        <f t="shared" si="17"/>
        <v>0.33750000000000002</v>
      </c>
      <c r="H97" s="262">
        <f t="shared" si="18"/>
        <v>2.65</v>
      </c>
      <c r="I97" s="261"/>
      <c r="J97" s="171"/>
      <c r="K97" s="171"/>
      <c r="L97" s="228"/>
      <c r="M97" s="227"/>
      <c r="N97" s="206"/>
    </row>
    <row r="98" spans="1:14" ht="18" x14ac:dyDescent="0.3">
      <c r="A98" s="1344"/>
      <c r="B98" s="171">
        <f t="shared" si="15"/>
        <v>4</v>
      </c>
      <c r="C98" s="171">
        <f t="shared" si="15"/>
        <v>4</v>
      </c>
      <c r="D98" s="171" t="str">
        <f t="shared" si="14"/>
        <v>Petite Gâterie 4</v>
      </c>
      <c r="E98" s="265">
        <f t="shared" si="16"/>
        <v>1.4</v>
      </c>
      <c r="F98" s="264">
        <f t="shared" si="16"/>
        <v>4.5</v>
      </c>
      <c r="G98" s="263">
        <f t="shared" si="17"/>
        <v>0.31111111111111112</v>
      </c>
      <c r="H98" s="262">
        <f t="shared" si="18"/>
        <v>3.1</v>
      </c>
      <c r="I98" s="261"/>
      <c r="J98" s="171"/>
      <c r="K98" s="171"/>
      <c r="L98" s="228"/>
      <c r="M98" s="227"/>
      <c r="N98" s="206"/>
    </row>
    <row r="99" spans="1:14" ht="18" x14ac:dyDescent="0.3">
      <c r="A99" s="1344"/>
      <c r="B99" s="171">
        <f t="shared" si="15"/>
        <v>5</v>
      </c>
      <c r="C99" s="171">
        <f t="shared" si="15"/>
        <v>5</v>
      </c>
      <c r="D99" s="171" t="str">
        <f t="shared" si="14"/>
        <v>Petite Gâterie 5</v>
      </c>
      <c r="E99" s="265">
        <f t="shared" si="16"/>
        <v>1.24</v>
      </c>
      <c r="F99" s="264">
        <f t="shared" si="16"/>
        <v>4.5999999999999996</v>
      </c>
      <c r="G99" s="263">
        <f t="shared" si="17"/>
        <v>0.26956521739130435</v>
      </c>
      <c r="H99" s="262">
        <f t="shared" si="18"/>
        <v>3.3599999999999994</v>
      </c>
      <c r="I99" s="261"/>
      <c r="J99" s="171"/>
      <c r="K99" s="171"/>
      <c r="L99" s="228"/>
      <c r="M99" s="227"/>
      <c r="N99" s="206"/>
    </row>
    <row r="100" spans="1:14" ht="18" x14ac:dyDescent="0.3">
      <c r="A100" s="1344"/>
      <c r="B100" s="171">
        <f t="shared" si="15"/>
        <v>6</v>
      </c>
      <c r="C100" s="171">
        <f t="shared" si="15"/>
        <v>6</v>
      </c>
      <c r="D100" s="171" t="str">
        <f t="shared" si="14"/>
        <v>Petite Gâterie 6</v>
      </c>
      <c r="E100" s="265">
        <f t="shared" si="16"/>
        <v>1.39</v>
      </c>
      <c r="F100" s="264">
        <f t="shared" si="16"/>
        <v>4.7</v>
      </c>
      <c r="G100" s="263">
        <f t="shared" si="17"/>
        <v>0.29574468085106381</v>
      </c>
      <c r="H100" s="262">
        <f t="shared" si="18"/>
        <v>3.3100000000000005</v>
      </c>
      <c r="I100" s="261"/>
      <c r="J100" s="171"/>
      <c r="K100" s="171"/>
      <c r="L100" s="228"/>
      <c r="M100" s="227"/>
      <c r="N100" s="206"/>
    </row>
    <row r="101" spans="1:14" ht="18" x14ac:dyDescent="0.3">
      <c r="A101" s="1344"/>
      <c r="B101" s="171">
        <f t="shared" si="15"/>
        <v>7</v>
      </c>
      <c r="C101" s="171">
        <f t="shared" si="15"/>
        <v>7</v>
      </c>
      <c r="D101" s="171" t="str">
        <f t="shared" si="14"/>
        <v>Petite Gâterie 7</v>
      </c>
      <c r="E101" s="265">
        <f t="shared" si="16"/>
        <v>1.51</v>
      </c>
      <c r="F101" s="264">
        <f t="shared" si="16"/>
        <v>4.8</v>
      </c>
      <c r="G101" s="263">
        <f t="shared" si="17"/>
        <v>0.31458333333333333</v>
      </c>
      <c r="H101" s="262">
        <f t="shared" si="18"/>
        <v>3.29</v>
      </c>
      <c r="I101" s="261"/>
      <c r="J101" s="171"/>
      <c r="K101" s="171"/>
      <c r="L101" s="228"/>
      <c r="M101" s="227"/>
      <c r="N101" s="206"/>
    </row>
    <row r="102" spans="1:14" ht="18" x14ac:dyDescent="0.3">
      <c r="A102" s="1344"/>
      <c r="B102" s="171">
        <f t="shared" si="15"/>
        <v>8</v>
      </c>
      <c r="C102" s="171">
        <f t="shared" si="15"/>
        <v>8</v>
      </c>
      <c r="D102" s="171" t="str">
        <f t="shared" si="14"/>
        <v>Petite Gâterie 8</v>
      </c>
      <c r="E102" s="265">
        <f t="shared" si="16"/>
        <v>1.53</v>
      </c>
      <c r="F102" s="264">
        <f t="shared" si="16"/>
        <v>4.9000000000000004</v>
      </c>
      <c r="G102" s="263">
        <f t="shared" si="17"/>
        <v>0.31224489795918364</v>
      </c>
      <c r="H102" s="262">
        <f t="shared" si="18"/>
        <v>3.37</v>
      </c>
      <c r="I102" s="261"/>
      <c r="J102" s="171"/>
      <c r="K102" s="171"/>
      <c r="L102" s="228"/>
      <c r="M102" s="227"/>
      <c r="N102" s="206"/>
    </row>
    <row r="103" spans="1:14" ht="18" x14ac:dyDescent="0.3">
      <c r="A103" s="1344"/>
      <c r="B103" s="171">
        <f t="shared" si="15"/>
        <v>9</v>
      </c>
      <c r="C103" s="171">
        <f t="shared" si="15"/>
        <v>9</v>
      </c>
      <c r="D103" s="171" t="str">
        <f t="shared" si="14"/>
        <v>Petite Gâterie 9</v>
      </c>
      <c r="E103" s="265">
        <f t="shared" si="16"/>
        <v>1.55</v>
      </c>
      <c r="F103" s="264">
        <f t="shared" si="16"/>
        <v>5</v>
      </c>
      <c r="G103" s="263">
        <f t="shared" si="17"/>
        <v>0.31</v>
      </c>
      <c r="H103" s="262">
        <f t="shared" si="18"/>
        <v>3.45</v>
      </c>
      <c r="I103" s="261"/>
      <c r="J103" s="171"/>
      <c r="K103" s="171"/>
      <c r="L103" s="228"/>
      <c r="M103" s="227"/>
      <c r="N103" s="206"/>
    </row>
    <row r="104" spans="1:14" ht="18" x14ac:dyDescent="0.3">
      <c r="A104" s="1344"/>
      <c r="B104" s="171">
        <f t="shared" si="15"/>
        <v>10</v>
      </c>
      <c r="C104" s="171">
        <f t="shared" si="15"/>
        <v>10</v>
      </c>
      <c r="D104" s="171" t="str">
        <f t="shared" si="14"/>
        <v>Petite Gâterie 10</v>
      </c>
      <c r="E104" s="265">
        <f t="shared" si="16"/>
        <v>1.59</v>
      </c>
      <c r="F104" s="264">
        <f t="shared" si="16"/>
        <v>5.2</v>
      </c>
      <c r="G104" s="263">
        <f t="shared" si="17"/>
        <v>0.30576923076923079</v>
      </c>
      <c r="H104" s="262">
        <f t="shared" si="18"/>
        <v>3.6100000000000003</v>
      </c>
      <c r="I104" s="261"/>
      <c r="J104" s="171"/>
      <c r="K104" s="171"/>
      <c r="L104" s="228"/>
      <c r="M104" s="227"/>
      <c r="N104" s="206"/>
    </row>
    <row r="105" spans="1:14" ht="18" x14ac:dyDescent="0.3">
      <c r="A105" s="1344"/>
      <c r="B105" s="171">
        <f t="shared" si="15"/>
        <v>11</v>
      </c>
      <c r="C105" s="171">
        <f t="shared" si="15"/>
        <v>11</v>
      </c>
      <c r="D105" s="171" t="str">
        <f t="shared" si="14"/>
        <v>Petite Gâterie 11</v>
      </c>
      <c r="E105" s="265">
        <f t="shared" si="16"/>
        <v>1.83</v>
      </c>
      <c r="F105" s="264">
        <f t="shared" si="16"/>
        <v>6.4</v>
      </c>
      <c r="G105" s="263">
        <f t="shared" si="17"/>
        <v>0.28593750000000001</v>
      </c>
      <c r="H105" s="262">
        <f t="shared" si="18"/>
        <v>4.57</v>
      </c>
      <c r="I105" s="261"/>
      <c r="J105" s="171"/>
      <c r="K105" s="171"/>
      <c r="L105" s="228"/>
      <c r="M105" s="227"/>
      <c r="N105" s="206"/>
    </row>
    <row r="106" spans="1:14" ht="18" x14ac:dyDescent="0.3">
      <c r="A106" s="1344"/>
      <c r="B106" s="171">
        <f t="shared" si="15"/>
        <v>12</v>
      </c>
      <c r="C106" s="171">
        <f t="shared" si="15"/>
        <v>12</v>
      </c>
      <c r="D106" s="171" t="str">
        <f t="shared" si="14"/>
        <v>Petite Gâterie 12</v>
      </c>
      <c r="E106" s="265">
        <f t="shared" si="16"/>
        <v>1.87</v>
      </c>
      <c r="F106" s="264">
        <f t="shared" si="16"/>
        <v>6.6</v>
      </c>
      <c r="G106" s="263">
        <f t="shared" si="17"/>
        <v>0.28333333333333338</v>
      </c>
      <c r="H106" s="262">
        <f t="shared" si="18"/>
        <v>4.7299999999999995</v>
      </c>
      <c r="I106" s="261"/>
      <c r="J106" s="171"/>
      <c r="K106" s="171"/>
      <c r="L106" s="228"/>
      <c r="M106" s="227"/>
      <c r="N106" s="206"/>
    </row>
    <row r="107" spans="1:14" ht="19" x14ac:dyDescent="0.35">
      <c r="A107" s="1344"/>
      <c r="B107" s="171"/>
      <c r="C107" s="171"/>
      <c r="D107" s="238" t="str">
        <f t="shared" si="14"/>
        <v>CmO—PmO—Food Cost—BmO</v>
      </c>
      <c r="E107" s="259">
        <f>SUM(E95:E106)/C106</f>
        <v>1.4816666666666667</v>
      </c>
      <c r="F107" s="259">
        <f>SUM(F95:F106)/C106</f>
        <v>4.8166666666666673</v>
      </c>
      <c r="G107" s="274">
        <f t="shared" si="17"/>
        <v>0.30761245674740478</v>
      </c>
      <c r="H107" s="257">
        <f t="shared" si="18"/>
        <v>3.3350000000000009</v>
      </c>
      <c r="I107" s="256"/>
      <c r="J107" s="171"/>
      <c r="K107" s="171"/>
      <c r="L107" s="1022">
        <v>1</v>
      </c>
      <c r="M107" s="227" t="s">
        <v>1</v>
      </c>
      <c r="N107" s="206"/>
    </row>
    <row r="108" spans="1:14" ht="18" x14ac:dyDescent="0.3">
      <c r="A108" s="1344"/>
      <c r="B108" s="171" t="s">
        <v>1</v>
      </c>
      <c r="C108" s="171"/>
      <c r="D108" s="171"/>
      <c r="E108" s="242"/>
      <c r="F108" s="242"/>
      <c r="G108" s="263"/>
      <c r="H108" s="240"/>
      <c r="I108" s="171"/>
      <c r="J108" s="171"/>
      <c r="K108" s="171"/>
      <c r="L108" s="228"/>
      <c r="M108" s="227"/>
      <c r="N108" s="206"/>
    </row>
    <row r="109" spans="1:14" ht="18" x14ac:dyDescent="0.3">
      <c r="A109" s="1344"/>
      <c r="B109" s="171"/>
      <c r="C109" s="171"/>
      <c r="D109" s="238" t="str">
        <f t="shared" ref="D109:D122" si="19">D66</f>
        <v>Les Boissons  Gâteries</v>
      </c>
      <c r="E109" s="242"/>
      <c r="F109" s="242"/>
      <c r="G109" s="263"/>
      <c r="H109" s="240"/>
      <c r="I109" s="171"/>
      <c r="J109" s="171"/>
      <c r="K109" s="171"/>
      <c r="L109" s="228"/>
      <c r="M109" s="227"/>
      <c r="N109" s="206"/>
    </row>
    <row r="110" spans="1:14" ht="18" x14ac:dyDescent="0.3">
      <c r="A110" s="1344"/>
      <c r="B110" s="171">
        <f t="shared" ref="B110:C121" si="20">B67</f>
        <v>13</v>
      </c>
      <c r="C110" s="171">
        <f t="shared" si="20"/>
        <v>1</v>
      </c>
      <c r="D110" s="171" t="str">
        <f t="shared" si="19"/>
        <v>Boisson spécial numéro 1</v>
      </c>
      <c r="E110" s="265">
        <f t="shared" ref="E110:F121" si="21">E67</f>
        <v>2.2799999999999998</v>
      </c>
      <c r="F110" s="264">
        <f t="shared" si="21"/>
        <v>6.6</v>
      </c>
      <c r="G110" s="263">
        <f t="shared" ref="G110:G122" si="22">E110/F110</f>
        <v>0.34545454545454546</v>
      </c>
      <c r="H110" s="262">
        <f t="shared" ref="H110:H122" si="23">F110-E110</f>
        <v>4.32</v>
      </c>
      <c r="I110" s="261"/>
      <c r="J110" s="171"/>
      <c r="K110" s="171"/>
      <c r="L110" s="228"/>
      <c r="M110" s="227"/>
      <c r="N110" s="206"/>
    </row>
    <row r="111" spans="1:14" ht="18" x14ac:dyDescent="0.3">
      <c r="A111" s="1344"/>
      <c r="B111" s="171">
        <f t="shared" si="20"/>
        <v>14</v>
      </c>
      <c r="C111" s="171">
        <f t="shared" si="20"/>
        <v>2</v>
      </c>
      <c r="D111" s="171" t="str">
        <f t="shared" si="19"/>
        <v>Boisson spécial numéro 2</v>
      </c>
      <c r="E111" s="265">
        <f t="shared" si="21"/>
        <v>2.66</v>
      </c>
      <c r="F111" s="264">
        <f t="shared" si="21"/>
        <v>7.6</v>
      </c>
      <c r="G111" s="263">
        <f t="shared" si="22"/>
        <v>0.35000000000000003</v>
      </c>
      <c r="H111" s="262">
        <f t="shared" si="23"/>
        <v>4.9399999999999995</v>
      </c>
      <c r="I111" s="261"/>
      <c r="J111" s="171"/>
      <c r="K111" s="171"/>
      <c r="L111" s="228"/>
      <c r="M111" s="227"/>
      <c r="N111" s="206"/>
    </row>
    <row r="112" spans="1:14" ht="18" x14ac:dyDescent="0.3">
      <c r="A112" s="1344"/>
      <c r="B112" s="171">
        <f t="shared" si="20"/>
        <v>15</v>
      </c>
      <c r="C112" s="171">
        <f t="shared" si="20"/>
        <v>3</v>
      </c>
      <c r="D112" s="171" t="str">
        <f t="shared" si="19"/>
        <v>Boisson spécial numéro 3</v>
      </c>
      <c r="E112" s="265">
        <f t="shared" si="21"/>
        <v>2.74</v>
      </c>
      <c r="F112" s="264">
        <f t="shared" si="21"/>
        <v>8</v>
      </c>
      <c r="G112" s="263">
        <f t="shared" si="22"/>
        <v>0.34250000000000003</v>
      </c>
      <c r="H112" s="262">
        <f t="shared" si="23"/>
        <v>5.26</v>
      </c>
      <c r="I112" s="261"/>
      <c r="J112" s="171"/>
      <c r="K112" s="171"/>
      <c r="L112" s="228"/>
      <c r="M112" s="227"/>
      <c r="N112" s="206"/>
    </row>
    <row r="113" spans="1:14" ht="18" x14ac:dyDescent="0.3">
      <c r="A113" s="1344"/>
      <c r="B113" s="171">
        <f t="shared" si="20"/>
        <v>16</v>
      </c>
      <c r="C113" s="171">
        <f t="shared" si="20"/>
        <v>4</v>
      </c>
      <c r="D113" s="171" t="str">
        <f t="shared" si="19"/>
        <v>Boisson spécial numéro 4</v>
      </c>
      <c r="E113" s="265">
        <f t="shared" si="21"/>
        <v>2.72</v>
      </c>
      <c r="F113" s="264">
        <f t="shared" si="21"/>
        <v>9</v>
      </c>
      <c r="G113" s="263">
        <f t="shared" si="22"/>
        <v>0.30222222222222223</v>
      </c>
      <c r="H113" s="262">
        <f t="shared" si="23"/>
        <v>6.2799999999999994</v>
      </c>
      <c r="I113" s="261"/>
      <c r="J113" s="171"/>
      <c r="K113" s="171"/>
      <c r="L113" s="228"/>
      <c r="M113" s="227"/>
      <c r="N113" s="206"/>
    </row>
    <row r="114" spans="1:14" ht="18" x14ac:dyDescent="0.3">
      <c r="A114" s="1344"/>
      <c r="B114" s="171">
        <f t="shared" si="20"/>
        <v>17</v>
      </c>
      <c r="C114" s="171">
        <f t="shared" si="20"/>
        <v>5</v>
      </c>
      <c r="D114" s="171" t="str">
        <f t="shared" si="19"/>
        <v>Boisson spécial numéro 5</v>
      </c>
      <c r="E114" s="265">
        <f t="shared" si="21"/>
        <v>2.76</v>
      </c>
      <c r="F114" s="264">
        <f t="shared" si="21"/>
        <v>9.1999999999999993</v>
      </c>
      <c r="G114" s="263">
        <f t="shared" si="22"/>
        <v>0.3</v>
      </c>
      <c r="H114" s="262">
        <f t="shared" si="23"/>
        <v>6.4399999999999995</v>
      </c>
      <c r="I114" s="261"/>
      <c r="J114" s="171"/>
      <c r="K114" s="171"/>
      <c r="L114" s="228"/>
      <c r="M114" s="227"/>
      <c r="N114" s="206"/>
    </row>
    <row r="115" spans="1:14" ht="18" x14ac:dyDescent="0.3">
      <c r="A115" s="1344"/>
      <c r="B115" s="171">
        <f t="shared" si="20"/>
        <v>18</v>
      </c>
      <c r="C115" s="171">
        <f t="shared" si="20"/>
        <v>6</v>
      </c>
      <c r="D115" s="171" t="str">
        <f t="shared" si="19"/>
        <v>Boisson spécial numéro 6</v>
      </c>
      <c r="E115" s="265">
        <f t="shared" si="21"/>
        <v>2.8</v>
      </c>
      <c r="F115" s="264">
        <f t="shared" si="21"/>
        <v>9.4</v>
      </c>
      <c r="G115" s="263">
        <f t="shared" si="22"/>
        <v>0.2978723404255319</v>
      </c>
      <c r="H115" s="262">
        <f t="shared" si="23"/>
        <v>6.6000000000000005</v>
      </c>
      <c r="I115" s="261"/>
      <c r="J115" s="171"/>
      <c r="K115" s="171"/>
      <c r="L115" s="228"/>
      <c r="M115" s="227"/>
      <c r="N115" s="206"/>
    </row>
    <row r="116" spans="1:14" ht="18" x14ac:dyDescent="0.3">
      <c r="A116" s="1344"/>
      <c r="B116" s="171">
        <f t="shared" si="20"/>
        <v>19</v>
      </c>
      <c r="C116" s="171">
        <f t="shared" si="20"/>
        <v>7</v>
      </c>
      <c r="D116" s="171" t="str">
        <f t="shared" si="19"/>
        <v>Boisson spécial numéro 7</v>
      </c>
      <c r="E116" s="265">
        <f t="shared" si="21"/>
        <v>2.82</v>
      </c>
      <c r="F116" s="264">
        <f t="shared" si="21"/>
        <v>9.6</v>
      </c>
      <c r="G116" s="263">
        <f t="shared" si="22"/>
        <v>0.29375000000000001</v>
      </c>
      <c r="H116" s="262">
        <f t="shared" si="23"/>
        <v>6.7799999999999994</v>
      </c>
      <c r="I116" s="261"/>
      <c r="J116" s="171"/>
      <c r="K116" s="171"/>
      <c r="L116" s="228"/>
      <c r="M116" s="227"/>
      <c r="N116" s="206"/>
    </row>
    <row r="117" spans="1:14" ht="18" x14ac:dyDescent="0.3">
      <c r="A117" s="1344"/>
      <c r="B117" s="171">
        <f t="shared" si="20"/>
        <v>20</v>
      </c>
      <c r="C117" s="171">
        <f t="shared" si="20"/>
        <v>8</v>
      </c>
      <c r="D117" s="171" t="str">
        <f t="shared" si="19"/>
        <v>Boisson spécial numéro 8</v>
      </c>
      <c r="E117" s="265">
        <f t="shared" si="21"/>
        <v>2.86</v>
      </c>
      <c r="F117" s="264">
        <f t="shared" si="21"/>
        <v>9.8000000000000007</v>
      </c>
      <c r="G117" s="263">
        <f t="shared" si="22"/>
        <v>0.2918367346938775</v>
      </c>
      <c r="H117" s="262">
        <f t="shared" si="23"/>
        <v>6.9400000000000013</v>
      </c>
      <c r="I117" s="261"/>
      <c r="J117" s="171"/>
      <c r="K117" s="171"/>
      <c r="L117" s="228"/>
      <c r="M117" s="227"/>
      <c r="N117" s="206"/>
    </row>
    <row r="118" spans="1:14" ht="18" x14ac:dyDescent="0.3">
      <c r="A118" s="1344"/>
      <c r="B118" s="171">
        <f t="shared" si="20"/>
        <v>21</v>
      </c>
      <c r="C118" s="171">
        <f t="shared" si="20"/>
        <v>9</v>
      </c>
      <c r="D118" s="171" t="str">
        <f t="shared" si="19"/>
        <v>Boisson spécial numéro 9</v>
      </c>
      <c r="E118" s="265">
        <f t="shared" si="21"/>
        <v>2.9</v>
      </c>
      <c r="F118" s="264">
        <f t="shared" si="21"/>
        <v>10</v>
      </c>
      <c r="G118" s="263">
        <f t="shared" si="22"/>
        <v>0.28999999999999998</v>
      </c>
      <c r="H118" s="262">
        <f t="shared" si="23"/>
        <v>7.1</v>
      </c>
      <c r="I118" s="261"/>
      <c r="J118" s="171"/>
      <c r="K118" s="171"/>
      <c r="L118" s="228"/>
      <c r="M118" s="227"/>
      <c r="N118" s="206"/>
    </row>
    <row r="119" spans="1:14" ht="18" x14ac:dyDescent="0.3">
      <c r="A119" s="1344"/>
      <c r="B119" s="171">
        <f t="shared" si="20"/>
        <v>22</v>
      </c>
      <c r="C119" s="171">
        <f t="shared" si="20"/>
        <v>10</v>
      </c>
      <c r="D119" s="171" t="str">
        <f t="shared" si="19"/>
        <v>Boisson spécial numéro 10</v>
      </c>
      <c r="E119" s="265">
        <f t="shared" si="21"/>
        <v>2.98</v>
      </c>
      <c r="F119" s="264">
        <f t="shared" si="21"/>
        <v>10.4</v>
      </c>
      <c r="G119" s="263">
        <f t="shared" si="22"/>
        <v>0.28653846153846152</v>
      </c>
      <c r="H119" s="262">
        <f t="shared" si="23"/>
        <v>7.42</v>
      </c>
      <c r="I119" s="261"/>
      <c r="J119" s="171"/>
      <c r="K119" s="171"/>
      <c r="L119" s="228"/>
      <c r="M119" s="227"/>
      <c r="N119" s="206"/>
    </row>
    <row r="120" spans="1:14" ht="18" x14ac:dyDescent="0.3">
      <c r="A120" s="1344"/>
      <c r="B120" s="171">
        <f t="shared" si="20"/>
        <v>23</v>
      </c>
      <c r="C120" s="171">
        <f t="shared" si="20"/>
        <v>11</v>
      </c>
      <c r="D120" s="171" t="str">
        <f t="shared" si="19"/>
        <v>Boisson spécial numéro 11</v>
      </c>
      <c r="E120" s="265">
        <f t="shared" si="21"/>
        <v>3.18</v>
      </c>
      <c r="F120" s="264">
        <f t="shared" si="21"/>
        <v>11.6</v>
      </c>
      <c r="G120" s="263">
        <f t="shared" si="22"/>
        <v>0.27413793103448281</v>
      </c>
      <c r="H120" s="262">
        <f t="shared" si="23"/>
        <v>8.42</v>
      </c>
      <c r="I120" s="261"/>
      <c r="J120" s="171"/>
      <c r="K120" s="171"/>
      <c r="L120" s="228"/>
      <c r="M120" s="227"/>
      <c r="N120" s="206"/>
    </row>
    <row r="121" spans="1:14" ht="18" x14ac:dyDescent="0.3">
      <c r="A121" s="1344"/>
      <c r="B121" s="171">
        <f t="shared" si="20"/>
        <v>24</v>
      </c>
      <c r="C121" s="171">
        <f t="shared" si="20"/>
        <v>12</v>
      </c>
      <c r="D121" s="171" t="str">
        <f t="shared" si="19"/>
        <v>Boisson spécial numéro 12</v>
      </c>
      <c r="E121" s="265">
        <f t="shared" si="21"/>
        <v>3.48</v>
      </c>
      <c r="F121" s="264">
        <f t="shared" si="21"/>
        <v>13.2</v>
      </c>
      <c r="G121" s="263">
        <f t="shared" si="22"/>
        <v>0.26363636363636367</v>
      </c>
      <c r="H121" s="262">
        <f t="shared" si="23"/>
        <v>9.7199999999999989</v>
      </c>
      <c r="I121" s="261"/>
      <c r="J121" s="171"/>
      <c r="K121" s="171"/>
      <c r="L121" s="228"/>
      <c r="M121" s="227"/>
      <c r="N121" s="206"/>
    </row>
    <row r="122" spans="1:14" ht="19" x14ac:dyDescent="0.35">
      <c r="A122" s="1344"/>
      <c r="B122" s="171"/>
      <c r="C122" s="171"/>
      <c r="D122" s="238" t="str">
        <f t="shared" si="19"/>
        <v>CmO—PmO—Beverage Cost—Marge brute</v>
      </c>
      <c r="E122" s="259">
        <f>SUM(E110:E121)/C121</f>
        <v>2.8483333333333332</v>
      </c>
      <c r="F122" s="259">
        <f>SUM(F110:F121)/C121</f>
        <v>9.5333333333333332</v>
      </c>
      <c r="G122" s="258">
        <f t="shared" si="22"/>
        <v>0.29877622377622376</v>
      </c>
      <c r="H122" s="257">
        <f t="shared" si="23"/>
        <v>6.6850000000000005</v>
      </c>
      <c r="I122" s="256"/>
      <c r="J122" s="171"/>
      <c r="K122" s="171"/>
      <c r="L122" s="1022">
        <v>1</v>
      </c>
      <c r="M122" s="227" t="s">
        <v>1</v>
      </c>
      <c r="N122" s="206"/>
    </row>
    <row r="123" spans="1:14" ht="19" thickBot="1" x14ac:dyDescent="0.35">
      <c r="A123" s="1344"/>
      <c r="B123" s="171"/>
      <c r="C123" s="171"/>
      <c r="D123" s="171"/>
      <c r="E123" s="242"/>
      <c r="F123" s="242"/>
      <c r="G123" s="241"/>
      <c r="H123" s="240"/>
      <c r="I123" s="171"/>
      <c r="J123" s="171"/>
      <c r="K123" s="171"/>
      <c r="L123" s="228"/>
      <c r="M123" s="227"/>
      <c r="N123" s="206"/>
    </row>
    <row r="124" spans="1:14" ht="21" thickTop="1" thickBot="1" x14ac:dyDescent="0.4">
      <c r="A124" s="1344"/>
      <c r="B124" s="171"/>
      <c r="C124" s="253"/>
      <c r="D124" s="252"/>
      <c r="E124" s="251"/>
      <c r="F124" s="251"/>
      <c r="G124" s="250"/>
      <c r="H124" s="249"/>
      <c r="I124" s="248"/>
      <c r="J124" s="171"/>
      <c r="K124" s="171"/>
      <c r="L124" s="228"/>
      <c r="M124" s="227"/>
      <c r="N124" s="206"/>
    </row>
    <row r="125" spans="1:14" ht="20" thickTop="1" thickBot="1" x14ac:dyDescent="0.35">
      <c r="A125" s="1344"/>
      <c r="B125" s="171"/>
      <c r="C125" s="233"/>
      <c r="D125" s="238"/>
      <c r="E125" s="247" t="str">
        <f>E82</f>
        <v>CmO</v>
      </c>
      <c r="F125" s="247" t="str">
        <f>F82</f>
        <v>PmO</v>
      </c>
      <c r="G125" s="246" t="str">
        <f>G82</f>
        <v>F&amp;BCmO</v>
      </c>
      <c r="H125" s="245" t="str">
        <f>H82</f>
        <v>BmO</v>
      </c>
      <c r="I125" s="244"/>
      <c r="J125" s="171"/>
      <c r="K125" s="171"/>
      <c r="L125" s="228"/>
      <c r="M125" s="227"/>
      <c r="N125" s="206"/>
    </row>
    <row r="126" spans="1:14" ht="19" thickTop="1" x14ac:dyDescent="0.3">
      <c r="A126" s="1344"/>
      <c r="B126" s="171"/>
      <c r="C126" s="233"/>
      <c r="D126" s="243" t="str">
        <f>D83</f>
        <v>OFFRE TOTALE AVEC LES GÂTERIES ET LES CAFÉS GÂTERIES</v>
      </c>
      <c r="E126" s="242"/>
      <c r="F126" s="242"/>
      <c r="G126" s="241"/>
      <c r="H126" s="240"/>
      <c r="I126" s="239"/>
      <c r="J126" s="171"/>
      <c r="K126" s="171"/>
      <c r="L126" s="228"/>
      <c r="M126" s="227"/>
      <c r="N126" s="206"/>
    </row>
    <row r="127" spans="1:14" ht="19" x14ac:dyDescent="0.35">
      <c r="A127" s="1344"/>
      <c r="B127" s="171"/>
      <c r="C127" s="233"/>
      <c r="D127" s="238" t="str">
        <f>D84</f>
        <v>CmO—PmO—F&amp;B cost moyen offert—Marge brute</v>
      </c>
      <c r="E127" s="237">
        <f>+(E95+E96+E97+E98+E99+E100+E101+E102+E103+E104+E105+E106+E110+E111+E112+E113+E114+E115+E116+E117+E118+E119+E120+E121)/B121</f>
        <v>2.1649999999999996</v>
      </c>
      <c r="F127" s="237">
        <f>+(F95+F96+F97+F98+F99+F100+F101+F102+F103+F104+F105+F106+F110+F111+F112+F113+F114+F115+F116+F117+F118+F119+F120+F121)/B121</f>
        <v>7.1749999999999998</v>
      </c>
      <c r="G127" s="236">
        <f>E127/F127</f>
        <v>0.30174216027874562</v>
      </c>
      <c r="H127" s="235">
        <f>F127-E127</f>
        <v>5.01</v>
      </c>
      <c r="I127" s="234"/>
      <c r="J127" s="171"/>
      <c r="K127" s="171"/>
      <c r="L127" s="228">
        <f>+L107+L122</f>
        <v>2</v>
      </c>
      <c r="M127" s="227">
        <f>'% Occupation'!F19</f>
        <v>2280</v>
      </c>
      <c r="N127" s="206"/>
    </row>
    <row r="128" spans="1:14" ht="18" x14ac:dyDescent="0.3">
      <c r="A128" s="1344"/>
      <c r="B128" s="171"/>
      <c r="C128" s="233"/>
      <c r="D128" s="171"/>
      <c r="E128" s="232"/>
      <c r="F128" s="232"/>
      <c r="G128" s="231"/>
      <c r="H128" s="230"/>
      <c r="I128" s="229"/>
      <c r="J128" s="171"/>
      <c r="K128" s="171"/>
      <c r="L128" s="228"/>
      <c r="M128" s="227"/>
      <c r="N128" s="206"/>
    </row>
    <row r="129" spans="1:14" ht="19" thickBot="1" x14ac:dyDescent="0.35">
      <c r="A129" s="1344"/>
      <c r="B129" s="171"/>
      <c r="C129" s="226"/>
      <c r="D129" s="225"/>
      <c r="E129" s="224"/>
      <c r="F129" s="224"/>
      <c r="G129" s="223"/>
      <c r="H129" s="222"/>
      <c r="I129" s="221"/>
      <c r="J129" s="171"/>
      <c r="K129" s="171"/>
      <c r="L129" s="220"/>
      <c r="M129" s="219"/>
      <c r="N129" s="206"/>
    </row>
    <row r="130" spans="1:14" ht="19" thickTop="1" x14ac:dyDescent="0.3">
      <c r="A130" s="1344"/>
      <c r="B130" s="291"/>
      <c r="C130" s="291"/>
      <c r="D130" s="291"/>
      <c r="E130" s="291"/>
      <c r="F130" s="291"/>
      <c r="G130" s="291"/>
      <c r="H130" s="291"/>
      <c r="I130" s="291"/>
      <c r="J130" s="171"/>
      <c r="K130" s="171"/>
      <c r="L130" s="286"/>
      <c r="M130" s="285"/>
      <c r="N130" s="206"/>
    </row>
    <row r="131" spans="1:14" ht="23" x14ac:dyDescent="0.3">
      <c r="A131" s="1344"/>
      <c r="D131" s="284" t="s">
        <v>91</v>
      </c>
      <c r="F131" s="280"/>
      <c r="L131" s="286"/>
      <c r="M131" s="285"/>
      <c r="N131" s="206"/>
    </row>
    <row r="132" spans="1:14" ht="24" thickBot="1" x14ac:dyDescent="0.35">
      <c r="A132" s="1344"/>
      <c r="D132" s="282"/>
      <c r="L132" s="286"/>
      <c r="M132" s="285"/>
      <c r="N132" s="206"/>
    </row>
    <row r="133" spans="1:14" ht="23" customHeight="1" thickTop="1" x14ac:dyDescent="0.25">
      <c r="A133" s="1344"/>
      <c r="D133" s="282"/>
      <c r="E133" s="1335" t="str">
        <f>E90</f>
        <v>Coûts des ressources alimentaires pour chaque produit offert (voir recettes standardisées)</v>
      </c>
      <c r="F133" s="1335" t="str">
        <f>F90</f>
        <v>Prix de vente par produit offert</v>
      </c>
      <c r="G133" s="1335" t="str">
        <f>G90</f>
        <v xml:space="preserve">« Food &amp; Beverage Cost » </v>
      </c>
      <c r="H133" s="1335" t="str">
        <f>H90</f>
        <v>Marge brute gagnée sur la vente de chaque produit offert</v>
      </c>
      <c r="I133" s="283"/>
      <c r="L133" s="1329" t="s">
        <v>79</v>
      </c>
      <c r="M133" s="1329" t="s">
        <v>78</v>
      </c>
      <c r="N133" s="206"/>
    </row>
    <row r="134" spans="1:14" ht="22" x14ac:dyDescent="0.25">
      <c r="A134" s="1344"/>
      <c r="D134" s="282"/>
      <c r="E134" s="1336"/>
      <c r="F134" s="1338"/>
      <c r="G134" s="1338"/>
      <c r="H134" s="1338"/>
      <c r="I134" s="281"/>
      <c r="L134" s="1330"/>
      <c r="M134" s="1340"/>
      <c r="N134" s="206"/>
    </row>
    <row r="135" spans="1:14" ht="17" thickBot="1" x14ac:dyDescent="0.25">
      <c r="A135" s="1344"/>
      <c r="E135" s="1337"/>
      <c r="F135" s="1339"/>
      <c r="G135" s="1339"/>
      <c r="H135" s="1339"/>
      <c r="I135" s="281"/>
      <c r="L135" s="1331"/>
      <c r="M135" s="1341"/>
      <c r="N135" s="206"/>
    </row>
    <row r="136" spans="1:14" ht="20" thickTop="1" thickBot="1" x14ac:dyDescent="0.35">
      <c r="A136" s="1344"/>
      <c r="B136" s="138" t="s">
        <v>1</v>
      </c>
      <c r="E136" s="280"/>
      <c r="F136" s="280"/>
      <c r="G136" s="279"/>
      <c r="L136" s="286"/>
      <c r="M136" s="285"/>
      <c r="N136" s="206"/>
    </row>
    <row r="137" spans="1:14" ht="19" thickTop="1" x14ac:dyDescent="0.3">
      <c r="A137" s="1344"/>
      <c r="B137" s="171"/>
      <c r="C137" s="171"/>
      <c r="D137" s="238" t="str">
        <f t="shared" ref="D137:D150" si="24">D94</f>
        <v>Les Petite Gâteries</v>
      </c>
      <c r="E137" s="261"/>
      <c r="F137" s="261"/>
      <c r="G137" s="241"/>
      <c r="H137" s="171"/>
      <c r="I137" s="171"/>
      <c r="J137" s="171"/>
      <c r="K137" s="171"/>
      <c r="L137" s="278"/>
      <c r="M137" s="277"/>
      <c r="N137" s="206"/>
    </row>
    <row r="138" spans="1:14" ht="18" x14ac:dyDescent="0.3">
      <c r="A138" s="1344"/>
      <c r="B138" s="171">
        <f t="shared" ref="B138:C149" si="25">B95</f>
        <v>1</v>
      </c>
      <c r="C138" s="171">
        <f t="shared" si="25"/>
        <v>1</v>
      </c>
      <c r="D138" s="171" t="str">
        <f t="shared" si="24"/>
        <v>Petite Gâterie 1</v>
      </c>
      <c r="E138" s="265">
        <f t="shared" ref="E138:E149" si="26">E95</f>
        <v>1.21</v>
      </c>
      <c r="F138" s="273">
        <v>3.3</v>
      </c>
      <c r="G138" s="263">
        <f t="shared" ref="G138:G150" si="27">E138/F138</f>
        <v>0.3666666666666667</v>
      </c>
      <c r="H138" s="262">
        <f t="shared" ref="H138:H150" si="28">F138-E138</f>
        <v>2.09</v>
      </c>
      <c r="I138" s="261">
        <f>F138</f>
        <v>3.3</v>
      </c>
      <c r="J138" s="1342">
        <f>3/12</f>
        <v>0.25</v>
      </c>
      <c r="K138" s="266"/>
      <c r="L138" s="276"/>
      <c r="M138" s="227"/>
      <c r="N138" s="206"/>
    </row>
    <row r="139" spans="1:14" ht="18" x14ac:dyDescent="0.3">
      <c r="A139" s="1344"/>
      <c r="B139" s="171">
        <f t="shared" si="25"/>
        <v>2</v>
      </c>
      <c r="C139" s="171">
        <f t="shared" si="25"/>
        <v>2</v>
      </c>
      <c r="D139" s="171" t="str">
        <f t="shared" si="24"/>
        <v>Petite Gâterie 2</v>
      </c>
      <c r="E139" s="265">
        <f t="shared" si="26"/>
        <v>1.31</v>
      </c>
      <c r="F139" s="273">
        <f t="shared" ref="F139:F149" si="29">F96</f>
        <v>3.8</v>
      </c>
      <c r="G139" s="263">
        <f t="shared" si="27"/>
        <v>0.34473684210526317</v>
      </c>
      <c r="H139" s="262">
        <f t="shared" si="28"/>
        <v>2.4899999999999998</v>
      </c>
      <c r="I139" s="261"/>
      <c r="J139" s="1333"/>
      <c r="K139" s="260"/>
      <c r="L139" s="228"/>
      <c r="M139" s="227"/>
      <c r="N139" s="206"/>
    </row>
    <row r="140" spans="1:14" ht="19" thickBot="1" x14ac:dyDescent="0.35">
      <c r="A140" s="1344"/>
      <c r="B140" s="272">
        <f t="shared" si="25"/>
        <v>3</v>
      </c>
      <c r="C140" s="272">
        <f t="shared" si="25"/>
        <v>3</v>
      </c>
      <c r="D140" s="272" t="str">
        <f t="shared" si="24"/>
        <v>Petite Gâterie 3</v>
      </c>
      <c r="E140" s="271">
        <f t="shared" si="26"/>
        <v>1.35</v>
      </c>
      <c r="F140" s="275">
        <f t="shared" si="29"/>
        <v>4</v>
      </c>
      <c r="G140" s="269">
        <f t="shared" si="27"/>
        <v>0.33750000000000002</v>
      </c>
      <c r="H140" s="268">
        <f t="shared" si="28"/>
        <v>2.65</v>
      </c>
      <c r="I140" s="267">
        <f>+I138+1.066667</f>
        <v>4.3666669999999996</v>
      </c>
      <c r="J140" s="1334"/>
      <c r="K140" s="260"/>
      <c r="L140" s="228"/>
      <c r="M140" s="227"/>
      <c r="N140" s="206"/>
    </row>
    <row r="141" spans="1:14" ht="18" x14ac:dyDescent="0.3">
      <c r="A141" s="1344"/>
      <c r="B141" s="171">
        <f t="shared" si="25"/>
        <v>4</v>
      </c>
      <c r="C141" s="171">
        <f t="shared" si="25"/>
        <v>4</v>
      </c>
      <c r="D141" s="171" t="str">
        <f t="shared" si="24"/>
        <v>Petite Gâterie 4</v>
      </c>
      <c r="E141" s="265">
        <f t="shared" si="26"/>
        <v>1.4</v>
      </c>
      <c r="F141" s="273">
        <f t="shared" si="29"/>
        <v>4.5</v>
      </c>
      <c r="G141" s="263">
        <f t="shared" si="27"/>
        <v>0.31111111111111112</v>
      </c>
      <c r="H141" s="262">
        <f t="shared" si="28"/>
        <v>3.1</v>
      </c>
      <c r="I141" s="261">
        <f>+I140+0.01</f>
        <v>4.3766669999999994</v>
      </c>
      <c r="J141" s="1332">
        <f>7/12</f>
        <v>0.58333333333333337</v>
      </c>
      <c r="K141" s="266"/>
      <c r="L141" s="228"/>
      <c r="M141" s="227"/>
      <c r="N141" s="206"/>
    </row>
    <row r="142" spans="1:14" ht="18" x14ac:dyDescent="0.3">
      <c r="A142" s="1344"/>
      <c r="B142" s="171">
        <f t="shared" si="25"/>
        <v>5</v>
      </c>
      <c r="C142" s="171">
        <f t="shared" si="25"/>
        <v>5</v>
      </c>
      <c r="D142" s="171" t="str">
        <f t="shared" si="24"/>
        <v>Petite Gâterie 5</v>
      </c>
      <c r="E142" s="265">
        <f t="shared" si="26"/>
        <v>1.24</v>
      </c>
      <c r="F142" s="273">
        <f t="shared" si="29"/>
        <v>4.5999999999999996</v>
      </c>
      <c r="G142" s="263">
        <f t="shared" si="27"/>
        <v>0.26956521739130435</v>
      </c>
      <c r="H142" s="262">
        <f t="shared" si="28"/>
        <v>3.3599999999999994</v>
      </c>
      <c r="I142" s="261"/>
      <c r="J142" s="1333"/>
      <c r="K142" s="260"/>
      <c r="L142" s="228"/>
      <c r="M142" s="227"/>
      <c r="N142" s="206"/>
    </row>
    <row r="143" spans="1:14" ht="18" x14ac:dyDescent="0.3">
      <c r="A143" s="1344"/>
      <c r="B143" s="171">
        <f t="shared" si="25"/>
        <v>6</v>
      </c>
      <c r="C143" s="171">
        <f t="shared" si="25"/>
        <v>6</v>
      </c>
      <c r="D143" s="171" t="str">
        <f t="shared" si="24"/>
        <v>Petite Gâterie 6</v>
      </c>
      <c r="E143" s="265">
        <f t="shared" si="26"/>
        <v>1.39</v>
      </c>
      <c r="F143" s="273">
        <f t="shared" si="29"/>
        <v>4.7</v>
      </c>
      <c r="G143" s="263">
        <f t="shared" si="27"/>
        <v>0.29574468085106381</v>
      </c>
      <c r="H143" s="262">
        <f t="shared" si="28"/>
        <v>3.3100000000000005</v>
      </c>
      <c r="I143" s="261"/>
      <c r="J143" s="1333"/>
      <c r="K143" s="260"/>
      <c r="L143" s="228"/>
      <c r="M143" s="227"/>
      <c r="N143" s="206"/>
    </row>
    <row r="144" spans="1:14" ht="18" x14ac:dyDescent="0.3">
      <c r="A144" s="1344"/>
      <c r="B144" s="171">
        <f t="shared" si="25"/>
        <v>7</v>
      </c>
      <c r="C144" s="171">
        <f t="shared" si="25"/>
        <v>7</v>
      </c>
      <c r="D144" s="171" t="str">
        <f t="shared" si="24"/>
        <v>Petite Gâterie 7</v>
      </c>
      <c r="E144" s="265">
        <f t="shared" si="26"/>
        <v>1.51</v>
      </c>
      <c r="F144" s="273">
        <f t="shared" si="29"/>
        <v>4.8</v>
      </c>
      <c r="G144" s="263">
        <f t="shared" si="27"/>
        <v>0.31458333333333333</v>
      </c>
      <c r="H144" s="262">
        <f t="shared" si="28"/>
        <v>3.29</v>
      </c>
      <c r="I144" s="261"/>
      <c r="J144" s="1333"/>
      <c r="K144" s="260"/>
      <c r="L144" s="228"/>
      <c r="M144" s="227"/>
      <c r="N144" s="206"/>
    </row>
    <row r="145" spans="1:14" ht="18" x14ac:dyDescent="0.3">
      <c r="A145" s="1344"/>
      <c r="B145" s="171">
        <f t="shared" si="25"/>
        <v>8</v>
      </c>
      <c r="C145" s="171">
        <f t="shared" si="25"/>
        <v>8</v>
      </c>
      <c r="D145" s="171" t="str">
        <f t="shared" si="24"/>
        <v>Petite Gâterie 8</v>
      </c>
      <c r="E145" s="265">
        <f t="shared" si="26"/>
        <v>1.53</v>
      </c>
      <c r="F145" s="273">
        <f t="shared" si="29"/>
        <v>4.9000000000000004</v>
      </c>
      <c r="G145" s="263">
        <f t="shared" si="27"/>
        <v>0.31224489795918364</v>
      </c>
      <c r="H145" s="262">
        <f t="shared" si="28"/>
        <v>3.37</v>
      </c>
      <c r="I145" s="261"/>
      <c r="J145" s="1333"/>
      <c r="K145" s="260"/>
      <c r="L145" s="228"/>
      <c r="M145" s="227"/>
      <c r="N145" s="206"/>
    </row>
    <row r="146" spans="1:14" ht="18" x14ac:dyDescent="0.3">
      <c r="A146" s="1344"/>
      <c r="B146" s="171">
        <f t="shared" si="25"/>
        <v>9</v>
      </c>
      <c r="C146" s="171">
        <f t="shared" si="25"/>
        <v>9</v>
      </c>
      <c r="D146" s="171" t="str">
        <f t="shared" si="24"/>
        <v>Petite Gâterie 9</v>
      </c>
      <c r="E146" s="265">
        <f t="shared" si="26"/>
        <v>1.55</v>
      </c>
      <c r="F146" s="273">
        <f t="shared" si="29"/>
        <v>5</v>
      </c>
      <c r="G146" s="263">
        <f t="shared" si="27"/>
        <v>0.31</v>
      </c>
      <c r="H146" s="262">
        <f t="shared" si="28"/>
        <v>3.45</v>
      </c>
      <c r="I146" s="261"/>
      <c r="J146" s="1333"/>
      <c r="K146" s="260"/>
      <c r="L146" s="228"/>
      <c r="M146" s="227"/>
      <c r="N146" s="206"/>
    </row>
    <row r="147" spans="1:14" ht="19" thickBot="1" x14ac:dyDescent="0.35">
      <c r="A147" s="1344"/>
      <c r="B147" s="272">
        <f t="shared" si="25"/>
        <v>10</v>
      </c>
      <c r="C147" s="272">
        <f t="shared" si="25"/>
        <v>10</v>
      </c>
      <c r="D147" s="272" t="str">
        <f t="shared" si="24"/>
        <v>Petite Gâterie 10</v>
      </c>
      <c r="E147" s="271">
        <f t="shared" si="26"/>
        <v>1.59</v>
      </c>
      <c r="F147" s="275">
        <f t="shared" si="29"/>
        <v>5.2</v>
      </c>
      <c r="G147" s="269">
        <f t="shared" si="27"/>
        <v>0.30576923076923079</v>
      </c>
      <c r="H147" s="268">
        <f t="shared" si="28"/>
        <v>3.6100000000000003</v>
      </c>
      <c r="I147" s="267">
        <f>+I140+1.066667</f>
        <v>5.4333339999999994</v>
      </c>
      <c r="J147" s="1334"/>
      <c r="K147" s="260"/>
      <c r="L147" s="228"/>
      <c r="M147" s="227"/>
      <c r="N147" s="206"/>
    </row>
    <row r="148" spans="1:14" ht="18" x14ac:dyDescent="0.3">
      <c r="A148" s="1344"/>
      <c r="B148" s="171">
        <f t="shared" si="25"/>
        <v>11</v>
      </c>
      <c r="C148" s="171">
        <f t="shared" si="25"/>
        <v>11</v>
      </c>
      <c r="D148" s="171" t="str">
        <f t="shared" si="24"/>
        <v>Petite Gâterie 11</v>
      </c>
      <c r="E148" s="265">
        <f t="shared" si="26"/>
        <v>1.83</v>
      </c>
      <c r="F148" s="273">
        <f t="shared" si="29"/>
        <v>6.4</v>
      </c>
      <c r="G148" s="263">
        <f t="shared" si="27"/>
        <v>0.28593750000000001</v>
      </c>
      <c r="H148" s="262">
        <f t="shared" si="28"/>
        <v>4.57</v>
      </c>
      <c r="I148" s="261">
        <f>+I147+0.01</f>
        <v>5.4433339999999992</v>
      </c>
      <c r="J148" s="1332">
        <f>2/12</f>
        <v>0.16666666666666666</v>
      </c>
      <c r="K148" s="266"/>
      <c r="L148" s="228"/>
      <c r="M148" s="227"/>
      <c r="N148" s="206"/>
    </row>
    <row r="149" spans="1:14" ht="18" x14ac:dyDescent="0.3">
      <c r="A149" s="1344"/>
      <c r="B149" s="171">
        <f t="shared" si="25"/>
        <v>12</v>
      </c>
      <c r="C149" s="171">
        <f t="shared" si="25"/>
        <v>12</v>
      </c>
      <c r="D149" s="171" t="str">
        <f t="shared" si="24"/>
        <v>Petite Gâterie 12</v>
      </c>
      <c r="E149" s="265">
        <f t="shared" si="26"/>
        <v>1.87</v>
      </c>
      <c r="F149" s="273">
        <f t="shared" si="29"/>
        <v>6.6</v>
      </c>
      <c r="G149" s="263">
        <f t="shared" si="27"/>
        <v>0.28333333333333338</v>
      </c>
      <c r="H149" s="262">
        <f t="shared" si="28"/>
        <v>4.7299999999999995</v>
      </c>
      <c r="I149" s="261">
        <f>F149</f>
        <v>6.6</v>
      </c>
      <c r="J149" s="1333"/>
      <c r="K149" s="260"/>
      <c r="L149" s="228"/>
      <c r="M149" s="227"/>
      <c r="N149" s="206"/>
    </row>
    <row r="150" spans="1:14" ht="19" x14ac:dyDescent="0.35">
      <c r="A150" s="1344"/>
      <c r="B150" s="171"/>
      <c r="C150" s="171"/>
      <c r="D150" s="238" t="str">
        <f t="shared" si="24"/>
        <v>CmO—PmO—Food Cost—BmO</v>
      </c>
      <c r="E150" s="259">
        <f>SUM(E138:E149)/C149</f>
        <v>1.4816666666666667</v>
      </c>
      <c r="F150" s="290">
        <f>SUM(F138:F149)/C149</f>
        <v>4.8166666666666673</v>
      </c>
      <c r="G150" s="274">
        <f t="shared" si="27"/>
        <v>0.30761245674740478</v>
      </c>
      <c r="H150" s="257">
        <f t="shared" si="28"/>
        <v>3.3350000000000009</v>
      </c>
      <c r="I150" s="256"/>
      <c r="J150" s="171"/>
      <c r="K150" s="171"/>
      <c r="L150" s="1022">
        <v>1.05</v>
      </c>
      <c r="M150" s="227" t="s">
        <v>1</v>
      </c>
      <c r="N150" s="206"/>
    </row>
    <row r="151" spans="1:14" ht="18" x14ac:dyDescent="0.3">
      <c r="A151" s="1344"/>
      <c r="B151" s="171" t="s">
        <v>1</v>
      </c>
      <c r="C151" s="171"/>
      <c r="D151" s="171"/>
      <c r="E151" s="242"/>
      <c r="F151" s="289"/>
      <c r="G151" s="263"/>
      <c r="H151" s="240"/>
      <c r="I151" s="261"/>
      <c r="J151" s="171"/>
      <c r="K151" s="171"/>
      <c r="L151" s="228"/>
      <c r="M151" s="227"/>
      <c r="N151" s="206"/>
    </row>
    <row r="152" spans="1:14" ht="18" x14ac:dyDescent="0.3">
      <c r="A152" s="1344"/>
      <c r="B152" s="171"/>
      <c r="C152" s="171"/>
      <c r="D152" s="238" t="str">
        <f t="shared" ref="D152:D165" si="30">D109</f>
        <v>Les Boissons  Gâteries</v>
      </c>
      <c r="E152" s="242"/>
      <c r="F152" s="289"/>
      <c r="G152" s="263"/>
      <c r="H152" s="240"/>
      <c r="I152" s="261"/>
      <c r="J152" s="171"/>
      <c r="K152" s="171"/>
      <c r="L152" s="228"/>
      <c r="M152" s="227"/>
      <c r="N152" s="206"/>
    </row>
    <row r="153" spans="1:14" ht="18" x14ac:dyDescent="0.3">
      <c r="A153" s="1344"/>
      <c r="B153" s="171">
        <f t="shared" ref="B153:C164" si="31">B110</f>
        <v>13</v>
      </c>
      <c r="C153" s="171">
        <f t="shared" si="31"/>
        <v>1</v>
      </c>
      <c r="D153" s="171" t="str">
        <f t="shared" si="30"/>
        <v>Boisson spécial numéro 1</v>
      </c>
      <c r="E153" s="265">
        <f t="shared" ref="E153:F164" si="32">E110</f>
        <v>2.2799999999999998</v>
      </c>
      <c r="F153" s="273">
        <f t="shared" si="32"/>
        <v>6.6</v>
      </c>
      <c r="G153" s="263">
        <f t="shared" ref="G153:G165" si="33">E153/F153</f>
        <v>0.34545454545454546</v>
      </c>
      <c r="H153" s="262">
        <f t="shared" ref="H153:H165" si="34">F153-E153</f>
        <v>4.32</v>
      </c>
      <c r="I153" s="261">
        <f>F153</f>
        <v>6.6</v>
      </c>
      <c r="J153" s="1342">
        <f>3/12</f>
        <v>0.25</v>
      </c>
      <c r="K153" s="266"/>
      <c r="L153" s="228"/>
      <c r="M153" s="227"/>
      <c r="N153" s="206"/>
    </row>
    <row r="154" spans="1:14" ht="18" x14ac:dyDescent="0.3">
      <c r="A154" s="1344"/>
      <c r="B154" s="171">
        <f t="shared" si="31"/>
        <v>14</v>
      </c>
      <c r="C154" s="171">
        <f t="shared" si="31"/>
        <v>2</v>
      </c>
      <c r="D154" s="171" t="str">
        <f t="shared" si="30"/>
        <v>Boisson spécial numéro 2</v>
      </c>
      <c r="E154" s="265">
        <f t="shared" si="32"/>
        <v>2.66</v>
      </c>
      <c r="F154" s="273">
        <f t="shared" si="32"/>
        <v>7.6</v>
      </c>
      <c r="G154" s="263">
        <f t="shared" si="33"/>
        <v>0.35000000000000003</v>
      </c>
      <c r="H154" s="262">
        <f t="shared" si="34"/>
        <v>4.9399999999999995</v>
      </c>
      <c r="I154" s="261"/>
      <c r="J154" s="1333"/>
      <c r="K154" s="260"/>
      <c r="L154" s="228"/>
      <c r="M154" s="227"/>
      <c r="N154" s="206"/>
    </row>
    <row r="155" spans="1:14" ht="19" thickBot="1" x14ac:dyDescent="0.35">
      <c r="A155" s="1344"/>
      <c r="B155" s="272">
        <f t="shared" si="31"/>
        <v>15</v>
      </c>
      <c r="C155" s="272">
        <f t="shared" si="31"/>
        <v>3</v>
      </c>
      <c r="D155" s="272" t="str">
        <f t="shared" si="30"/>
        <v>Boisson spécial numéro 3</v>
      </c>
      <c r="E155" s="271">
        <f t="shared" si="32"/>
        <v>2.74</v>
      </c>
      <c r="F155" s="275">
        <f t="shared" si="32"/>
        <v>8</v>
      </c>
      <c r="G155" s="269">
        <f t="shared" si="33"/>
        <v>0.34250000000000003</v>
      </c>
      <c r="H155" s="268">
        <f t="shared" si="34"/>
        <v>5.26</v>
      </c>
      <c r="I155" s="267">
        <f>+I153+2.166667</f>
        <v>8.766667</v>
      </c>
      <c r="J155" s="1334"/>
      <c r="K155" s="260"/>
      <c r="L155" s="228"/>
      <c r="M155" s="227"/>
      <c r="N155" s="206"/>
    </row>
    <row r="156" spans="1:14" ht="18" x14ac:dyDescent="0.3">
      <c r="A156" s="1344"/>
      <c r="B156" s="171">
        <f t="shared" si="31"/>
        <v>16</v>
      </c>
      <c r="C156" s="171">
        <f t="shared" si="31"/>
        <v>4</v>
      </c>
      <c r="D156" s="171" t="str">
        <f t="shared" si="30"/>
        <v>Boisson spécial numéro 4</v>
      </c>
      <c r="E156" s="265">
        <f t="shared" si="32"/>
        <v>2.72</v>
      </c>
      <c r="F156" s="273">
        <f t="shared" si="32"/>
        <v>9</v>
      </c>
      <c r="G156" s="263">
        <f t="shared" si="33"/>
        <v>0.30222222222222223</v>
      </c>
      <c r="H156" s="262">
        <f t="shared" si="34"/>
        <v>6.2799999999999994</v>
      </c>
      <c r="I156" s="261">
        <f>+I155+0.01</f>
        <v>8.7766669999999998</v>
      </c>
      <c r="J156" s="1332">
        <f>7/12</f>
        <v>0.58333333333333337</v>
      </c>
      <c r="K156" s="266"/>
      <c r="L156" s="228"/>
      <c r="M156" s="227"/>
      <c r="N156" s="206"/>
    </row>
    <row r="157" spans="1:14" ht="18" x14ac:dyDescent="0.3">
      <c r="A157" s="1344"/>
      <c r="B157" s="171">
        <f t="shared" si="31"/>
        <v>17</v>
      </c>
      <c r="C157" s="171">
        <f t="shared" si="31"/>
        <v>5</v>
      </c>
      <c r="D157" s="171" t="str">
        <f t="shared" si="30"/>
        <v>Boisson spécial numéro 5</v>
      </c>
      <c r="E157" s="265">
        <f t="shared" si="32"/>
        <v>2.76</v>
      </c>
      <c r="F157" s="273">
        <f t="shared" si="32"/>
        <v>9.1999999999999993</v>
      </c>
      <c r="G157" s="263">
        <f t="shared" si="33"/>
        <v>0.3</v>
      </c>
      <c r="H157" s="262">
        <f t="shared" si="34"/>
        <v>6.4399999999999995</v>
      </c>
      <c r="I157" s="261"/>
      <c r="J157" s="1333"/>
      <c r="K157" s="260"/>
      <c r="L157" s="228"/>
      <c r="M157" s="227"/>
      <c r="N157" s="206"/>
    </row>
    <row r="158" spans="1:14" ht="18" x14ac:dyDescent="0.3">
      <c r="A158" s="1344"/>
      <c r="B158" s="171">
        <f t="shared" si="31"/>
        <v>18</v>
      </c>
      <c r="C158" s="171">
        <f t="shared" si="31"/>
        <v>6</v>
      </c>
      <c r="D158" s="171" t="str">
        <f t="shared" si="30"/>
        <v>Boisson spécial numéro 6</v>
      </c>
      <c r="E158" s="265">
        <f t="shared" si="32"/>
        <v>2.8</v>
      </c>
      <c r="F158" s="273">
        <f t="shared" si="32"/>
        <v>9.4</v>
      </c>
      <c r="G158" s="263">
        <f t="shared" si="33"/>
        <v>0.2978723404255319</v>
      </c>
      <c r="H158" s="262">
        <f t="shared" si="34"/>
        <v>6.6000000000000005</v>
      </c>
      <c r="I158" s="261"/>
      <c r="J158" s="1333"/>
      <c r="K158" s="260"/>
      <c r="L158" s="228"/>
      <c r="M158" s="227"/>
      <c r="N158" s="206"/>
    </row>
    <row r="159" spans="1:14" ht="18" x14ac:dyDescent="0.3">
      <c r="A159" s="1344"/>
      <c r="B159" s="171">
        <f t="shared" si="31"/>
        <v>19</v>
      </c>
      <c r="C159" s="171">
        <f t="shared" si="31"/>
        <v>7</v>
      </c>
      <c r="D159" s="171" t="str">
        <f t="shared" si="30"/>
        <v>Boisson spécial numéro 7</v>
      </c>
      <c r="E159" s="265">
        <f t="shared" si="32"/>
        <v>2.82</v>
      </c>
      <c r="F159" s="273">
        <f t="shared" si="32"/>
        <v>9.6</v>
      </c>
      <c r="G159" s="263">
        <f t="shared" si="33"/>
        <v>0.29375000000000001</v>
      </c>
      <c r="H159" s="262">
        <f t="shared" si="34"/>
        <v>6.7799999999999994</v>
      </c>
      <c r="I159" s="261"/>
      <c r="J159" s="1333"/>
      <c r="K159" s="260"/>
      <c r="L159" s="228"/>
      <c r="M159" s="227"/>
      <c r="N159" s="206"/>
    </row>
    <row r="160" spans="1:14" ht="18" x14ac:dyDescent="0.3">
      <c r="A160" s="1344"/>
      <c r="B160" s="171">
        <f t="shared" si="31"/>
        <v>20</v>
      </c>
      <c r="C160" s="171">
        <f t="shared" si="31"/>
        <v>8</v>
      </c>
      <c r="D160" s="171" t="str">
        <f t="shared" si="30"/>
        <v>Boisson spécial numéro 8</v>
      </c>
      <c r="E160" s="265">
        <f t="shared" si="32"/>
        <v>2.86</v>
      </c>
      <c r="F160" s="273">
        <f t="shared" si="32"/>
        <v>9.8000000000000007</v>
      </c>
      <c r="G160" s="263">
        <f t="shared" si="33"/>
        <v>0.2918367346938775</v>
      </c>
      <c r="H160" s="262">
        <f t="shared" si="34"/>
        <v>6.9400000000000013</v>
      </c>
      <c r="I160" s="261"/>
      <c r="J160" s="1333"/>
      <c r="K160" s="260"/>
      <c r="L160" s="228"/>
      <c r="M160" s="227"/>
      <c r="N160" s="206"/>
    </row>
    <row r="161" spans="1:14" ht="18" x14ac:dyDescent="0.3">
      <c r="A161" s="1344"/>
      <c r="B161" s="171">
        <f t="shared" si="31"/>
        <v>21</v>
      </c>
      <c r="C161" s="171">
        <f t="shared" si="31"/>
        <v>9</v>
      </c>
      <c r="D161" s="171" t="str">
        <f t="shared" si="30"/>
        <v>Boisson spécial numéro 9</v>
      </c>
      <c r="E161" s="265">
        <f t="shared" si="32"/>
        <v>2.9</v>
      </c>
      <c r="F161" s="273">
        <f t="shared" si="32"/>
        <v>10</v>
      </c>
      <c r="G161" s="263">
        <f t="shared" si="33"/>
        <v>0.28999999999999998</v>
      </c>
      <c r="H161" s="262">
        <f t="shared" si="34"/>
        <v>7.1</v>
      </c>
      <c r="I161" s="261"/>
      <c r="J161" s="1333"/>
      <c r="K161" s="260"/>
      <c r="L161" s="228"/>
      <c r="M161" s="227"/>
      <c r="N161" s="206"/>
    </row>
    <row r="162" spans="1:14" ht="19" thickBot="1" x14ac:dyDescent="0.35">
      <c r="A162" s="1344"/>
      <c r="B162" s="272">
        <f t="shared" si="31"/>
        <v>22</v>
      </c>
      <c r="C162" s="272">
        <f t="shared" si="31"/>
        <v>10</v>
      </c>
      <c r="D162" s="272" t="str">
        <f t="shared" si="30"/>
        <v>Boisson spécial numéro 10</v>
      </c>
      <c r="E162" s="271">
        <f t="shared" si="32"/>
        <v>2.98</v>
      </c>
      <c r="F162" s="275">
        <f t="shared" si="32"/>
        <v>10.4</v>
      </c>
      <c r="G162" s="269">
        <f t="shared" si="33"/>
        <v>0.28653846153846152</v>
      </c>
      <c r="H162" s="268">
        <f t="shared" si="34"/>
        <v>7.42</v>
      </c>
      <c r="I162" s="267">
        <f>+I155+2.166667</f>
        <v>10.933334</v>
      </c>
      <c r="J162" s="1334"/>
      <c r="K162" s="260"/>
      <c r="L162" s="228"/>
      <c r="M162" s="227"/>
      <c r="N162" s="206"/>
    </row>
    <row r="163" spans="1:14" ht="18" x14ac:dyDescent="0.3">
      <c r="A163" s="1344"/>
      <c r="B163" s="171">
        <f t="shared" si="31"/>
        <v>23</v>
      </c>
      <c r="C163" s="171">
        <f t="shared" si="31"/>
        <v>11</v>
      </c>
      <c r="D163" s="171" t="str">
        <f t="shared" si="30"/>
        <v>Boisson spécial numéro 11</v>
      </c>
      <c r="E163" s="265">
        <f t="shared" si="32"/>
        <v>3.18</v>
      </c>
      <c r="F163" s="273">
        <f t="shared" si="32"/>
        <v>11.6</v>
      </c>
      <c r="G163" s="263">
        <f t="shared" si="33"/>
        <v>0.27413793103448281</v>
      </c>
      <c r="H163" s="262">
        <f t="shared" si="34"/>
        <v>8.42</v>
      </c>
      <c r="I163" s="261">
        <f>+I162+0.01</f>
        <v>10.943334</v>
      </c>
      <c r="J163" s="1332">
        <f>2/12</f>
        <v>0.16666666666666666</v>
      </c>
      <c r="K163" s="266"/>
      <c r="L163" s="228"/>
      <c r="M163" s="227"/>
      <c r="N163" s="206"/>
    </row>
    <row r="164" spans="1:14" ht="18" x14ac:dyDescent="0.3">
      <c r="A164" s="1344"/>
      <c r="B164" s="171">
        <f t="shared" si="31"/>
        <v>24</v>
      </c>
      <c r="C164" s="171">
        <f t="shared" si="31"/>
        <v>12</v>
      </c>
      <c r="D164" s="171" t="str">
        <f t="shared" si="30"/>
        <v>Boisson spécial numéro 12</v>
      </c>
      <c r="E164" s="265">
        <f t="shared" si="32"/>
        <v>3.48</v>
      </c>
      <c r="F164" s="264">
        <f t="shared" si="32"/>
        <v>13.2</v>
      </c>
      <c r="G164" s="263">
        <f t="shared" si="33"/>
        <v>0.26363636363636367</v>
      </c>
      <c r="H164" s="262">
        <f t="shared" si="34"/>
        <v>9.7199999999999989</v>
      </c>
      <c r="I164" s="261">
        <f>F164</f>
        <v>13.2</v>
      </c>
      <c r="J164" s="1333"/>
      <c r="K164" s="260"/>
      <c r="L164" s="228"/>
      <c r="M164" s="227"/>
      <c r="N164" s="206"/>
    </row>
    <row r="165" spans="1:14" ht="19" x14ac:dyDescent="0.35">
      <c r="A165" s="1344"/>
      <c r="B165" s="171"/>
      <c r="C165" s="171"/>
      <c r="D165" s="238" t="str">
        <f t="shared" si="30"/>
        <v>CmO—PmO—Beverage Cost—Marge brute</v>
      </c>
      <c r="E165" s="259">
        <f>SUM(E153:E164)/C164</f>
        <v>2.8483333333333332</v>
      </c>
      <c r="F165" s="259">
        <f>SUM(F153:F164)/C164</f>
        <v>9.5333333333333332</v>
      </c>
      <c r="G165" s="258">
        <f t="shared" si="33"/>
        <v>0.29877622377622376</v>
      </c>
      <c r="H165" s="257">
        <f t="shared" si="34"/>
        <v>6.6850000000000005</v>
      </c>
      <c r="I165" s="256"/>
      <c r="J165" s="171"/>
      <c r="K165" s="171"/>
      <c r="L165" s="1022">
        <v>1.05</v>
      </c>
      <c r="M165" s="227" t="s">
        <v>1</v>
      </c>
      <c r="N165" s="206"/>
    </row>
    <row r="166" spans="1:14" ht="19" thickBot="1" x14ac:dyDescent="0.35">
      <c r="A166" s="1344"/>
      <c r="B166" s="171"/>
      <c r="C166" s="171"/>
      <c r="D166" s="171"/>
      <c r="E166" s="242"/>
      <c r="F166" s="242"/>
      <c r="G166" s="241"/>
      <c r="H166" s="240"/>
      <c r="I166" s="171"/>
      <c r="J166" s="171"/>
      <c r="K166" s="171"/>
      <c r="L166" s="228"/>
      <c r="M166" s="227"/>
      <c r="N166" s="206"/>
    </row>
    <row r="167" spans="1:14" ht="21" thickTop="1" thickBot="1" x14ac:dyDescent="0.4">
      <c r="A167" s="1344"/>
      <c r="B167" s="171"/>
      <c r="C167" s="253"/>
      <c r="D167" s="252"/>
      <c r="E167" s="251"/>
      <c r="F167" s="251"/>
      <c r="G167" s="250"/>
      <c r="H167" s="249"/>
      <c r="I167" s="248"/>
      <c r="J167" s="171"/>
      <c r="K167" s="171"/>
      <c r="L167" s="228"/>
      <c r="M167" s="227"/>
      <c r="N167" s="206"/>
    </row>
    <row r="168" spans="1:14" ht="20" thickTop="1" thickBot="1" x14ac:dyDescent="0.35">
      <c r="A168" s="1344"/>
      <c r="B168" s="171"/>
      <c r="C168" s="233"/>
      <c r="D168" s="238"/>
      <c r="E168" s="247" t="str">
        <f>E125</f>
        <v>CmO</v>
      </c>
      <c r="F168" s="247" t="str">
        <f>F125</f>
        <v>PmO</v>
      </c>
      <c r="G168" s="246" t="str">
        <f>G125</f>
        <v>F&amp;BCmO</v>
      </c>
      <c r="H168" s="245" t="str">
        <f>H125</f>
        <v>BmO</v>
      </c>
      <c r="I168" s="244"/>
      <c r="J168" s="171"/>
      <c r="K168" s="171"/>
      <c r="L168" s="228"/>
      <c r="M168" s="227"/>
      <c r="N168" s="206"/>
    </row>
    <row r="169" spans="1:14" ht="19" thickTop="1" x14ac:dyDescent="0.3">
      <c r="A169" s="1344"/>
      <c r="B169" s="171"/>
      <c r="C169" s="233"/>
      <c r="D169" s="243" t="str">
        <f>D126</f>
        <v>OFFRE TOTALE AVEC LES GÂTERIES ET LES CAFÉS GÂTERIES</v>
      </c>
      <c r="E169" s="242"/>
      <c r="F169" s="242"/>
      <c r="G169" s="241"/>
      <c r="H169" s="240"/>
      <c r="I169" s="239"/>
      <c r="J169" s="171"/>
      <c r="K169" s="171"/>
      <c r="L169" s="228"/>
      <c r="M169" s="227"/>
      <c r="N169" s="206"/>
    </row>
    <row r="170" spans="1:14" ht="19" x14ac:dyDescent="0.35">
      <c r="A170" s="1344"/>
      <c r="B170" s="171"/>
      <c r="C170" s="233"/>
      <c r="D170" s="238" t="str">
        <f>D127</f>
        <v>CmO—PmO—F&amp;B cost moyen offert—Marge brute</v>
      </c>
      <c r="E170" s="237">
        <f>+(E138+E139+E140+E141+E142+E143+E144+E145+E146+E147+E148+E149+E153+E154+E155+E156+E157+E158+E159+E160+E161+E162+E163+E164)/B164</f>
        <v>2.1649999999999996</v>
      </c>
      <c r="F170" s="237">
        <f>+(F138+F139+F140+F141+F142+F143+F144+F145+F146+F147+F148+F149+F153+F154+F155+F156+F157+F158+F159+F160+F161+F162+F163+F164)/B164</f>
        <v>7.1749999999999998</v>
      </c>
      <c r="G170" s="236">
        <f>E170/F170</f>
        <v>0.30174216027874562</v>
      </c>
      <c r="H170" s="235">
        <f>F170-E170</f>
        <v>5.01</v>
      </c>
      <c r="I170" s="234"/>
      <c r="J170" s="171"/>
      <c r="K170" s="171"/>
      <c r="L170" s="228">
        <f>+L150+L165</f>
        <v>2.1</v>
      </c>
      <c r="M170" s="227">
        <f>'% Occupation'!G19</f>
        <v>2975</v>
      </c>
      <c r="N170" s="206"/>
    </row>
    <row r="171" spans="1:14" ht="18" x14ac:dyDescent="0.3">
      <c r="A171" s="1344"/>
      <c r="B171" s="171"/>
      <c r="C171" s="233"/>
      <c r="D171" s="171"/>
      <c r="E171" s="232"/>
      <c r="F171" s="232"/>
      <c r="G171" s="231"/>
      <c r="H171" s="230"/>
      <c r="I171" s="229"/>
      <c r="J171" s="171"/>
      <c r="K171" s="171"/>
      <c r="L171" s="228"/>
      <c r="M171" s="227"/>
      <c r="N171" s="206"/>
    </row>
    <row r="172" spans="1:14" ht="19" thickBot="1" x14ac:dyDescent="0.35">
      <c r="A172" s="1344"/>
      <c r="B172" s="171"/>
      <c r="C172" s="226"/>
      <c r="D172" s="225"/>
      <c r="E172" s="224"/>
      <c r="F172" s="224"/>
      <c r="G172" s="223"/>
      <c r="H172" s="222"/>
      <c r="I172" s="221"/>
      <c r="J172" s="171"/>
      <c r="K172" s="171"/>
      <c r="L172" s="220"/>
      <c r="M172" s="219"/>
      <c r="N172" s="206"/>
    </row>
    <row r="173" spans="1:14" ht="19" thickTop="1" x14ac:dyDescent="0.3">
      <c r="A173" s="1344"/>
      <c r="L173" s="209"/>
      <c r="M173" s="207"/>
      <c r="N173" s="206"/>
    </row>
    <row r="174" spans="1:14" ht="23" x14ac:dyDescent="0.3">
      <c r="A174" s="1344"/>
      <c r="D174" s="284" t="s">
        <v>90</v>
      </c>
      <c r="F174" s="280"/>
      <c r="L174" s="209"/>
      <c r="M174" s="207"/>
      <c r="N174" s="206"/>
    </row>
    <row r="175" spans="1:14" ht="24" thickBot="1" x14ac:dyDescent="0.35">
      <c r="A175" s="1344"/>
      <c r="D175" s="282"/>
      <c r="L175" s="209"/>
      <c r="M175" s="207"/>
      <c r="N175" s="206"/>
    </row>
    <row r="176" spans="1:14" ht="23" customHeight="1" thickTop="1" x14ac:dyDescent="0.25">
      <c r="A176" s="1344"/>
      <c r="D176" s="282"/>
      <c r="E176" s="1335" t="str">
        <f>E133</f>
        <v>Coûts des ressources alimentaires pour chaque produit offert (voir recettes standardisées)</v>
      </c>
      <c r="F176" s="1335" t="str">
        <f>F133</f>
        <v>Prix de vente par produit offert</v>
      </c>
      <c r="G176" s="1335" t="str">
        <f>G133</f>
        <v xml:space="preserve">« Food &amp; Beverage Cost » </v>
      </c>
      <c r="H176" s="1335" t="str">
        <f>H133</f>
        <v>Marge brute gagnée sur la vente de chaque produit offert</v>
      </c>
      <c r="I176" s="283"/>
      <c r="L176" s="1329" t="s">
        <v>79</v>
      </c>
      <c r="M176" s="1329" t="s">
        <v>78</v>
      </c>
      <c r="N176" s="206"/>
    </row>
    <row r="177" spans="1:14" ht="22" x14ac:dyDescent="0.25">
      <c r="A177" s="1344"/>
      <c r="D177" s="282"/>
      <c r="E177" s="1336"/>
      <c r="F177" s="1338"/>
      <c r="G177" s="1338"/>
      <c r="H177" s="1338"/>
      <c r="I177" s="281"/>
      <c r="L177" s="1330"/>
      <c r="M177" s="1340"/>
      <c r="N177" s="206"/>
    </row>
    <row r="178" spans="1:14" ht="14" customHeight="1" thickBot="1" x14ac:dyDescent="0.25">
      <c r="A178" s="1344"/>
      <c r="E178" s="1337"/>
      <c r="F178" s="1339"/>
      <c r="G178" s="1339"/>
      <c r="H178" s="1339"/>
      <c r="I178" s="281"/>
      <c r="L178" s="1331"/>
      <c r="M178" s="1341"/>
      <c r="N178" s="206"/>
    </row>
    <row r="179" spans="1:14" ht="20" thickTop="1" thickBot="1" x14ac:dyDescent="0.35">
      <c r="A179" s="1344"/>
      <c r="B179" s="138" t="s">
        <v>1</v>
      </c>
      <c r="E179" s="280"/>
      <c r="F179" s="280"/>
      <c r="G179" s="279"/>
      <c r="L179" s="209"/>
      <c r="M179" s="207"/>
      <c r="N179" s="206"/>
    </row>
    <row r="180" spans="1:14" ht="19" thickTop="1" x14ac:dyDescent="0.3">
      <c r="A180" s="1344"/>
      <c r="B180" s="171"/>
      <c r="C180" s="171"/>
      <c r="D180" s="238" t="str">
        <f t="shared" ref="D180:D193" si="35">D137</f>
        <v>Les Petite Gâteries</v>
      </c>
      <c r="E180" s="261"/>
      <c r="F180" s="261"/>
      <c r="G180" s="241"/>
      <c r="H180" s="171"/>
      <c r="I180" s="171"/>
      <c r="J180" s="171"/>
      <c r="K180" s="171"/>
      <c r="L180" s="278"/>
      <c r="M180" s="277"/>
      <c r="N180" s="206"/>
    </row>
    <row r="181" spans="1:14" ht="18" x14ac:dyDescent="0.3">
      <c r="A181" s="1344"/>
      <c r="B181" s="171">
        <f t="shared" ref="B181:C192" si="36">B138</f>
        <v>1</v>
      </c>
      <c r="C181" s="171">
        <f t="shared" si="36"/>
        <v>1</v>
      </c>
      <c r="D181" s="171" t="str">
        <f t="shared" si="35"/>
        <v>Petite Gâterie 1</v>
      </c>
      <c r="E181" s="265">
        <f t="shared" ref="E181:F192" si="37">E138</f>
        <v>1.21</v>
      </c>
      <c r="F181" s="264">
        <f t="shared" si="37"/>
        <v>3.3</v>
      </c>
      <c r="G181" s="263">
        <f t="shared" ref="G181:G193" si="38">E181/F181</f>
        <v>0.3666666666666667</v>
      </c>
      <c r="H181" s="262">
        <f t="shared" ref="H181:H193" si="39">F181-E181</f>
        <v>2.09</v>
      </c>
      <c r="I181" s="261"/>
      <c r="J181" s="171"/>
      <c r="K181" s="171"/>
      <c r="L181" s="276"/>
      <c r="M181" s="227"/>
      <c r="N181" s="206"/>
    </row>
    <row r="182" spans="1:14" ht="18" x14ac:dyDescent="0.3">
      <c r="A182" s="1344"/>
      <c r="B182" s="171">
        <f t="shared" si="36"/>
        <v>2</v>
      </c>
      <c r="C182" s="171">
        <f t="shared" si="36"/>
        <v>2</v>
      </c>
      <c r="D182" s="171" t="str">
        <f t="shared" si="35"/>
        <v>Petite Gâterie 2</v>
      </c>
      <c r="E182" s="265">
        <f t="shared" si="37"/>
        <v>1.31</v>
      </c>
      <c r="F182" s="264">
        <f t="shared" si="37"/>
        <v>3.8</v>
      </c>
      <c r="G182" s="263">
        <f t="shared" si="38"/>
        <v>0.34473684210526317</v>
      </c>
      <c r="H182" s="262">
        <f t="shared" si="39"/>
        <v>2.4899999999999998</v>
      </c>
      <c r="I182" s="261"/>
      <c r="J182" s="171"/>
      <c r="K182" s="171"/>
      <c r="L182" s="228"/>
      <c r="M182" s="227"/>
      <c r="N182" s="206"/>
    </row>
    <row r="183" spans="1:14" ht="18" x14ac:dyDescent="0.3">
      <c r="A183" s="1344"/>
      <c r="B183" s="171">
        <f t="shared" si="36"/>
        <v>3</v>
      </c>
      <c r="C183" s="171">
        <f t="shared" si="36"/>
        <v>3</v>
      </c>
      <c r="D183" s="171" t="str">
        <f t="shared" si="35"/>
        <v>Petite Gâterie 3</v>
      </c>
      <c r="E183" s="265">
        <f t="shared" si="37"/>
        <v>1.35</v>
      </c>
      <c r="F183" s="264">
        <f t="shared" si="37"/>
        <v>4</v>
      </c>
      <c r="G183" s="263">
        <f t="shared" si="38"/>
        <v>0.33750000000000002</v>
      </c>
      <c r="H183" s="262">
        <f t="shared" si="39"/>
        <v>2.65</v>
      </c>
      <c r="I183" s="261"/>
      <c r="J183" s="171"/>
      <c r="K183" s="171"/>
      <c r="L183" s="228"/>
      <c r="M183" s="227"/>
      <c r="N183" s="206"/>
    </row>
    <row r="184" spans="1:14" ht="18" x14ac:dyDescent="0.3">
      <c r="A184" s="1344"/>
      <c r="B184" s="171">
        <f t="shared" si="36"/>
        <v>4</v>
      </c>
      <c r="C184" s="171">
        <f t="shared" si="36"/>
        <v>4</v>
      </c>
      <c r="D184" s="171" t="str">
        <f t="shared" si="35"/>
        <v>Petite Gâterie 4</v>
      </c>
      <c r="E184" s="265">
        <f t="shared" si="37"/>
        <v>1.4</v>
      </c>
      <c r="F184" s="264">
        <f t="shared" si="37"/>
        <v>4.5</v>
      </c>
      <c r="G184" s="263">
        <f t="shared" si="38"/>
        <v>0.31111111111111112</v>
      </c>
      <c r="H184" s="262">
        <f t="shared" si="39"/>
        <v>3.1</v>
      </c>
      <c r="I184" s="261"/>
      <c r="J184" s="171"/>
      <c r="K184" s="171"/>
      <c r="L184" s="228"/>
      <c r="M184" s="227"/>
      <c r="N184" s="206"/>
    </row>
    <row r="185" spans="1:14" ht="18" x14ac:dyDescent="0.3">
      <c r="A185" s="1344"/>
      <c r="B185" s="171">
        <f t="shared" si="36"/>
        <v>5</v>
      </c>
      <c r="C185" s="171">
        <f t="shared" si="36"/>
        <v>5</v>
      </c>
      <c r="D185" s="171" t="str">
        <f t="shared" si="35"/>
        <v>Petite Gâterie 5</v>
      </c>
      <c r="E185" s="265">
        <f t="shared" si="37"/>
        <v>1.24</v>
      </c>
      <c r="F185" s="264">
        <f t="shared" si="37"/>
        <v>4.5999999999999996</v>
      </c>
      <c r="G185" s="263">
        <f t="shared" si="38"/>
        <v>0.26956521739130435</v>
      </c>
      <c r="H185" s="262">
        <f t="shared" si="39"/>
        <v>3.3599999999999994</v>
      </c>
      <c r="I185" s="261"/>
      <c r="J185" s="171"/>
      <c r="K185" s="171"/>
      <c r="L185" s="228"/>
      <c r="M185" s="227"/>
      <c r="N185" s="206"/>
    </row>
    <row r="186" spans="1:14" ht="18" x14ac:dyDescent="0.3">
      <c r="A186" s="1344"/>
      <c r="B186" s="171">
        <f t="shared" si="36"/>
        <v>6</v>
      </c>
      <c r="C186" s="171">
        <f t="shared" si="36"/>
        <v>6</v>
      </c>
      <c r="D186" s="171" t="str">
        <f t="shared" si="35"/>
        <v>Petite Gâterie 6</v>
      </c>
      <c r="E186" s="265">
        <f t="shared" si="37"/>
        <v>1.39</v>
      </c>
      <c r="F186" s="264">
        <f t="shared" si="37"/>
        <v>4.7</v>
      </c>
      <c r="G186" s="263">
        <f t="shared" si="38"/>
        <v>0.29574468085106381</v>
      </c>
      <c r="H186" s="262">
        <f t="shared" si="39"/>
        <v>3.3100000000000005</v>
      </c>
      <c r="I186" s="261"/>
      <c r="J186" s="171"/>
      <c r="K186" s="171"/>
      <c r="L186" s="228"/>
      <c r="M186" s="227"/>
      <c r="N186" s="206"/>
    </row>
    <row r="187" spans="1:14" ht="18" x14ac:dyDescent="0.3">
      <c r="A187" s="1344"/>
      <c r="B187" s="171">
        <f t="shared" si="36"/>
        <v>7</v>
      </c>
      <c r="C187" s="171">
        <f t="shared" si="36"/>
        <v>7</v>
      </c>
      <c r="D187" s="171" t="str">
        <f t="shared" si="35"/>
        <v>Petite Gâterie 7</v>
      </c>
      <c r="E187" s="265">
        <f t="shared" si="37"/>
        <v>1.51</v>
      </c>
      <c r="F187" s="264">
        <f t="shared" si="37"/>
        <v>4.8</v>
      </c>
      <c r="G187" s="263">
        <f t="shared" si="38"/>
        <v>0.31458333333333333</v>
      </c>
      <c r="H187" s="262">
        <f t="shared" si="39"/>
        <v>3.29</v>
      </c>
      <c r="I187" s="261"/>
      <c r="J187" s="171"/>
      <c r="K187" s="171"/>
      <c r="L187" s="228"/>
      <c r="M187" s="227"/>
      <c r="N187" s="206"/>
    </row>
    <row r="188" spans="1:14" ht="18" x14ac:dyDescent="0.3">
      <c r="A188" s="1344"/>
      <c r="B188" s="171">
        <f t="shared" si="36"/>
        <v>8</v>
      </c>
      <c r="C188" s="171">
        <f t="shared" si="36"/>
        <v>8</v>
      </c>
      <c r="D188" s="171" t="str">
        <f t="shared" si="35"/>
        <v>Petite Gâterie 8</v>
      </c>
      <c r="E188" s="265">
        <f t="shared" si="37"/>
        <v>1.53</v>
      </c>
      <c r="F188" s="264">
        <f t="shared" si="37"/>
        <v>4.9000000000000004</v>
      </c>
      <c r="G188" s="263">
        <f t="shared" si="38"/>
        <v>0.31224489795918364</v>
      </c>
      <c r="H188" s="262">
        <f t="shared" si="39"/>
        <v>3.37</v>
      </c>
      <c r="I188" s="261"/>
      <c r="J188" s="171"/>
      <c r="K188" s="171"/>
      <c r="L188" s="228"/>
      <c r="M188" s="227"/>
      <c r="N188" s="206"/>
    </row>
    <row r="189" spans="1:14" ht="18" x14ac:dyDescent="0.3">
      <c r="A189" s="1344"/>
      <c r="B189" s="171">
        <f t="shared" si="36"/>
        <v>9</v>
      </c>
      <c r="C189" s="171">
        <f t="shared" si="36"/>
        <v>9</v>
      </c>
      <c r="D189" s="171" t="str">
        <f t="shared" si="35"/>
        <v>Petite Gâterie 9</v>
      </c>
      <c r="E189" s="265">
        <f t="shared" si="37"/>
        <v>1.55</v>
      </c>
      <c r="F189" s="264">
        <f t="shared" si="37"/>
        <v>5</v>
      </c>
      <c r="G189" s="263">
        <f t="shared" si="38"/>
        <v>0.31</v>
      </c>
      <c r="H189" s="262">
        <f t="shared" si="39"/>
        <v>3.45</v>
      </c>
      <c r="I189" s="261"/>
      <c r="J189" s="171"/>
      <c r="K189" s="171"/>
      <c r="L189" s="228"/>
      <c r="M189" s="227"/>
      <c r="N189" s="206"/>
    </row>
    <row r="190" spans="1:14" ht="18" x14ac:dyDescent="0.3">
      <c r="A190" s="1344"/>
      <c r="B190" s="171">
        <f t="shared" si="36"/>
        <v>10</v>
      </c>
      <c r="C190" s="171">
        <f t="shared" si="36"/>
        <v>10</v>
      </c>
      <c r="D190" s="171" t="str">
        <f t="shared" si="35"/>
        <v>Petite Gâterie 10</v>
      </c>
      <c r="E190" s="265">
        <f t="shared" si="37"/>
        <v>1.59</v>
      </c>
      <c r="F190" s="264">
        <f t="shared" si="37"/>
        <v>5.2</v>
      </c>
      <c r="G190" s="263">
        <f t="shared" si="38"/>
        <v>0.30576923076923079</v>
      </c>
      <c r="H190" s="262">
        <f t="shared" si="39"/>
        <v>3.6100000000000003</v>
      </c>
      <c r="I190" s="261"/>
      <c r="J190" s="171"/>
      <c r="K190" s="171"/>
      <c r="L190" s="228"/>
      <c r="M190" s="227"/>
      <c r="N190" s="206"/>
    </row>
    <row r="191" spans="1:14" ht="18" x14ac:dyDescent="0.3">
      <c r="A191" s="1344"/>
      <c r="B191" s="171">
        <f t="shared" si="36"/>
        <v>11</v>
      </c>
      <c r="C191" s="171">
        <f t="shared" si="36"/>
        <v>11</v>
      </c>
      <c r="D191" s="171" t="str">
        <f t="shared" si="35"/>
        <v>Petite Gâterie 11</v>
      </c>
      <c r="E191" s="265">
        <f t="shared" si="37"/>
        <v>1.83</v>
      </c>
      <c r="F191" s="264">
        <f t="shared" si="37"/>
        <v>6.4</v>
      </c>
      <c r="G191" s="263">
        <f t="shared" si="38"/>
        <v>0.28593750000000001</v>
      </c>
      <c r="H191" s="262">
        <f t="shared" si="39"/>
        <v>4.57</v>
      </c>
      <c r="I191" s="261"/>
      <c r="J191" s="171"/>
      <c r="K191" s="171"/>
      <c r="L191" s="228"/>
      <c r="M191" s="227"/>
      <c r="N191" s="206"/>
    </row>
    <row r="192" spans="1:14" ht="18" x14ac:dyDescent="0.3">
      <c r="A192" s="1344"/>
      <c r="B192" s="171">
        <f t="shared" si="36"/>
        <v>12</v>
      </c>
      <c r="C192" s="171">
        <f t="shared" si="36"/>
        <v>12</v>
      </c>
      <c r="D192" s="171" t="str">
        <f t="shared" si="35"/>
        <v>Petite Gâterie 12</v>
      </c>
      <c r="E192" s="265">
        <f t="shared" si="37"/>
        <v>1.87</v>
      </c>
      <c r="F192" s="264">
        <f t="shared" si="37"/>
        <v>6.6</v>
      </c>
      <c r="G192" s="263">
        <f t="shared" si="38"/>
        <v>0.28333333333333338</v>
      </c>
      <c r="H192" s="262">
        <f t="shared" si="39"/>
        <v>4.7299999999999995</v>
      </c>
      <c r="I192" s="261"/>
      <c r="J192" s="171"/>
      <c r="K192" s="171"/>
      <c r="L192" s="228"/>
      <c r="M192" s="227"/>
      <c r="N192" s="206"/>
    </row>
    <row r="193" spans="1:14" ht="19" x14ac:dyDescent="0.35">
      <c r="A193" s="1344"/>
      <c r="B193" s="171"/>
      <c r="C193" s="171"/>
      <c r="D193" s="238" t="str">
        <f t="shared" si="35"/>
        <v>CmO—PmO—Food Cost—BmO</v>
      </c>
      <c r="E193" s="259">
        <f>SUM(E181:E192)/C192</f>
        <v>1.4816666666666667</v>
      </c>
      <c r="F193" s="259">
        <f>SUM(F181:F192)/C192</f>
        <v>4.8166666666666673</v>
      </c>
      <c r="G193" s="274">
        <f t="shared" si="38"/>
        <v>0.30761245674740478</v>
      </c>
      <c r="H193" s="257">
        <f t="shared" si="39"/>
        <v>3.3350000000000009</v>
      </c>
      <c r="I193" s="256"/>
      <c r="J193" s="171"/>
      <c r="K193" s="171"/>
      <c r="L193" s="1022">
        <v>1.05</v>
      </c>
      <c r="M193" s="227" t="s">
        <v>1</v>
      </c>
      <c r="N193" s="206"/>
    </row>
    <row r="194" spans="1:14" ht="18" x14ac:dyDescent="0.3">
      <c r="A194" s="1344"/>
      <c r="B194" s="171" t="s">
        <v>1</v>
      </c>
      <c r="C194" s="171"/>
      <c r="D194" s="171"/>
      <c r="E194" s="242"/>
      <c r="F194" s="242"/>
      <c r="G194" s="263"/>
      <c r="H194" s="240"/>
      <c r="I194" s="171"/>
      <c r="J194" s="171"/>
      <c r="K194" s="171"/>
      <c r="L194" s="228"/>
      <c r="M194" s="227"/>
      <c r="N194" s="206"/>
    </row>
    <row r="195" spans="1:14" ht="18" x14ac:dyDescent="0.3">
      <c r="A195" s="1344"/>
      <c r="B195" s="171"/>
      <c r="C195" s="171"/>
      <c r="D195" s="238" t="str">
        <f t="shared" ref="D195:D208" si="40">D152</f>
        <v>Les Boissons  Gâteries</v>
      </c>
      <c r="E195" s="242"/>
      <c r="F195" s="242"/>
      <c r="G195" s="263"/>
      <c r="H195" s="240"/>
      <c r="I195" s="171"/>
      <c r="J195" s="171"/>
      <c r="K195" s="171"/>
      <c r="L195" s="228"/>
      <c r="M195" s="227"/>
      <c r="N195" s="206"/>
    </row>
    <row r="196" spans="1:14" ht="18" x14ac:dyDescent="0.3">
      <c r="A196" s="1344"/>
      <c r="B196" s="171">
        <f t="shared" ref="B196:C207" si="41">B153</f>
        <v>13</v>
      </c>
      <c r="C196" s="171">
        <f t="shared" si="41"/>
        <v>1</v>
      </c>
      <c r="D196" s="171" t="str">
        <f t="shared" si="40"/>
        <v>Boisson spécial numéro 1</v>
      </c>
      <c r="E196" s="265">
        <f t="shared" ref="E196:F207" si="42">E153</f>
        <v>2.2799999999999998</v>
      </c>
      <c r="F196" s="264">
        <f t="shared" si="42"/>
        <v>6.6</v>
      </c>
      <c r="G196" s="263">
        <f t="shared" ref="G196:G208" si="43">E196/F196</f>
        <v>0.34545454545454546</v>
      </c>
      <c r="H196" s="262">
        <f t="shared" ref="H196:H208" si="44">F196-E196</f>
        <v>4.32</v>
      </c>
      <c r="I196" s="261"/>
      <c r="J196" s="171"/>
      <c r="K196" s="171"/>
      <c r="L196" s="228"/>
      <c r="M196" s="227"/>
      <c r="N196" s="206"/>
    </row>
    <row r="197" spans="1:14" ht="18" x14ac:dyDescent="0.3">
      <c r="A197" s="1344"/>
      <c r="B197" s="171">
        <f t="shared" si="41"/>
        <v>14</v>
      </c>
      <c r="C197" s="171">
        <f t="shared" si="41"/>
        <v>2</v>
      </c>
      <c r="D197" s="171" t="str">
        <f t="shared" si="40"/>
        <v>Boisson spécial numéro 2</v>
      </c>
      <c r="E197" s="265">
        <f t="shared" si="42"/>
        <v>2.66</v>
      </c>
      <c r="F197" s="264">
        <f t="shared" si="42"/>
        <v>7.6</v>
      </c>
      <c r="G197" s="263">
        <f t="shared" si="43"/>
        <v>0.35000000000000003</v>
      </c>
      <c r="H197" s="262">
        <f t="shared" si="44"/>
        <v>4.9399999999999995</v>
      </c>
      <c r="I197" s="261"/>
      <c r="J197" s="171"/>
      <c r="K197" s="171"/>
      <c r="L197" s="228"/>
      <c r="M197" s="227"/>
      <c r="N197" s="206"/>
    </row>
    <row r="198" spans="1:14" ht="18" x14ac:dyDescent="0.3">
      <c r="A198" s="1344"/>
      <c r="B198" s="171">
        <f t="shared" si="41"/>
        <v>15</v>
      </c>
      <c r="C198" s="171">
        <f t="shared" si="41"/>
        <v>3</v>
      </c>
      <c r="D198" s="171" t="str">
        <f t="shared" si="40"/>
        <v>Boisson spécial numéro 3</v>
      </c>
      <c r="E198" s="265">
        <f t="shared" si="42"/>
        <v>2.74</v>
      </c>
      <c r="F198" s="264">
        <f t="shared" si="42"/>
        <v>8</v>
      </c>
      <c r="G198" s="263">
        <f t="shared" si="43"/>
        <v>0.34250000000000003</v>
      </c>
      <c r="H198" s="262">
        <f t="shared" si="44"/>
        <v>5.26</v>
      </c>
      <c r="I198" s="261"/>
      <c r="J198" s="171"/>
      <c r="K198" s="171"/>
      <c r="L198" s="228"/>
      <c r="M198" s="227"/>
      <c r="N198" s="206"/>
    </row>
    <row r="199" spans="1:14" ht="18" x14ac:dyDescent="0.3">
      <c r="A199" s="1344"/>
      <c r="B199" s="171">
        <f t="shared" si="41"/>
        <v>16</v>
      </c>
      <c r="C199" s="171">
        <f t="shared" si="41"/>
        <v>4</v>
      </c>
      <c r="D199" s="171" t="str">
        <f t="shared" si="40"/>
        <v>Boisson spécial numéro 4</v>
      </c>
      <c r="E199" s="265">
        <f t="shared" si="42"/>
        <v>2.72</v>
      </c>
      <c r="F199" s="264">
        <f t="shared" si="42"/>
        <v>9</v>
      </c>
      <c r="G199" s="263">
        <f t="shared" si="43"/>
        <v>0.30222222222222223</v>
      </c>
      <c r="H199" s="262">
        <f t="shared" si="44"/>
        <v>6.2799999999999994</v>
      </c>
      <c r="I199" s="261"/>
      <c r="J199" s="171"/>
      <c r="K199" s="171"/>
      <c r="L199" s="228"/>
      <c r="M199" s="227"/>
      <c r="N199" s="206"/>
    </row>
    <row r="200" spans="1:14" ht="18" x14ac:dyDescent="0.3">
      <c r="A200" s="1344"/>
      <c r="B200" s="171">
        <f t="shared" si="41"/>
        <v>17</v>
      </c>
      <c r="C200" s="171">
        <f t="shared" si="41"/>
        <v>5</v>
      </c>
      <c r="D200" s="171" t="str">
        <f t="shared" si="40"/>
        <v>Boisson spécial numéro 5</v>
      </c>
      <c r="E200" s="265">
        <f t="shared" si="42"/>
        <v>2.76</v>
      </c>
      <c r="F200" s="264">
        <f t="shared" si="42"/>
        <v>9.1999999999999993</v>
      </c>
      <c r="G200" s="263">
        <f t="shared" si="43"/>
        <v>0.3</v>
      </c>
      <c r="H200" s="262">
        <f t="shared" si="44"/>
        <v>6.4399999999999995</v>
      </c>
      <c r="I200" s="261"/>
      <c r="J200" s="171"/>
      <c r="K200" s="171"/>
      <c r="L200" s="228"/>
      <c r="M200" s="227"/>
      <c r="N200" s="206"/>
    </row>
    <row r="201" spans="1:14" ht="18" x14ac:dyDescent="0.3">
      <c r="A201" s="1344"/>
      <c r="B201" s="171">
        <f t="shared" si="41"/>
        <v>18</v>
      </c>
      <c r="C201" s="171">
        <f t="shared" si="41"/>
        <v>6</v>
      </c>
      <c r="D201" s="171" t="str">
        <f t="shared" si="40"/>
        <v>Boisson spécial numéro 6</v>
      </c>
      <c r="E201" s="265">
        <f t="shared" si="42"/>
        <v>2.8</v>
      </c>
      <c r="F201" s="264">
        <f t="shared" si="42"/>
        <v>9.4</v>
      </c>
      <c r="G201" s="263">
        <f t="shared" si="43"/>
        <v>0.2978723404255319</v>
      </c>
      <c r="H201" s="262">
        <f t="shared" si="44"/>
        <v>6.6000000000000005</v>
      </c>
      <c r="I201" s="261"/>
      <c r="J201" s="171"/>
      <c r="K201" s="171"/>
      <c r="L201" s="228"/>
      <c r="M201" s="227"/>
      <c r="N201" s="206"/>
    </row>
    <row r="202" spans="1:14" ht="18" x14ac:dyDescent="0.3">
      <c r="A202" s="1344"/>
      <c r="B202" s="171">
        <f t="shared" si="41"/>
        <v>19</v>
      </c>
      <c r="C202" s="171">
        <f t="shared" si="41"/>
        <v>7</v>
      </c>
      <c r="D202" s="171" t="str">
        <f t="shared" si="40"/>
        <v>Boisson spécial numéro 7</v>
      </c>
      <c r="E202" s="265">
        <f t="shared" si="42"/>
        <v>2.82</v>
      </c>
      <c r="F202" s="264">
        <f t="shared" si="42"/>
        <v>9.6</v>
      </c>
      <c r="G202" s="263">
        <f t="shared" si="43"/>
        <v>0.29375000000000001</v>
      </c>
      <c r="H202" s="262">
        <f t="shared" si="44"/>
        <v>6.7799999999999994</v>
      </c>
      <c r="I202" s="261"/>
      <c r="J202" s="171"/>
      <c r="K202" s="171"/>
      <c r="L202" s="228"/>
      <c r="M202" s="227"/>
      <c r="N202" s="206"/>
    </row>
    <row r="203" spans="1:14" ht="18" x14ac:dyDescent="0.3">
      <c r="A203" s="1344"/>
      <c r="B203" s="171">
        <f t="shared" si="41"/>
        <v>20</v>
      </c>
      <c r="C203" s="171">
        <f t="shared" si="41"/>
        <v>8</v>
      </c>
      <c r="D203" s="171" t="str">
        <f t="shared" si="40"/>
        <v>Boisson spécial numéro 8</v>
      </c>
      <c r="E203" s="265">
        <f t="shared" si="42"/>
        <v>2.86</v>
      </c>
      <c r="F203" s="264">
        <f t="shared" si="42"/>
        <v>9.8000000000000007</v>
      </c>
      <c r="G203" s="263">
        <f t="shared" si="43"/>
        <v>0.2918367346938775</v>
      </c>
      <c r="H203" s="262">
        <f t="shared" si="44"/>
        <v>6.9400000000000013</v>
      </c>
      <c r="I203" s="261"/>
      <c r="J203" s="171"/>
      <c r="K203" s="171"/>
      <c r="L203" s="228"/>
      <c r="M203" s="227"/>
      <c r="N203" s="206"/>
    </row>
    <row r="204" spans="1:14" ht="18" x14ac:dyDescent="0.3">
      <c r="A204" s="1344"/>
      <c r="B204" s="171">
        <f t="shared" si="41"/>
        <v>21</v>
      </c>
      <c r="C204" s="171">
        <f t="shared" si="41"/>
        <v>9</v>
      </c>
      <c r="D204" s="171" t="str">
        <f t="shared" si="40"/>
        <v>Boisson spécial numéro 9</v>
      </c>
      <c r="E204" s="265">
        <f t="shared" si="42"/>
        <v>2.9</v>
      </c>
      <c r="F204" s="264">
        <f t="shared" si="42"/>
        <v>10</v>
      </c>
      <c r="G204" s="263">
        <f t="shared" si="43"/>
        <v>0.28999999999999998</v>
      </c>
      <c r="H204" s="262">
        <f t="shared" si="44"/>
        <v>7.1</v>
      </c>
      <c r="I204" s="261"/>
      <c r="J204" s="171"/>
      <c r="K204" s="171"/>
      <c r="L204" s="228"/>
      <c r="M204" s="227"/>
      <c r="N204" s="206"/>
    </row>
    <row r="205" spans="1:14" ht="18" x14ac:dyDescent="0.3">
      <c r="A205" s="1344"/>
      <c r="B205" s="171">
        <f t="shared" si="41"/>
        <v>22</v>
      </c>
      <c r="C205" s="171">
        <f t="shared" si="41"/>
        <v>10</v>
      </c>
      <c r="D205" s="171" t="str">
        <f t="shared" si="40"/>
        <v>Boisson spécial numéro 10</v>
      </c>
      <c r="E205" s="265">
        <f t="shared" si="42"/>
        <v>2.98</v>
      </c>
      <c r="F205" s="264">
        <f t="shared" si="42"/>
        <v>10.4</v>
      </c>
      <c r="G205" s="263">
        <f t="shared" si="43"/>
        <v>0.28653846153846152</v>
      </c>
      <c r="H205" s="262">
        <f t="shared" si="44"/>
        <v>7.42</v>
      </c>
      <c r="I205" s="261"/>
      <c r="J205" s="171"/>
      <c r="K205" s="171"/>
      <c r="L205" s="228"/>
      <c r="M205" s="227"/>
      <c r="N205" s="206"/>
    </row>
    <row r="206" spans="1:14" ht="18" x14ac:dyDescent="0.3">
      <c r="A206" s="1344"/>
      <c r="B206" s="171">
        <f t="shared" si="41"/>
        <v>23</v>
      </c>
      <c r="C206" s="171">
        <f t="shared" si="41"/>
        <v>11</v>
      </c>
      <c r="D206" s="171" t="str">
        <f t="shared" si="40"/>
        <v>Boisson spécial numéro 11</v>
      </c>
      <c r="E206" s="265">
        <f t="shared" si="42"/>
        <v>3.18</v>
      </c>
      <c r="F206" s="264">
        <f t="shared" si="42"/>
        <v>11.6</v>
      </c>
      <c r="G206" s="263">
        <f t="shared" si="43"/>
        <v>0.27413793103448281</v>
      </c>
      <c r="H206" s="262">
        <f t="shared" si="44"/>
        <v>8.42</v>
      </c>
      <c r="I206" s="261"/>
      <c r="J206" s="171"/>
      <c r="K206" s="171"/>
      <c r="L206" s="228"/>
      <c r="M206" s="227"/>
      <c r="N206" s="206"/>
    </row>
    <row r="207" spans="1:14" ht="18" x14ac:dyDescent="0.3">
      <c r="A207" s="1344"/>
      <c r="B207" s="171">
        <f t="shared" si="41"/>
        <v>24</v>
      </c>
      <c r="C207" s="171">
        <f t="shared" si="41"/>
        <v>12</v>
      </c>
      <c r="D207" s="171" t="str">
        <f t="shared" si="40"/>
        <v>Boisson spécial numéro 12</v>
      </c>
      <c r="E207" s="265">
        <f t="shared" si="42"/>
        <v>3.48</v>
      </c>
      <c r="F207" s="264">
        <f t="shared" si="42"/>
        <v>13.2</v>
      </c>
      <c r="G207" s="263">
        <f t="shared" si="43"/>
        <v>0.26363636363636367</v>
      </c>
      <c r="H207" s="262">
        <f t="shared" si="44"/>
        <v>9.7199999999999989</v>
      </c>
      <c r="I207" s="261"/>
      <c r="J207" s="171"/>
      <c r="K207" s="171"/>
      <c r="L207" s="228"/>
      <c r="M207" s="227"/>
      <c r="N207" s="206"/>
    </row>
    <row r="208" spans="1:14" ht="19" x14ac:dyDescent="0.35">
      <c r="A208" s="1344"/>
      <c r="B208" s="171"/>
      <c r="C208" s="171"/>
      <c r="D208" s="238" t="str">
        <f t="shared" si="40"/>
        <v>CmO—PmO—Beverage Cost—Marge brute</v>
      </c>
      <c r="E208" s="259">
        <f>SUM(E196:E207)/C207</f>
        <v>2.8483333333333332</v>
      </c>
      <c r="F208" s="259">
        <f>SUM(F196:F207)/C207</f>
        <v>9.5333333333333332</v>
      </c>
      <c r="G208" s="258">
        <f t="shared" si="43"/>
        <v>0.29877622377622376</v>
      </c>
      <c r="H208" s="257">
        <f t="shared" si="44"/>
        <v>6.6850000000000005</v>
      </c>
      <c r="I208" s="256"/>
      <c r="J208" s="171"/>
      <c r="K208" s="171"/>
      <c r="L208" s="1022">
        <v>1.05</v>
      </c>
      <c r="M208" s="227" t="s">
        <v>1</v>
      </c>
      <c r="N208" s="206"/>
    </row>
    <row r="209" spans="1:14" ht="19" thickBot="1" x14ac:dyDescent="0.35">
      <c r="A209" s="1344"/>
      <c r="B209" s="171"/>
      <c r="C209" s="171"/>
      <c r="D209" s="171"/>
      <c r="E209" s="242"/>
      <c r="F209" s="242"/>
      <c r="G209" s="241"/>
      <c r="H209" s="240"/>
      <c r="I209" s="171"/>
      <c r="J209" s="171"/>
      <c r="K209" s="171"/>
      <c r="L209" s="228"/>
      <c r="M209" s="227"/>
      <c r="N209" s="206"/>
    </row>
    <row r="210" spans="1:14" ht="21" thickTop="1" thickBot="1" x14ac:dyDescent="0.4">
      <c r="A210" s="1344"/>
      <c r="B210" s="171"/>
      <c r="C210" s="253"/>
      <c r="D210" s="252"/>
      <c r="E210" s="251"/>
      <c r="F210" s="251"/>
      <c r="G210" s="250"/>
      <c r="H210" s="251"/>
      <c r="I210" s="248"/>
      <c r="J210" s="171"/>
      <c r="K210" s="171"/>
      <c r="L210" s="228"/>
      <c r="M210" s="227"/>
      <c r="N210" s="206"/>
    </row>
    <row r="211" spans="1:14" ht="20" thickTop="1" thickBot="1" x14ac:dyDescent="0.35">
      <c r="A211" s="1344"/>
      <c r="B211" s="171"/>
      <c r="C211" s="233"/>
      <c r="D211" s="238"/>
      <c r="E211" s="247" t="str">
        <f>E168</f>
        <v>CmO</v>
      </c>
      <c r="F211" s="247" t="str">
        <f>F168</f>
        <v>PmO</v>
      </c>
      <c r="G211" s="246" t="str">
        <f>G168</f>
        <v>F&amp;BCmO</v>
      </c>
      <c r="H211" s="245" t="str">
        <f>H168</f>
        <v>BmO</v>
      </c>
      <c r="I211" s="244"/>
      <c r="J211" s="171"/>
      <c r="K211" s="171"/>
      <c r="L211" s="228"/>
      <c r="M211" s="227"/>
      <c r="N211" s="206"/>
    </row>
    <row r="212" spans="1:14" ht="19" thickTop="1" x14ac:dyDescent="0.3">
      <c r="A212" s="1344"/>
      <c r="B212" s="171"/>
      <c r="C212" s="233"/>
      <c r="D212" s="243" t="str">
        <f>D169</f>
        <v>OFFRE TOTALE AVEC LES GÂTERIES ET LES CAFÉS GÂTERIES</v>
      </c>
      <c r="E212" s="242"/>
      <c r="F212" s="242"/>
      <c r="G212" s="241"/>
      <c r="H212" s="240"/>
      <c r="I212" s="239"/>
      <c r="J212" s="171"/>
      <c r="K212" s="171"/>
      <c r="L212" s="228"/>
      <c r="M212" s="227"/>
      <c r="N212" s="206"/>
    </row>
    <row r="213" spans="1:14" ht="19" x14ac:dyDescent="0.35">
      <c r="A213" s="1344"/>
      <c r="B213" s="171"/>
      <c r="C213" s="233"/>
      <c r="D213" s="238" t="str">
        <f>D170</f>
        <v>CmO—PmO—F&amp;B cost moyen offert—Marge brute</v>
      </c>
      <c r="E213" s="237">
        <f>+(E181+E182+E183+E184+E185+E186+E187+E188+E189+E190+E191+E192+E196+E197+E198+E199+E200+E201+E202+E203+E204+E205+E206+E207)/B207</f>
        <v>2.1649999999999996</v>
      </c>
      <c r="F213" s="237">
        <f>+(F181+F182+F183+F184+F185+F186+F187+F188+F189+F190+F191+F192+F196+F197+F198+F199+F200+F201+F202+F203+F204+F205+F206+F207)/B207</f>
        <v>7.1749999999999998</v>
      </c>
      <c r="G213" s="236">
        <f>E213/F213</f>
        <v>0.30174216027874562</v>
      </c>
      <c r="H213" s="235">
        <f>F213-E213</f>
        <v>5.01</v>
      </c>
      <c r="I213" s="234"/>
      <c r="J213" s="171"/>
      <c r="K213" s="171"/>
      <c r="L213" s="228">
        <f>+L193+L208</f>
        <v>2.1</v>
      </c>
      <c r="M213" s="227">
        <f>'% Occupation'!H19</f>
        <v>3670</v>
      </c>
      <c r="N213" s="206"/>
    </row>
    <row r="214" spans="1:14" ht="18" x14ac:dyDescent="0.3">
      <c r="A214" s="1344"/>
      <c r="B214" s="171"/>
      <c r="C214" s="233"/>
      <c r="D214" s="171"/>
      <c r="E214" s="232"/>
      <c r="F214" s="232"/>
      <c r="G214" s="231"/>
      <c r="H214" s="230"/>
      <c r="I214" s="229"/>
      <c r="J214" s="171"/>
      <c r="K214" s="171"/>
      <c r="L214" s="228"/>
      <c r="M214" s="227"/>
      <c r="N214" s="206"/>
    </row>
    <row r="215" spans="1:14" ht="19" thickBot="1" x14ac:dyDescent="0.35">
      <c r="A215" s="1344"/>
      <c r="B215" s="171"/>
      <c r="C215" s="226"/>
      <c r="D215" s="225"/>
      <c r="E215" s="224"/>
      <c r="F215" s="224"/>
      <c r="G215" s="223"/>
      <c r="H215" s="222"/>
      <c r="I215" s="221"/>
      <c r="J215" s="171"/>
      <c r="K215" s="171"/>
      <c r="L215" s="220"/>
      <c r="M215" s="219"/>
      <c r="N215" s="206"/>
    </row>
    <row r="216" spans="1:14" ht="19" thickTop="1" x14ac:dyDescent="0.3">
      <c r="A216" s="1344"/>
      <c r="L216" s="209"/>
      <c r="M216" s="207"/>
      <c r="N216" s="206"/>
    </row>
    <row r="217" spans="1:14" ht="23" x14ac:dyDescent="0.3">
      <c r="A217" s="1344"/>
      <c r="D217" s="284" t="s">
        <v>89</v>
      </c>
      <c r="F217" s="280"/>
      <c r="L217" s="209"/>
      <c r="M217" s="207"/>
      <c r="N217" s="206"/>
    </row>
    <row r="218" spans="1:14" ht="24" thickBot="1" x14ac:dyDescent="0.35">
      <c r="A218" s="1344"/>
      <c r="D218" s="282"/>
      <c r="L218" s="209"/>
      <c r="M218" s="207"/>
      <c r="N218" s="206"/>
    </row>
    <row r="219" spans="1:14" ht="23" customHeight="1" thickTop="1" x14ac:dyDescent="0.25">
      <c r="A219" s="1344"/>
      <c r="D219" s="282"/>
      <c r="E219" s="1335" t="str">
        <f>E176</f>
        <v>Coûts des ressources alimentaires pour chaque produit offert (voir recettes standardisées)</v>
      </c>
      <c r="F219" s="1335" t="str">
        <f>F176</f>
        <v>Prix de vente par produit offert</v>
      </c>
      <c r="G219" s="1335" t="str">
        <f>G176</f>
        <v xml:space="preserve">« Food &amp; Beverage Cost » </v>
      </c>
      <c r="H219" s="1335" t="str">
        <f>H176</f>
        <v>Marge brute gagnée sur la vente de chaque produit offert</v>
      </c>
      <c r="I219" s="283"/>
      <c r="L219" s="1329" t="s">
        <v>79</v>
      </c>
      <c r="M219" s="1329" t="s">
        <v>78</v>
      </c>
      <c r="N219" s="206"/>
    </row>
    <row r="220" spans="1:14" ht="22" x14ac:dyDescent="0.25">
      <c r="A220" s="1344"/>
      <c r="D220" s="282"/>
      <c r="E220" s="1336"/>
      <c r="F220" s="1338"/>
      <c r="G220" s="1338"/>
      <c r="H220" s="1338"/>
      <c r="I220" s="281"/>
      <c r="L220" s="1330"/>
      <c r="M220" s="1340"/>
      <c r="N220" s="206"/>
    </row>
    <row r="221" spans="1:14" ht="14" customHeight="1" thickBot="1" x14ac:dyDescent="0.25">
      <c r="A221" s="1344"/>
      <c r="E221" s="1337"/>
      <c r="F221" s="1339"/>
      <c r="G221" s="1339"/>
      <c r="H221" s="1339"/>
      <c r="I221" s="281"/>
      <c r="L221" s="1331"/>
      <c r="M221" s="1341"/>
      <c r="N221" s="206"/>
    </row>
    <row r="222" spans="1:14" ht="20" thickTop="1" thickBot="1" x14ac:dyDescent="0.35">
      <c r="A222" s="1344"/>
      <c r="B222" s="138" t="s">
        <v>1</v>
      </c>
      <c r="E222" s="280"/>
      <c r="F222" s="280"/>
      <c r="G222" s="279"/>
      <c r="L222" s="209"/>
      <c r="M222" s="207"/>
      <c r="N222" s="206"/>
    </row>
    <row r="223" spans="1:14" ht="19" thickTop="1" x14ac:dyDescent="0.3">
      <c r="A223" s="1344"/>
      <c r="B223" s="171"/>
      <c r="C223" s="171"/>
      <c r="D223" s="238" t="str">
        <f t="shared" ref="D223:D236" si="45">D180</f>
        <v>Les Petite Gâteries</v>
      </c>
      <c r="E223" s="261"/>
      <c r="F223" s="261"/>
      <c r="G223" s="241"/>
      <c r="H223" s="171"/>
      <c r="I223" s="171"/>
      <c r="J223" s="171"/>
      <c r="K223" s="171"/>
      <c r="L223" s="278"/>
      <c r="M223" s="277"/>
      <c r="N223" s="206"/>
    </row>
    <row r="224" spans="1:14" ht="18" x14ac:dyDescent="0.3">
      <c r="A224" s="1344"/>
      <c r="B224" s="171">
        <f t="shared" ref="B224:C235" si="46">B181</f>
        <v>1</v>
      </c>
      <c r="C224" s="171">
        <f t="shared" si="46"/>
        <v>1</v>
      </c>
      <c r="D224" s="171" t="str">
        <f t="shared" si="45"/>
        <v>Petite Gâterie 1</v>
      </c>
      <c r="E224" s="265">
        <f t="shared" ref="E224:F235" si="47">E181</f>
        <v>1.21</v>
      </c>
      <c r="F224" s="264">
        <f t="shared" si="47"/>
        <v>3.3</v>
      </c>
      <c r="G224" s="263">
        <f t="shared" ref="G224:G236" si="48">E224/F224</f>
        <v>0.3666666666666667</v>
      </c>
      <c r="H224" s="262">
        <f t="shared" ref="H224:H236" si="49">F224-E224</f>
        <v>2.09</v>
      </c>
      <c r="I224" s="261"/>
      <c r="J224" s="171"/>
      <c r="K224" s="171"/>
      <c r="L224" s="276"/>
      <c r="M224" s="227"/>
      <c r="N224" s="206"/>
    </row>
    <row r="225" spans="1:14" ht="18" x14ac:dyDescent="0.3">
      <c r="A225" s="1344"/>
      <c r="B225" s="171">
        <f t="shared" si="46"/>
        <v>2</v>
      </c>
      <c r="C225" s="171">
        <f t="shared" si="46"/>
        <v>2</v>
      </c>
      <c r="D225" s="171" t="str">
        <f t="shared" si="45"/>
        <v>Petite Gâterie 2</v>
      </c>
      <c r="E225" s="265">
        <f t="shared" si="47"/>
        <v>1.31</v>
      </c>
      <c r="F225" s="264">
        <f t="shared" si="47"/>
        <v>3.8</v>
      </c>
      <c r="G225" s="263">
        <f t="shared" si="48"/>
        <v>0.34473684210526317</v>
      </c>
      <c r="H225" s="262">
        <f t="shared" si="49"/>
        <v>2.4899999999999998</v>
      </c>
      <c r="I225" s="261"/>
      <c r="J225" s="171"/>
      <c r="K225" s="171"/>
      <c r="L225" s="228"/>
      <c r="M225" s="227"/>
      <c r="N225" s="206"/>
    </row>
    <row r="226" spans="1:14" ht="18" x14ac:dyDescent="0.3">
      <c r="A226" s="1344"/>
      <c r="B226" s="171">
        <f t="shared" si="46"/>
        <v>3</v>
      </c>
      <c r="C226" s="171">
        <f t="shared" si="46"/>
        <v>3</v>
      </c>
      <c r="D226" s="171" t="str">
        <f t="shared" si="45"/>
        <v>Petite Gâterie 3</v>
      </c>
      <c r="E226" s="265">
        <f t="shared" si="47"/>
        <v>1.35</v>
      </c>
      <c r="F226" s="264">
        <f t="shared" si="47"/>
        <v>4</v>
      </c>
      <c r="G226" s="263">
        <f t="shared" si="48"/>
        <v>0.33750000000000002</v>
      </c>
      <c r="H226" s="262">
        <f t="shared" si="49"/>
        <v>2.65</v>
      </c>
      <c r="I226" s="261"/>
      <c r="J226" s="171"/>
      <c r="K226" s="171"/>
      <c r="L226" s="228"/>
      <c r="M226" s="227"/>
      <c r="N226" s="206"/>
    </row>
    <row r="227" spans="1:14" ht="18" x14ac:dyDescent="0.3">
      <c r="A227" s="1344"/>
      <c r="B227" s="171">
        <f t="shared" si="46"/>
        <v>4</v>
      </c>
      <c r="C227" s="171">
        <f t="shared" si="46"/>
        <v>4</v>
      </c>
      <c r="D227" s="171" t="str">
        <f t="shared" si="45"/>
        <v>Petite Gâterie 4</v>
      </c>
      <c r="E227" s="265">
        <f t="shared" si="47"/>
        <v>1.4</v>
      </c>
      <c r="F227" s="264">
        <f t="shared" si="47"/>
        <v>4.5</v>
      </c>
      <c r="G227" s="263">
        <f t="shared" si="48"/>
        <v>0.31111111111111112</v>
      </c>
      <c r="H227" s="262">
        <f t="shared" si="49"/>
        <v>3.1</v>
      </c>
      <c r="I227" s="261"/>
      <c r="J227" s="171"/>
      <c r="K227" s="171"/>
      <c r="L227" s="228"/>
      <c r="M227" s="227"/>
      <c r="N227" s="206"/>
    </row>
    <row r="228" spans="1:14" ht="18" x14ac:dyDescent="0.3">
      <c r="A228" s="1344"/>
      <c r="B228" s="171">
        <f t="shared" si="46"/>
        <v>5</v>
      </c>
      <c r="C228" s="171">
        <f t="shared" si="46"/>
        <v>5</v>
      </c>
      <c r="D228" s="171" t="str">
        <f t="shared" si="45"/>
        <v>Petite Gâterie 5</v>
      </c>
      <c r="E228" s="265">
        <f t="shared" si="47"/>
        <v>1.24</v>
      </c>
      <c r="F228" s="264">
        <f t="shared" si="47"/>
        <v>4.5999999999999996</v>
      </c>
      <c r="G228" s="263">
        <f t="shared" si="48"/>
        <v>0.26956521739130435</v>
      </c>
      <c r="H228" s="262">
        <f t="shared" si="49"/>
        <v>3.3599999999999994</v>
      </c>
      <c r="I228" s="261"/>
      <c r="J228" s="171"/>
      <c r="K228" s="171"/>
      <c r="L228" s="228"/>
      <c r="M228" s="227"/>
      <c r="N228" s="206"/>
    </row>
    <row r="229" spans="1:14" ht="18" x14ac:dyDescent="0.3">
      <c r="A229" s="1344"/>
      <c r="B229" s="171">
        <f t="shared" si="46"/>
        <v>6</v>
      </c>
      <c r="C229" s="171">
        <f t="shared" si="46"/>
        <v>6</v>
      </c>
      <c r="D229" s="171" t="str">
        <f t="shared" si="45"/>
        <v>Petite Gâterie 6</v>
      </c>
      <c r="E229" s="265">
        <f t="shared" si="47"/>
        <v>1.39</v>
      </c>
      <c r="F229" s="264">
        <f t="shared" si="47"/>
        <v>4.7</v>
      </c>
      <c r="G229" s="263">
        <f t="shared" si="48"/>
        <v>0.29574468085106381</v>
      </c>
      <c r="H229" s="262">
        <f t="shared" si="49"/>
        <v>3.3100000000000005</v>
      </c>
      <c r="I229" s="261"/>
      <c r="J229" s="171"/>
      <c r="K229" s="171"/>
      <c r="L229" s="228"/>
      <c r="M229" s="227"/>
      <c r="N229" s="206"/>
    </row>
    <row r="230" spans="1:14" ht="18" x14ac:dyDescent="0.3">
      <c r="A230" s="1344"/>
      <c r="B230" s="171">
        <f t="shared" si="46"/>
        <v>7</v>
      </c>
      <c r="C230" s="171">
        <f t="shared" si="46"/>
        <v>7</v>
      </c>
      <c r="D230" s="171" t="str">
        <f t="shared" si="45"/>
        <v>Petite Gâterie 7</v>
      </c>
      <c r="E230" s="265">
        <f t="shared" si="47"/>
        <v>1.51</v>
      </c>
      <c r="F230" s="264">
        <f t="shared" si="47"/>
        <v>4.8</v>
      </c>
      <c r="G230" s="263">
        <f t="shared" si="48"/>
        <v>0.31458333333333333</v>
      </c>
      <c r="H230" s="262">
        <f t="shared" si="49"/>
        <v>3.29</v>
      </c>
      <c r="I230" s="261"/>
      <c r="J230" s="171"/>
      <c r="K230" s="171"/>
      <c r="L230" s="228"/>
      <c r="M230" s="227"/>
      <c r="N230" s="206"/>
    </row>
    <row r="231" spans="1:14" ht="18" x14ac:dyDescent="0.3">
      <c r="A231" s="1344"/>
      <c r="B231" s="171">
        <f t="shared" si="46"/>
        <v>8</v>
      </c>
      <c r="C231" s="171">
        <f t="shared" si="46"/>
        <v>8</v>
      </c>
      <c r="D231" s="171" t="str">
        <f t="shared" si="45"/>
        <v>Petite Gâterie 8</v>
      </c>
      <c r="E231" s="265">
        <f t="shared" si="47"/>
        <v>1.53</v>
      </c>
      <c r="F231" s="264">
        <f t="shared" si="47"/>
        <v>4.9000000000000004</v>
      </c>
      <c r="G231" s="263">
        <f t="shared" si="48"/>
        <v>0.31224489795918364</v>
      </c>
      <c r="H231" s="262">
        <f t="shared" si="49"/>
        <v>3.37</v>
      </c>
      <c r="I231" s="261"/>
      <c r="J231" s="171"/>
      <c r="K231" s="171"/>
      <c r="L231" s="228"/>
      <c r="M231" s="227"/>
      <c r="N231" s="206"/>
    </row>
    <row r="232" spans="1:14" ht="18" x14ac:dyDescent="0.3">
      <c r="A232" s="1344"/>
      <c r="B232" s="171">
        <f t="shared" si="46"/>
        <v>9</v>
      </c>
      <c r="C232" s="171">
        <f t="shared" si="46"/>
        <v>9</v>
      </c>
      <c r="D232" s="171" t="str">
        <f t="shared" si="45"/>
        <v>Petite Gâterie 9</v>
      </c>
      <c r="E232" s="265">
        <f t="shared" si="47"/>
        <v>1.55</v>
      </c>
      <c r="F232" s="264">
        <f t="shared" si="47"/>
        <v>5</v>
      </c>
      <c r="G232" s="263">
        <f t="shared" si="48"/>
        <v>0.31</v>
      </c>
      <c r="H232" s="262">
        <f t="shared" si="49"/>
        <v>3.45</v>
      </c>
      <c r="I232" s="261"/>
      <c r="J232" s="171"/>
      <c r="K232" s="171"/>
      <c r="L232" s="228"/>
      <c r="M232" s="227"/>
      <c r="N232" s="206"/>
    </row>
    <row r="233" spans="1:14" ht="18" x14ac:dyDescent="0.3">
      <c r="A233" s="1344"/>
      <c r="B233" s="171">
        <f t="shared" si="46"/>
        <v>10</v>
      </c>
      <c r="C233" s="171">
        <f t="shared" si="46"/>
        <v>10</v>
      </c>
      <c r="D233" s="171" t="str">
        <f t="shared" si="45"/>
        <v>Petite Gâterie 10</v>
      </c>
      <c r="E233" s="265">
        <f t="shared" si="47"/>
        <v>1.59</v>
      </c>
      <c r="F233" s="264">
        <f t="shared" si="47"/>
        <v>5.2</v>
      </c>
      <c r="G233" s="263">
        <f t="shared" si="48"/>
        <v>0.30576923076923079</v>
      </c>
      <c r="H233" s="262">
        <f t="shared" si="49"/>
        <v>3.6100000000000003</v>
      </c>
      <c r="I233" s="261"/>
      <c r="J233" s="171"/>
      <c r="K233" s="171"/>
      <c r="L233" s="228"/>
      <c r="M233" s="227"/>
      <c r="N233" s="206"/>
    </row>
    <row r="234" spans="1:14" ht="18" x14ac:dyDescent="0.3">
      <c r="A234" s="1344"/>
      <c r="B234" s="171">
        <f t="shared" si="46"/>
        <v>11</v>
      </c>
      <c r="C234" s="171">
        <f t="shared" si="46"/>
        <v>11</v>
      </c>
      <c r="D234" s="171" t="str">
        <f t="shared" si="45"/>
        <v>Petite Gâterie 11</v>
      </c>
      <c r="E234" s="265">
        <f t="shared" si="47"/>
        <v>1.83</v>
      </c>
      <c r="F234" s="264">
        <f t="shared" si="47"/>
        <v>6.4</v>
      </c>
      <c r="G234" s="263">
        <f t="shared" si="48"/>
        <v>0.28593750000000001</v>
      </c>
      <c r="H234" s="262">
        <f t="shared" si="49"/>
        <v>4.57</v>
      </c>
      <c r="I234" s="261"/>
      <c r="J234" s="171"/>
      <c r="K234" s="171"/>
      <c r="L234" s="228"/>
      <c r="M234" s="227"/>
      <c r="N234" s="206"/>
    </row>
    <row r="235" spans="1:14" ht="18" x14ac:dyDescent="0.3">
      <c r="A235" s="1344"/>
      <c r="B235" s="171">
        <f t="shared" si="46"/>
        <v>12</v>
      </c>
      <c r="C235" s="171">
        <f t="shared" si="46"/>
        <v>12</v>
      </c>
      <c r="D235" s="171" t="str">
        <f t="shared" si="45"/>
        <v>Petite Gâterie 12</v>
      </c>
      <c r="E235" s="265">
        <f t="shared" si="47"/>
        <v>1.87</v>
      </c>
      <c r="F235" s="264">
        <f t="shared" si="47"/>
        <v>6.6</v>
      </c>
      <c r="G235" s="263">
        <f t="shared" si="48"/>
        <v>0.28333333333333338</v>
      </c>
      <c r="H235" s="262">
        <f t="shared" si="49"/>
        <v>4.7299999999999995</v>
      </c>
      <c r="I235" s="261"/>
      <c r="J235" s="171"/>
      <c r="K235" s="171"/>
      <c r="L235" s="228"/>
      <c r="M235" s="227"/>
      <c r="N235" s="206"/>
    </row>
    <row r="236" spans="1:14" ht="19" x14ac:dyDescent="0.35">
      <c r="A236" s="1344"/>
      <c r="B236" s="171"/>
      <c r="C236" s="171"/>
      <c r="D236" s="238" t="str">
        <f t="shared" si="45"/>
        <v>CmO—PmO—Food Cost—BmO</v>
      </c>
      <c r="E236" s="259">
        <f>SUM(E224:E235)/C235</f>
        <v>1.4816666666666667</v>
      </c>
      <c r="F236" s="259">
        <f>SUM(F224:F235)/C235</f>
        <v>4.8166666666666673</v>
      </c>
      <c r="G236" s="274">
        <f t="shared" si="48"/>
        <v>0.30761245674740478</v>
      </c>
      <c r="H236" s="257">
        <f t="shared" si="49"/>
        <v>3.3350000000000009</v>
      </c>
      <c r="I236" s="256"/>
      <c r="J236" s="171"/>
      <c r="K236" s="171"/>
      <c r="L236" s="1022">
        <v>1.05</v>
      </c>
      <c r="M236" s="227" t="s">
        <v>1</v>
      </c>
      <c r="N236" s="206"/>
    </row>
    <row r="237" spans="1:14" ht="18" x14ac:dyDescent="0.3">
      <c r="A237" s="1344"/>
      <c r="B237" s="171" t="s">
        <v>1</v>
      </c>
      <c r="C237" s="171"/>
      <c r="D237" s="171"/>
      <c r="E237" s="242"/>
      <c r="F237" s="242"/>
      <c r="G237" s="263"/>
      <c r="H237" s="240"/>
      <c r="I237" s="171"/>
      <c r="J237" s="171"/>
      <c r="K237" s="171"/>
      <c r="L237" s="228"/>
      <c r="M237" s="227"/>
      <c r="N237" s="206"/>
    </row>
    <row r="238" spans="1:14" ht="18" x14ac:dyDescent="0.3">
      <c r="A238" s="1344"/>
      <c r="B238" s="171"/>
      <c r="C238" s="171"/>
      <c r="D238" s="238" t="str">
        <f t="shared" ref="D238:D251" si="50">D195</f>
        <v>Les Boissons  Gâteries</v>
      </c>
      <c r="E238" s="242"/>
      <c r="F238" s="242"/>
      <c r="G238" s="263"/>
      <c r="H238" s="240"/>
      <c r="I238" s="171"/>
      <c r="J238" s="171"/>
      <c r="K238" s="171"/>
      <c r="L238" s="228"/>
      <c r="M238" s="227"/>
      <c r="N238" s="206"/>
    </row>
    <row r="239" spans="1:14" ht="18" x14ac:dyDescent="0.3">
      <c r="A239" s="1344"/>
      <c r="B239" s="171">
        <f t="shared" ref="B239:C250" si="51">B196</f>
        <v>13</v>
      </c>
      <c r="C239" s="171">
        <f t="shared" si="51"/>
        <v>1</v>
      </c>
      <c r="D239" s="171" t="str">
        <f t="shared" si="50"/>
        <v>Boisson spécial numéro 1</v>
      </c>
      <c r="E239" s="265">
        <f t="shared" ref="E239:F250" si="52">E196</f>
        <v>2.2799999999999998</v>
      </c>
      <c r="F239" s="264">
        <f t="shared" si="52"/>
        <v>6.6</v>
      </c>
      <c r="G239" s="263">
        <f t="shared" ref="G239:G251" si="53">E239/F239</f>
        <v>0.34545454545454546</v>
      </c>
      <c r="H239" s="262">
        <f t="shared" ref="H239:H251" si="54">F239-E239</f>
        <v>4.32</v>
      </c>
      <c r="I239" s="261"/>
      <c r="J239" s="171"/>
      <c r="K239" s="171"/>
      <c r="L239" s="228"/>
      <c r="M239" s="227"/>
      <c r="N239" s="206"/>
    </row>
    <row r="240" spans="1:14" ht="18" x14ac:dyDescent="0.3">
      <c r="A240" s="1344"/>
      <c r="B240" s="171">
        <f t="shared" si="51"/>
        <v>14</v>
      </c>
      <c r="C240" s="171">
        <f t="shared" si="51"/>
        <v>2</v>
      </c>
      <c r="D240" s="171" t="str">
        <f t="shared" si="50"/>
        <v>Boisson spécial numéro 2</v>
      </c>
      <c r="E240" s="265">
        <f t="shared" si="52"/>
        <v>2.66</v>
      </c>
      <c r="F240" s="264">
        <f t="shared" si="52"/>
        <v>7.6</v>
      </c>
      <c r="G240" s="263">
        <f t="shared" si="53"/>
        <v>0.35000000000000003</v>
      </c>
      <c r="H240" s="262">
        <f t="shared" si="54"/>
        <v>4.9399999999999995</v>
      </c>
      <c r="I240" s="261"/>
      <c r="J240" s="171"/>
      <c r="K240" s="171"/>
      <c r="L240" s="228"/>
      <c r="M240" s="227"/>
      <c r="N240" s="206"/>
    </row>
    <row r="241" spans="1:14" ht="18" x14ac:dyDescent="0.3">
      <c r="A241" s="1344"/>
      <c r="B241" s="171">
        <f t="shared" si="51"/>
        <v>15</v>
      </c>
      <c r="C241" s="171">
        <f t="shared" si="51"/>
        <v>3</v>
      </c>
      <c r="D241" s="171" t="str">
        <f t="shared" si="50"/>
        <v>Boisson spécial numéro 3</v>
      </c>
      <c r="E241" s="265">
        <f t="shared" si="52"/>
        <v>2.74</v>
      </c>
      <c r="F241" s="264">
        <f t="shared" si="52"/>
        <v>8</v>
      </c>
      <c r="G241" s="263">
        <f t="shared" si="53"/>
        <v>0.34250000000000003</v>
      </c>
      <c r="H241" s="262">
        <f t="shared" si="54"/>
        <v>5.26</v>
      </c>
      <c r="I241" s="261"/>
      <c r="J241" s="171"/>
      <c r="K241" s="171"/>
      <c r="L241" s="228"/>
      <c r="M241" s="227"/>
      <c r="N241" s="206"/>
    </row>
    <row r="242" spans="1:14" ht="18" x14ac:dyDescent="0.3">
      <c r="A242" s="1344"/>
      <c r="B242" s="171">
        <f t="shared" si="51"/>
        <v>16</v>
      </c>
      <c r="C242" s="171">
        <f t="shared" si="51"/>
        <v>4</v>
      </c>
      <c r="D242" s="171" t="str">
        <f t="shared" si="50"/>
        <v>Boisson spécial numéro 4</v>
      </c>
      <c r="E242" s="265">
        <f t="shared" si="52"/>
        <v>2.72</v>
      </c>
      <c r="F242" s="264">
        <f t="shared" si="52"/>
        <v>9</v>
      </c>
      <c r="G242" s="263">
        <f t="shared" si="53"/>
        <v>0.30222222222222223</v>
      </c>
      <c r="H242" s="262">
        <f t="shared" si="54"/>
        <v>6.2799999999999994</v>
      </c>
      <c r="I242" s="261"/>
      <c r="J242" s="171"/>
      <c r="K242" s="171"/>
      <c r="L242" s="228"/>
      <c r="M242" s="227"/>
      <c r="N242" s="206"/>
    </row>
    <row r="243" spans="1:14" ht="18" x14ac:dyDescent="0.3">
      <c r="A243" s="1344"/>
      <c r="B243" s="171">
        <f t="shared" si="51"/>
        <v>17</v>
      </c>
      <c r="C243" s="171">
        <f t="shared" si="51"/>
        <v>5</v>
      </c>
      <c r="D243" s="171" t="str">
        <f t="shared" si="50"/>
        <v>Boisson spécial numéro 5</v>
      </c>
      <c r="E243" s="265">
        <f t="shared" si="52"/>
        <v>2.76</v>
      </c>
      <c r="F243" s="264">
        <f t="shared" si="52"/>
        <v>9.1999999999999993</v>
      </c>
      <c r="G243" s="263">
        <f t="shared" si="53"/>
        <v>0.3</v>
      </c>
      <c r="H243" s="262">
        <f t="shared" si="54"/>
        <v>6.4399999999999995</v>
      </c>
      <c r="I243" s="261"/>
      <c r="J243" s="171"/>
      <c r="K243" s="171"/>
      <c r="L243" s="228"/>
      <c r="M243" s="227"/>
      <c r="N243" s="206"/>
    </row>
    <row r="244" spans="1:14" ht="18" x14ac:dyDescent="0.3">
      <c r="A244" s="1344"/>
      <c r="B244" s="171">
        <f t="shared" si="51"/>
        <v>18</v>
      </c>
      <c r="C244" s="171">
        <f t="shared" si="51"/>
        <v>6</v>
      </c>
      <c r="D244" s="171" t="str">
        <f t="shared" si="50"/>
        <v>Boisson spécial numéro 6</v>
      </c>
      <c r="E244" s="265">
        <f t="shared" si="52"/>
        <v>2.8</v>
      </c>
      <c r="F244" s="264">
        <f t="shared" si="52"/>
        <v>9.4</v>
      </c>
      <c r="G244" s="263">
        <f t="shared" si="53"/>
        <v>0.2978723404255319</v>
      </c>
      <c r="H244" s="262">
        <f t="shared" si="54"/>
        <v>6.6000000000000005</v>
      </c>
      <c r="I244" s="261"/>
      <c r="J244" s="171"/>
      <c r="K244" s="171"/>
      <c r="L244" s="228"/>
      <c r="M244" s="227"/>
      <c r="N244" s="206"/>
    </row>
    <row r="245" spans="1:14" ht="18" x14ac:dyDescent="0.3">
      <c r="A245" s="1344"/>
      <c r="B245" s="171">
        <f t="shared" si="51"/>
        <v>19</v>
      </c>
      <c r="C245" s="171">
        <f t="shared" si="51"/>
        <v>7</v>
      </c>
      <c r="D245" s="171" t="str">
        <f t="shared" si="50"/>
        <v>Boisson spécial numéro 7</v>
      </c>
      <c r="E245" s="265">
        <f t="shared" si="52"/>
        <v>2.82</v>
      </c>
      <c r="F245" s="264">
        <f t="shared" si="52"/>
        <v>9.6</v>
      </c>
      <c r="G245" s="263">
        <f t="shared" si="53"/>
        <v>0.29375000000000001</v>
      </c>
      <c r="H245" s="262">
        <f t="shared" si="54"/>
        <v>6.7799999999999994</v>
      </c>
      <c r="I245" s="261"/>
      <c r="J245" s="171"/>
      <c r="K245" s="171"/>
      <c r="L245" s="228"/>
      <c r="M245" s="227"/>
      <c r="N245" s="206"/>
    </row>
    <row r="246" spans="1:14" ht="18" x14ac:dyDescent="0.3">
      <c r="A246" s="1344"/>
      <c r="B246" s="171">
        <f t="shared" si="51"/>
        <v>20</v>
      </c>
      <c r="C246" s="171">
        <f t="shared" si="51"/>
        <v>8</v>
      </c>
      <c r="D246" s="171" t="str">
        <f t="shared" si="50"/>
        <v>Boisson spécial numéro 8</v>
      </c>
      <c r="E246" s="265">
        <f t="shared" si="52"/>
        <v>2.86</v>
      </c>
      <c r="F246" s="264">
        <f t="shared" si="52"/>
        <v>9.8000000000000007</v>
      </c>
      <c r="G246" s="263">
        <f t="shared" si="53"/>
        <v>0.2918367346938775</v>
      </c>
      <c r="H246" s="262">
        <f t="shared" si="54"/>
        <v>6.9400000000000013</v>
      </c>
      <c r="I246" s="261"/>
      <c r="J246" s="171"/>
      <c r="K246" s="171"/>
      <c r="L246" s="228"/>
      <c r="M246" s="227"/>
      <c r="N246" s="206"/>
    </row>
    <row r="247" spans="1:14" ht="18" x14ac:dyDescent="0.3">
      <c r="A247" s="1344"/>
      <c r="B247" s="171">
        <f t="shared" si="51"/>
        <v>21</v>
      </c>
      <c r="C247" s="171">
        <f t="shared" si="51"/>
        <v>9</v>
      </c>
      <c r="D247" s="171" t="str">
        <f t="shared" si="50"/>
        <v>Boisson spécial numéro 9</v>
      </c>
      <c r="E247" s="265">
        <f t="shared" si="52"/>
        <v>2.9</v>
      </c>
      <c r="F247" s="264">
        <f t="shared" si="52"/>
        <v>10</v>
      </c>
      <c r="G247" s="263">
        <f t="shared" si="53"/>
        <v>0.28999999999999998</v>
      </c>
      <c r="H247" s="262">
        <f t="shared" si="54"/>
        <v>7.1</v>
      </c>
      <c r="I247" s="261"/>
      <c r="J247" s="171"/>
      <c r="K247" s="171"/>
      <c r="L247" s="228"/>
      <c r="M247" s="227"/>
      <c r="N247" s="206"/>
    </row>
    <row r="248" spans="1:14" ht="18" x14ac:dyDescent="0.3">
      <c r="A248" s="1344"/>
      <c r="B248" s="171">
        <f t="shared" si="51"/>
        <v>22</v>
      </c>
      <c r="C248" s="171">
        <f t="shared" si="51"/>
        <v>10</v>
      </c>
      <c r="D248" s="171" t="str">
        <f t="shared" si="50"/>
        <v>Boisson spécial numéro 10</v>
      </c>
      <c r="E248" s="265">
        <f t="shared" si="52"/>
        <v>2.98</v>
      </c>
      <c r="F248" s="264">
        <f t="shared" si="52"/>
        <v>10.4</v>
      </c>
      <c r="G248" s="263">
        <f t="shared" si="53"/>
        <v>0.28653846153846152</v>
      </c>
      <c r="H248" s="262">
        <f t="shared" si="54"/>
        <v>7.42</v>
      </c>
      <c r="I248" s="261"/>
      <c r="J248" s="171"/>
      <c r="K248" s="171"/>
      <c r="L248" s="228"/>
      <c r="M248" s="227"/>
      <c r="N248" s="206"/>
    </row>
    <row r="249" spans="1:14" ht="18" x14ac:dyDescent="0.3">
      <c r="A249" s="1344"/>
      <c r="B249" s="171">
        <f t="shared" si="51"/>
        <v>23</v>
      </c>
      <c r="C249" s="171">
        <f t="shared" si="51"/>
        <v>11</v>
      </c>
      <c r="D249" s="171" t="str">
        <f t="shared" si="50"/>
        <v>Boisson spécial numéro 11</v>
      </c>
      <c r="E249" s="265">
        <f t="shared" si="52"/>
        <v>3.18</v>
      </c>
      <c r="F249" s="264">
        <f t="shared" si="52"/>
        <v>11.6</v>
      </c>
      <c r="G249" s="263">
        <f t="shared" si="53"/>
        <v>0.27413793103448281</v>
      </c>
      <c r="H249" s="262">
        <f t="shared" si="54"/>
        <v>8.42</v>
      </c>
      <c r="I249" s="261"/>
      <c r="J249" s="171"/>
      <c r="K249" s="171"/>
      <c r="L249" s="228"/>
      <c r="M249" s="227"/>
      <c r="N249" s="206"/>
    </row>
    <row r="250" spans="1:14" ht="18" x14ac:dyDescent="0.3">
      <c r="A250" s="1344"/>
      <c r="B250" s="171">
        <f t="shared" si="51"/>
        <v>24</v>
      </c>
      <c r="C250" s="171">
        <f t="shared" si="51"/>
        <v>12</v>
      </c>
      <c r="D250" s="171" t="str">
        <f t="shared" si="50"/>
        <v>Boisson spécial numéro 12</v>
      </c>
      <c r="E250" s="265">
        <f t="shared" si="52"/>
        <v>3.48</v>
      </c>
      <c r="F250" s="264">
        <f t="shared" si="52"/>
        <v>13.2</v>
      </c>
      <c r="G250" s="263">
        <f t="shared" si="53"/>
        <v>0.26363636363636367</v>
      </c>
      <c r="H250" s="262">
        <f t="shared" si="54"/>
        <v>9.7199999999999989</v>
      </c>
      <c r="I250" s="261"/>
      <c r="J250" s="171"/>
      <c r="K250" s="171"/>
      <c r="L250" s="228"/>
      <c r="M250" s="227"/>
      <c r="N250" s="206"/>
    </row>
    <row r="251" spans="1:14" ht="19" x14ac:dyDescent="0.35">
      <c r="A251" s="1344"/>
      <c r="B251" s="171"/>
      <c r="C251" s="171"/>
      <c r="D251" s="238" t="str">
        <f t="shared" si="50"/>
        <v>CmO—PmO—Beverage Cost—Marge brute</v>
      </c>
      <c r="E251" s="259">
        <f>SUM(E239:E250)/C250</f>
        <v>2.8483333333333332</v>
      </c>
      <c r="F251" s="259">
        <f>SUM(F239:F250)/C250</f>
        <v>9.5333333333333332</v>
      </c>
      <c r="G251" s="258">
        <f t="shared" si="53"/>
        <v>0.29877622377622376</v>
      </c>
      <c r="H251" s="257">
        <f t="shared" si="54"/>
        <v>6.6850000000000005</v>
      </c>
      <c r="I251" s="256"/>
      <c r="J251" s="171"/>
      <c r="K251" s="171"/>
      <c r="L251" s="1022">
        <v>1.05</v>
      </c>
      <c r="M251" s="227" t="s">
        <v>1</v>
      </c>
      <c r="N251" s="206"/>
    </row>
    <row r="252" spans="1:14" ht="19" thickBot="1" x14ac:dyDescent="0.35">
      <c r="A252" s="1344"/>
      <c r="B252" s="171"/>
      <c r="C252" s="171"/>
      <c r="D252" s="171"/>
      <c r="E252" s="242"/>
      <c r="F252" s="242"/>
      <c r="G252" s="241"/>
      <c r="H252" s="240"/>
      <c r="I252" s="171"/>
      <c r="J252" s="171"/>
      <c r="K252" s="171"/>
      <c r="L252" s="228"/>
      <c r="M252" s="227"/>
      <c r="N252" s="206"/>
    </row>
    <row r="253" spans="1:14" ht="21" thickTop="1" thickBot="1" x14ac:dyDescent="0.4">
      <c r="A253" s="1344"/>
      <c r="B253" s="171"/>
      <c r="C253" s="253"/>
      <c r="D253" s="252"/>
      <c r="E253" s="251"/>
      <c r="F253" s="251"/>
      <c r="G253" s="250"/>
      <c r="H253" s="249"/>
      <c r="I253" s="248"/>
      <c r="J253" s="171"/>
      <c r="K253" s="171"/>
      <c r="L253" s="228"/>
      <c r="M253" s="227"/>
      <c r="N253" s="206"/>
    </row>
    <row r="254" spans="1:14" ht="20" thickTop="1" thickBot="1" x14ac:dyDescent="0.35">
      <c r="A254" s="1344"/>
      <c r="B254" s="171"/>
      <c r="C254" s="233"/>
      <c r="D254" s="238"/>
      <c r="E254" s="247" t="str">
        <f>E211</f>
        <v>CmO</v>
      </c>
      <c r="F254" s="247" t="str">
        <f>F211</f>
        <v>PmO</v>
      </c>
      <c r="G254" s="246" t="str">
        <f>G211</f>
        <v>F&amp;BCmO</v>
      </c>
      <c r="H254" s="245" t="str">
        <f>H211</f>
        <v>BmO</v>
      </c>
      <c r="I254" s="244"/>
      <c r="J254" s="171"/>
      <c r="K254" s="171"/>
      <c r="L254" s="228"/>
      <c r="M254" s="227"/>
      <c r="N254" s="206"/>
    </row>
    <row r="255" spans="1:14" ht="19" thickTop="1" x14ac:dyDescent="0.3">
      <c r="A255" s="1344"/>
      <c r="B255" s="171"/>
      <c r="C255" s="233"/>
      <c r="D255" s="243" t="str">
        <f>D212</f>
        <v>OFFRE TOTALE AVEC LES GÂTERIES ET LES CAFÉS GÂTERIES</v>
      </c>
      <c r="E255" s="242"/>
      <c r="F255" s="242"/>
      <c r="G255" s="241"/>
      <c r="H255" s="240"/>
      <c r="I255" s="239"/>
      <c r="J255" s="171"/>
      <c r="K255" s="171"/>
      <c r="L255" s="228"/>
      <c r="M255" s="227"/>
      <c r="N255" s="206"/>
    </row>
    <row r="256" spans="1:14" ht="19" x14ac:dyDescent="0.35">
      <c r="A256" s="1344"/>
      <c r="B256" s="171"/>
      <c r="C256" s="233"/>
      <c r="D256" s="238" t="str">
        <f>D213</f>
        <v>CmO—PmO—F&amp;B cost moyen offert—Marge brute</v>
      </c>
      <c r="E256" s="237">
        <f>+(E224+E225+E226+E227+E228+E229+E230+E231+E232+E233+E234+E235+E239+E240+E241+E242+E243+E244+E245+E246+E247+E248+E249+E250)/B250</f>
        <v>2.1649999999999996</v>
      </c>
      <c r="F256" s="237">
        <f>+(F224+F225+F226+F227+F228+F229+F230+F231+F232+F233+F234+F235+F239+F240+F241+F242+F243+F244+F245+F246+F247+F248+F249+F250)/B250</f>
        <v>7.1749999999999998</v>
      </c>
      <c r="G256" s="236">
        <f>E256/F256</f>
        <v>0.30174216027874562</v>
      </c>
      <c r="H256" s="235">
        <f>F256-E256</f>
        <v>5.01</v>
      </c>
      <c r="I256" s="234"/>
      <c r="J256" s="171"/>
      <c r="K256" s="171"/>
      <c r="L256" s="228">
        <f>+L236+L251</f>
        <v>2.1</v>
      </c>
      <c r="M256" s="227">
        <f>'% Occupation'!I19</f>
        <v>4365</v>
      </c>
      <c r="N256" s="206"/>
    </row>
    <row r="257" spans="1:14" ht="18" x14ac:dyDescent="0.3">
      <c r="A257" s="1344"/>
      <c r="B257" s="171"/>
      <c r="C257" s="233"/>
      <c r="D257" s="171"/>
      <c r="E257" s="232"/>
      <c r="F257" s="232"/>
      <c r="G257" s="231"/>
      <c r="H257" s="230"/>
      <c r="I257" s="229"/>
      <c r="J257" s="171"/>
      <c r="K257" s="171"/>
      <c r="L257" s="228"/>
      <c r="M257" s="227"/>
      <c r="N257" s="206"/>
    </row>
    <row r="258" spans="1:14" ht="19" thickBot="1" x14ac:dyDescent="0.35">
      <c r="A258" s="1345"/>
      <c r="B258" s="171"/>
      <c r="C258" s="226"/>
      <c r="D258" s="225"/>
      <c r="E258" s="224"/>
      <c r="F258" s="224"/>
      <c r="G258" s="223"/>
      <c r="H258" s="222"/>
      <c r="I258" s="221"/>
      <c r="J258" s="171"/>
      <c r="K258" s="171"/>
      <c r="L258" s="220"/>
      <c r="M258" s="219"/>
      <c r="N258" s="206"/>
    </row>
    <row r="259" spans="1:14" ht="19" thickTop="1" x14ac:dyDescent="0.3">
      <c r="L259" s="209"/>
      <c r="M259" s="288"/>
      <c r="N259" s="206"/>
    </row>
    <row r="260" spans="1:14" ht="23" x14ac:dyDescent="0.3">
      <c r="A260" s="1343" t="s">
        <v>88</v>
      </c>
      <c r="D260" s="284" t="s">
        <v>87</v>
      </c>
      <c r="F260" s="280"/>
      <c r="L260" s="209"/>
      <c r="M260" s="288"/>
      <c r="N260" s="206"/>
    </row>
    <row r="261" spans="1:14" ht="24" thickBot="1" x14ac:dyDescent="0.35">
      <c r="A261" s="1344"/>
      <c r="D261" s="282"/>
      <c r="L261" s="209"/>
      <c r="M261" s="288"/>
      <c r="N261" s="206"/>
    </row>
    <row r="262" spans="1:14" ht="23" customHeight="1" thickTop="1" x14ac:dyDescent="0.25">
      <c r="A262" s="1344"/>
      <c r="D262" s="282"/>
      <c r="E262" s="1335" t="str">
        <f>E219</f>
        <v>Coûts des ressources alimentaires pour chaque produit offert (voir recettes standardisées)</v>
      </c>
      <c r="F262" s="1335" t="str">
        <f>F219</f>
        <v>Prix de vente par produit offert</v>
      </c>
      <c r="G262" s="1335" t="str">
        <f>G219</f>
        <v xml:space="preserve">« Food &amp; Beverage Cost » </v>
      </c>
      <c r="H262" s="1335" t="str">
        <f>H219</f>
        <v>Marge brute gagnée sur la vente de chaque produit offert</v>
      </c>
      <c r="I262" s="283"/>
      <c r="L262" s="1329" t="s">
        <v>79</v>
      </c>
      <c r="M262" s="1346" t="s">
        <v>78</v>
      </c>
      <c r="N262" s="206"/>
    </row>
    <row r="263" spans="1:14" ht="22" x14ac:dyDescent="0.25">
      <c r="A263" s="1344"/>
      <c r="D263" s="282"/>
      <c r="E263" s="1336"/>
      <c r="F263" s="1338"/>
      <c r="G263" s="1338"/>
      <c r="H263" s="1338"/>
      <c r="I263" s="281"/>
      <c r="L263" s="1330"/>
      <c r="M263" s="1347"/>
      <c r="N263" s="206"/>
    </row>
    <row r="264" spans="1:14" ht="14" customHeight="1" thickBot="1" x14ac:dyDescent="0.25">
      <c r="A264" s="1344"/>
      <c r="E264" s="1337"/>
      <c r="F264" s="1339"/>
      <c r="G264" s="1339"/>
      <c r="H264" s="1339"/>
      <c r="I264" s="281"/>
      <c r="L264" s="1331"/>
      <c r="M264" s="1348"/>
      <c r="N264" s="206"/>
    </row>
    <row r="265" spans="1:14" ht="20" thickTop="1" thickBot="1" x14ac:dyDescent="0.35">
      <c r="A265" s="1344"/>
      <c r="B265" s="138" t="s">
        <v>1</v>
      </c>
      <c r="E265" s="280"/>
      <c r="F265" s="280"/>
      <c r="G265" s="279"/>
      <c r="L265" s="209"/>
      <c r="M265" s="288"/>
      <c r="N265" s="206"/>
    </row>
    <row r="266" spans="1:14" ht="19" thickTop="1" x14ac:dyDescent="0.3">
      <c r="A266" s="1344"/>
      <c r="B266" s="171"/>
      <c r="C266" s="171"/>
      <c r="D266" s="238" t="str">
        <f t="shared" ref="D266:D279" si="55">D223</f>
        <v>Les Petite Gâteries</v>
      </c>
      <c r="E266" s="261"/>
      <c r="F266" s="261"/>
      <c r="G266" s="241"/>
      <c r="H266" s="171"/>
      <c r="I266" s="171"/>
      <c r="J266" s="171"/>
      <c r="K266" s="171"/>
      <c r="L266" s="278"/>
      <c r="M266" s="277"/>
      <c r="N266" s="206"/>
    </row>
    <row r="267" spans="1:14" ht="18" x14ac:dyDescent="0.3">
      <c r="A267" s="1344"/>
      <c r="B267" s="171">
        <f t="shared" ref="B267:C278" si="56">B224</f>
        <v>1</v>
      </c>
      <c r="C267" s="171">
        <f t="shared" si="56"/>
        <v>1</v>
      </c>
      <c r="D267" s="171" t="str">
        <f t="shared" si="55"/>
        <v>Petite Gâterie 1</v>
      </c>
      <c r="E267" s="265">
        <f t="shared" ref="E267:F278" si="57">E224</f>
        <v>1.21</v>
      </c>
      <c r="F267" s="273">
        <f t="shared" si="57"/>
        <v>3.3</v>
      </c>
      <c r="G267" s="263">
        <f t="shared" ref="G267:G279" si="58">E267/F267</f>
        <v>0.3666666666666667</v>
      </c>
      <c r="H267" s="262">
        <f t="shared" ref="H267:H279" si="59">F267-E267</f>
        <v>2.09</v>
      </c>
      <c r="I267" s="261">
        <f>F267</f>
        <v>3.3</v>
      </c>
      <c r="J267" s="1342">
        <f>3/12</f>
        <v>0.25</v>
      </c>
      <c r="K267" s="266"/>
      <c r="L267" s="276"/>
      <c r="M267" s="227"/>
      <c r="N267" s="206"/>
    </row>
    <row r="268" spans="1:14" ht="18" x14ac:dyDescent="0.3">
      <c r="A268" s="1344"/>
      <c r="B268" s="171">
        <f t="shared" si="56"/>
        <v>2</v>
      </c>
      <c r="C268" s="171">
        <f t="shared" si="56"/>
        <v>2</v>
      </c>
      <c r="D268" s="171" t="str">
        <f t="shared" si="55"/>
        <v>Petite Gâterie 2</v>
      </c>
      <c r="E268" s="265">
        <f t="shared" si="57"/>
        <v>1.31</v>
      </c>
      <c r="F268" s="273">
        <f t="shared" si="57"/>
        <v>3.8</v>
      </c>
      <c r="G268" s="263">
        <f t="shared" si="58"/>
        <v>0.34473684210526317</v>
      </c>
      <c r="H268" s="262">
        <f t="shared" si="59"/>
        <v>2.4899999999999998</v>
      </c>
      <c r="I268" s="261"/>
      <c r="J268" s="1333"/>
      <c r="K268" s="260"/>
      <c r="L268" s="228"/>
      <c r="M268" s="227"/>
      <c r="N268" s="206"/>
    </row>
    <row r="269" spans="1:14" ht="19" thickBot="1" x14ac:dyDescent="0.35">
      <c r="A269" s="1344"/>
      <c r="B269" s="272">
        <f t="shared" si="56"/>
        <v>3</v>
      </c>
      <c r="C269" s="272">
        <f t="shared" si="56"/>
        <v>3</v>
      </c>
      <c r="D269" s="272" t="str">
        <f t="shared" si="55"/>
        <v>Petite Gâterie 3</v>
      </c>
      <c r="E269" s="271">
        <f t="shared" si="57"/>
        <v>1.35</v>
      </c>
      <c r="F269" s="275">
        <f t="shared" si="57"/>
        <v>4</v>
      </c>
      <c r="G269" s="269">
        <f t="shared" si="58"/>
        <v>0.33750000000000002</v>
      </c>
      <c r="H269" s="268">
        <f t="shared" si="59"/>
        <v>2.65</v>
      </c>
      <c r="I269" s="267">
        <f>+I267+1.066667</f>
        <v>4.3666669999999996</v>
      </c>
      <c r="J269" s="1334"/>
      <c r="K269" s="260"/>
      <c r="L269" s="228"/>
      <c r="M269" s="227"/>
      <c r="N269" s="206"/>
    </row>
    <row r="270" spans="1:14" ht="18" x14ac:dyDescent="0.3">
      <c r="A270" s="1344"/>
      <c r="B270" s="171">
        <f t="shared" si="56"/>
        <v>4</v>
      </c>
      <c r="C270" s="171">
        <f t="shared" si="56"/>
        <v>4</v>
      </c>
      <c r="D270" s="171" t="str">
        <f t="shared" si="55"/>
        <v>Petite Gâterie 4</v>
      </c>
      <c r="E270" s="265">
        <f t="shared" si="57"/>
        <v>1.4</v>
      </c>
      <c r="F270" s="273">
        <f t="shared" si="57"/>
        <v>4.5</v>
      </c>
      <c r="G270" s="263">
        <f t="shared" si="58"/>
        <v>0.31111111111111112</v>
      </c>
      <c r="H270" s="262">
        <f t="shared" si="59"/>
        <v>3.1</v>
      </c>
      <c r="I270" s="261">
        <f>+I269+0.01</f>
        <v>4.3766669999999994</v>
      </c>
      <c r="J270" s="1332">
        <f>7/12</f>
        <v>0.58333333333333337</v>
      </c>
      <c r="K270" s="266"/>
      <c r="L270" s="228"/>
      <c r="M270" s="227"/>
      <c r="N270" s="206"/>
    </row>
    <row r="271" spans="1:14" ht="18" x14ac:dyDescent="0.3">
      <c r="A271" s="1344"/>
      <c r="B271" s="171">
        <f t="shared" si="56"/>
        <v>5</v>
      </c>
      <c r="C271" s="171">
        <f t="shared" si="56"/>
        <v>5</v>
      </c>
      <c r="D271" s="171" t="str">
        <f t="shared" si="55"/>
        <v>Petite Gâterie 5</v>
      </c>
      <c r="E271" s="265">
        <f t="shared" si="57"/>
        <v>1.24</v>
      </c>
      <c r="F271" s="273">
        <f t="shared" si="57"/>
        <v>4.5999999999999996</v>
      </c>
      <c r="G271" s="263">
        <f t="shared" si="58"/>
        <v>0.26956521739130435</v>
      </c>
      <c r="H271" s="262">
        <f t="shared" si="59"/>
        <v>3.3599999999999994</v>
      </c>
      <c r="I271" s="261"/>
      <c r="J271" s="1333"/>
      <c r="K271" s="260"/>
      <c r="L271" s="228"/>
      <c r="M271" s="227"/>
      <c r="N271" s="206"/>
    </row>
    <row r="272" spans="1:14" ht="18" x14ac:dyDescent="0.3">
      <c r="A272" s="1344"/>
      <c r="B272" s="171">
        <f t="shared" si="56"/>
        <v>6</v>
      </c>
      <c r="C272" s="171">
        <f t="shared" si="56"/>
        <v>6</v>
      </c>
      <c r="D272" s="171" t="str">
        <f t="shared" si="55"/>
        <v>Petite Gâterie 6</v>
      </c>
      <c r="E272" s="265">
        <f t="shared" si="57"/>
        <v>1.39</v>
      </c>
      <c r="F272" s="273">
        <f t="shared" si="57"/>
        <v>4.7</v>
      </c>
      <c r="G272" s="263">
        <f t="shared" si="58"/>
        <v>0.29574468085106381</v>
      </c>
      <c r="H272" s="262">
        <f t="shared" si="59"/>
        <v>3.3100000000000005</v>
      </c>
      <c r="I272" s="261"/>
      <c r="J272" s="1333"/>
      <c r="K272" s="260"/>
      <c r="L272" s="228"/>
      <c r="M272" s="227"/>
      <c r="N272" s="206"/>
    </row>
    <row r="273" spans="1:14" ht="18" x14ac:dyDescent="0.3">
      <c r="A273" s="1344"/>
      <c r="B273" s="171">
        <f t="shared" si="56"/>
        <v>7</v>
      </c>
      <c r="C273" s="171">
        <f t="shared" si="56"/>
        <v>7</v>
      </c>
      <c r="D273" s="171" t="str">
        <f t="shared" si="55"/>
        <v>Petite Gâterie 7</v>
      </c>
      <c r="E273" s="265">
        <f t="shared" si="57"/>
        <v>1.51</v>
      </c>
      <c r="F273" s="273">
        <f t="shared" si="57"/>
        <v>4.8</v>
      </c>
      <c r="G273" s="263">
        <f t="shared" si="58"/>
        <v>0.31458333333333333</v>
      </c>
      <c r="H273" s="262">
        <f t="shared" si="59"/>
        <v>3.29</v>
      </c>
      <c r="I273" s="261"/>
      <c r="J273" s="1333"/>
      <c r="K273" s="260"/>
      <c r="L273" s="228"/>
      <c r="M273" s="227"/>
      <c r="N273" s="206"/>
    </row>
    <row r="274" spans="1:14" ht="18" x14ac:dyDescent="0.3">
      <c r="A274" s="1344"/>
      <c r="B274" s="171">
        <f t="shared" si="56"/>
        <v>8</v>
      </c>
      <c r="C274" s="171">
        <f t="shared" si="56"/>
        <v>8</v>
      </c>
      <c r="D274" s="171" t="str">
        <f t="shared" si="55"/>
        <v>Petite Gâterie 8</v>
      </c>
      <c r="E274" s="265">
        <f t="shared" si="57"/>
        <v>1.53</v>
      </c>
      <c r="F274" s="273">
        <f t="shared" si="57"/>
        <v>4.9000000000000004</v>
      </c>
      <c r="G274" s="263">
        <f t="shared" si="58"/>
        <v>0.31224489795918364</v>
      </c>
      <c r="H274" s="262">
        <f t="shared" si="59"/>
        <v>3.37</v>
      </c>
      <c r="I274" s="261"/>
      <c r="J274" s="1333"/>
      <c r="K274" s="260"/>
      <c r="L274" s="228"/>
      <c r="M274" s="227"/>
      <c r="N274" s="206"/>
    </row>
    <row r="275" spans="1:14" ht="18" x14ac:dyDescent="0.3">
      <c r="A275" s="1344"/>
      <c r="B275" s="171">
        <f t="shared" si="56"/>
        <v>9</v>
      </c>
      <c r="C275" s="171">
        <f t="shared" si="56"/>
        <v>9</v>
      </c>
      <c r="D275" s="171" t="str">
        <f t="shared" si="55"/>
        <v>Petite Gâterie 9</v>
      </c>
      <c r="E275" s="265">
        <f t="shared" si="57"/>
        <v>1.55</v>
      </c>
      <c r="F275" s="273">
        <f t="shared" si="57"/>
        <v>5</v>
      </c>
      <c r="G275" s="263">
        <f t="shared" si="58"/>
        <v>0.31</v>
      </c>
      <c r="H275" s="262">
        <f t="shared" si="59"/>
        <v>3.45</v>
      </c>
      <c r="I275" s="261"/>
      <c r="J275" s="1333"/>
      <c r="K275" s="260"/>
      <c r="L275" s="228"/>
      <c r="M275" s="227"/>
      <c r="N275" s="206"/>
    </row>
    <row r="276" spans="1:14" ht="19" thickBot="1" x14ac:dyDescent="0.35">
      <c r="A276" s="1344"/>
      <c r="B276" s="272">
        <f t="shared" si="56"/>
        <v>10</v>
      </c>
      <c r="C276" s="272">
        <f t="shared" si="56"/>
        <v>10</v>
      </c>
      <c r="D276" s="272" t="str">
        <f t="shared" si="55"/>
        <v>Petite Gâterie 10</v>
      </c>
      <c r="E276" s="271">
        <f t="shared" si="57"/>
        <v>1.59</v>
      </c>
      <c r="F276" s="275">
        <f t="shared" si="57"/>
        <v>5.2</v>
      </c>
      <c r="G276" s="269">
        <f t="shared" si="58"/>
        <v>0.30576923076923079</v>
      </c>
      <c r="H276" s="268">
        <f t="shared" si="59"/>
        <v>3.6100000000000003</v>
      </c>
      <c r="I276" s="267">
        <f>+I269+1.066667</f>
        <v>5.4333339999999994</v>
      </c>
      <c r="J276" s="1334"/>
      <c r="K276" s="260"/>
      <c r="L276" s="228"/>
      <c r="M276" s="227"/>
      <c r="N276" s="206"/>
    </row>
    <row r="277" spans="1:14" ht="18" x14ac:dyDescent="0.3">
      <c r="A277" s="1344"/>
      <c r="B277" s="171">
        <f t="shared" si="56"/>
        <v>11</v>
      </c>
      <c r="C277" s="171">
        <f t="shared" si="56"/>
        <v>11</v>
      </c>
      <c r="D277" s="171" t="str">
        <f t="shared" si="55"/>
        <v>Petite Gâterie 11</v>
      </c>
      <c r="E277" s="265">
        <f t="shared" si="57"/>
        <v>1.83</v>
      </c>
      <c r="F277" s="273">
        <f t="shared" si="57"/>
        <v>6.4</v>
      </c>
      <c r="G277" s="263">
        <f t="shared" si="58"/>
        <v>0.28593750000000001</v>
      </c>
      <c r="H277" s="262">
        <f t="shared" si="59"/>
        <v>4.57</v>
      </c>
      <c r="I277" s="261">
        <f>+I276+0.01</f>
        <v>5.4433339999999992</v>
      </c>
      <c r="J277" s="1332">
        <f>2/12</f>
        <v>0.16666666666666666</v>
      </c>
      <c r="K277" s="266"/>
      <c r="L277" s="228"/>
      <c r="M277" s="227"/>
      <c r="N277" s="206"/>
    </row>
    <row r="278" spans="1:14" ht="18" x14ac:dyDescent="0.3">
      <c r="A278" s="1344"/>
      <c r="B278" s="171">
        <f t="shared" si="56"/>
        <v>12</v>
      </c>
      <c r="C278" s="171">
        <f t="shared" si="56"/>
        <v>12</v>
      </c>
      <c r="D278" s="171" t="str">
        <f t="shared" si="55"/>
        <v>Petite Gâterie 12</v>
      </c>
      <c r="E278" s="265">
        <f t="shared" si="57"/>
        <v>1.87</v>
      </c>
      <c r="F278" s="273">
        <f t="shared" si="57"/>
        <v>6.6</v>
      </c>
      <c r="G278" s="263">
        <f t="shared" si="58"/>
        <v>0.28333333333333338</v>
      </c>
      <c r="H278" s="262">
        <f t="shared" si="59"/>
        <v>4.7299999999999995</v>
      </c>
      <c r="I278" s="261">
        <f>F278</f>
        <v>6.6</v>
      </c>
      <c r="J278" s="1333"/>
      <c r="K278" s="260"/>
      <c r="L278" s="228"/>
      <c r="M278" s="227"/>
      <c r="N278" s="206"/>
    </row>
    <row r="279" spans="1:14" ht="19" x14ac:dyDescent="0.35">
      <c r="A279" s="1344"/>
      <c r="B279" s="171"/>
      <c r="C279" s="171"/>
      <c r="D279" s="238" t="str">
        <f t="shared" si="55"/>
        <v>CmO—PmO—Food Cost—BmO</v>
      </c>
      <c r="E279" s="259">
        <f>SUM(E267:E278)/C278</f>
        <v>1.4816666666666667</v>
      </c>
      <c r="F279" s="259">
        <f>SUM(F267:F278)/C278</f>
        <v>4.8166666666666673</v>
      </c>
      <c r="G279" s="274">
        <f t="shared" si="58"/>
        <v>0.30761245674740478</v>
      </c>
      <c r="H279" s="257">
        <f t="shared" si="59"/>
        <v>3.3350000000000009</v>
      </c>
      <c r="I279" s="256"/>
      <c r="J279" s="171"/>
      <c r="K279" s="171"/>
      <c r="L279" s="1022">
        <v>1.1000000000000001</v>
      </c>
      <c r="M279" s="227" t="s">
        <v>1</v>
      </c>
      <c r="N279" s="206"/>
    </row>
    <row r="280" spans="1:14" ht="18" x14ac:dyDescent="0.3">
      <c r="A280" s="1344"/>
      <c r="B280" s="171" t="s">
        <v>1</v>
      </c>
      <c r="C280" s="171"/>
      <c r="D280" s="171"/>
      <c r="E280" s="242"/>
      <c r="F280" s="242"/>
      <c r="G280" s="263"/>
      <c r="H280" s="240"/>
      <c r="I280" s="261"/>
      <c r="J280" s="171"/>
      <c r="K280" s="171"/>
      <c r="L280" s="228"/>
      <c r="M280" s="227"/>
      <c r="N280" s="206"/>
    </row>
    <row r="281" spans="1:14" ht="18" x14ac:dyDescent="0.3">
      <c r="A281" s="1344"/>
      <c r="B281" s="171"/>
      <c r="C281" s="171"/>
      <c r="D281" s="238" t="str">
        <f t="shared" ref="D281:D294" si="60">D238</f>
        <v>Les Boissons  Gâteries</v>
      </c>
      <c r="E281" s="242"/>
      <c r="F281" s="242"/>
      <c r="G281" s="263"/>
      <c r="H281" s="240"/>
      <c r="I281" s="261"/>
      <c r="J281" s="171"/>
      <c r="K281" s="171"/>
      <c r="L281" s="228"/>
      <c r="M281" s="227"/>
      <c r="N281" s="206"/>
    </row>
    <row r="282" spans="1:14" ht="18" x14ac:dyDescent="0.3">
      <c r="A282" s="1344"/>
      <c r="B282" s="171">
        <f t="shared" ref="B282:C293" si="61">B239</f>
        <v>13</v>
      </c>
      <c r="C282" s="171">
        <f t="shared" si="61"/>
        <v>1</v>
      </c>
      <c r="D282" s="171" t="str">
        <f t="shared" si="60"/>
        <v>Boisson spécial numéro 1</v>
      </c>
      <c r="E282" s="265">
        <f t="shared" ref="E282:F293" si="62">E239</f>
        <v>2.2799999999999998</v>
      </c>
      <c r="F282" s="273">
        <f t="shared" si="62"/>
        <v>6.6</v>
      </c>
      <c r="G282" s="263">
        <f t="shared" ref="G282:G294" si="63">E282/F282</f>
        <v>0.34545454545454546</v>
      </c>
      <c r="H282" s="262">
        <f t="shared" ref="H282:H294" si="64">F282-E282</f>
        <v>4.32</v>
      </c>
      <c r="I282" s="261">
        <f>F282</f>
        <v>6.6</v>
      </c>
      <c r="J282" s="1342">
        <f>3/12</f>
        <v>0.25</v>
      </c>
      <c r="K282" s="266"/>
      <c r="L282" s="228"/>
      <c r="M282" s="227"/>
      <c r="N282" s="206"/>
    </row>
    <row r="283" spans="1:14" ht="18" x14ac:dyDescent="0.3">
      <c r="A283" s="1344"/>
      <c r="B283" s="171">
        <f t="shared" si="61"/>
        <v>14</v>
      </c>
      <c r="C283" s="171">
        <f t="shared" si="61"/>
        <v>2</v>
      </c>
      <c r="D283" s="171" t="str">
        <f t="shared" si="60"/>
        <v>Boisson spécial numéro 2</v>
      </c>
      <c r="E283" s="265">
        <f t="shared" si="62"/>
        <v>2.66</v>
      </c>
      <c r="F283" s="264">
        <f t="shared" si="62"/>
        <v>7.6</v>
      </c>
      <c r="G283" s="263">
        <f t="shared" si="63"/>
        <v>0.35000000000000003</v>
      </c>
      <c r="H283" s="262">
        <f t="shared" si="64"/>
        <v>4.9399999999999995</v>
      </c>
      <c r="I283" s="261"/>
      <c r="J283" s="1333"/>
      <c r="K283" s="260"/>
      <c r="L283" s="228"/>
      <c r="M283" s="227"/>
      <c r="N283" s="206"/>
    </row>
    <row r="284" spans="1:14" ht="19" thickBot="1" x14ac:dyDescent="0.35">
      <c r="A284" s="1344"/>
      <c r="B284" s="272">
        <f t="shared" si="61"/>
        <v>15</v>
      </c>
      <c r="C284" s="272">
        <f t="shared" si="61"/>
        <v>3</v>
      </c>
      <c r="D284" s="272" t="str">
        <f t="shared" si="60"/>
        <v>Boisson spécial numéro 3</v>
      </c>
      <c r="E284" s="271">
        <f t="shared" si="62"/>
        <v>2.74</v>
      </c>
      <c r="F284" s="270">
        <f t="shared" si="62"/>
        <v>8</v>
      </c>
      <c r="G284" s="269">
        <f t="shared" si="63"/>
        <v>0.34250000000000003</v>
      </c>
      <c r="H284" s="268">
        <f t="shared" si="64"/>
        <v>5.26</v>
      </c>
      <c r="I284" s="267">
        <f>+I282+2.133333</f>
        <v>8.733333</v>
      </c>
      <c r="J284" s="1334"/>
      <c r="K284" s="260"/>
      <c r="L284" s="228"/>
      <c r="M284" s="227"/>
      <c r="N284" s="206"/>
    </row>
    <row r="285" spans="1:14" ht="18" x14ac:dyDescent="0.3">
      <c r="A285" s="1344"/>
      <c r="B285" s="171">
        <f t="shared" si="61"/>
        <v>16</v>
      </c>
      <c r="C285" s="171">
        <f t="shared" si="61"/>
        <v>4</v>
      </c>
      <c r="D285" s="171" t="str">
        <f t="shared" si="60"/>
        <v>Boisson spécial numéro 4</v>
      </c>
      <c r="E285" s="265">
        <f t="shared" si="62"/>
        <v>2.72</v>
      </c>
      <c r="F285" s="264">
        <f t="shared" si="62"/>
        <v>9</v>
      </c>
      <c r="G285" s="263">
        <f t="shared" si="63"/>
        <v>0.30222222222222223</v>
      </c>
      <c r="H285" s="262">
        <f t="shared" si="64"/>
        <v>6.2799999999999994</v>
      </c>
      <c r="I285" s="261">
        <f>+I284+0.01</f>
        <v>8.7433329999999998</v>
      </c>
      <c r="J285" s="1332">
        <f>7/12</f>
        <v>0.58333333333333337</v>
      </c>
      <c r="K285" s="266"/>
      <c r="L285" s="228"/>
      <c r="M285" s="227"/>
      <c r="N285" s="206"/>
    </row>
    <row r="286" spans="1:14" ht="18" x14ac:dyDescent="0.3">
      <c r="A286" s="1344"/>
      <c r="B286" s="171">
        <f t="shared" si="61"/>
        <v>17</v>
      </c>
      <c r="C286" s="171">
        <f t="shared" si="61"/>
        <v>5</v>
      </c>
      <c r="D286" s="171" t="str">
        <f t="shared" si="60"/>
        <v>Boisson spécial numéro 5</v>
      </c>
      <c r="E286" s="265">
        <f t="shared" si="62"/>
        <v>2.76</v>
      </c>
      <c r="F286" s="264">
        <f t="shared" si="62"/>
        <v>9.1999999999999993</v>
      </c>
      <c r="G286" s="263">
        <f t="shared" si="63"/>
        <v>0.3</v>
      </c>
      <c r="H286" s="262">
        <f t="shared" si="64"/>
        <v>6.4399999999999995</v>
      </c>
      <c r="I286" s="261"/>
      <c r="J286" s="1333"/>
      <c r="K286" s="260"/>
      <c r="L286" s="228"/>
      <c r="M286" s="227"/>
      <c r="N286" s="206"/>
    </row>
    <row r="287" spans="1:14" ht="18" x14ac:dyDescent="0.3">
      <c r="A287" s="1344"/>
      <c r="B287" s="171">
        <f t="shared" si="61"/>
        <v>18</v>
      </c>
      <c r="C287" s="171">
        <f t="shared" si="61"/>
        <v>6</v>
      </c>
      <c r="D287" s="171" t="str">
        <f t="shared" si="60"/>
        <v>Boisson spécial numéro 6</v>
      </c>
      <c r="E287" s="265">
        <f t="shared" si="62"/>
        <v>2.8</v>
      </c>
      <c r="F287" s="264">
        <f t="shared" si="62"/>
        <v>9.4</v>
      </c>
      <c r="G287" s="263">
        <f t="shared" si="63"/>
        <v>0.2978723404255319</v>
      </c>
      <c r="H287" s="262">
        <f t="shared" si="64"/>
        <v>6.6000000000000005</v>
      </c>
      <c r="I287" s="261"/>
      <c r="J287" s="1333"/>
      <c r="K287" s="260"/>
      <c r="L287" s="228"/>
      <c r="M287" s="227"/>
      <c r="N287" s="206"/>
    </row>
    <row r="288" spans="1:14" ht="18" x14ac:dyDescent="0.3">
      <c r="A288" s="1344"/>
      <c r="B288" s="171">
        <f t="shared" si="61"/>
        <v>19</v>
      </c>
      <c r="C288" s="171">
        <f t="shared" si="61"/>
        <v>7</v>
      </c>
      <c r="D288" s="171" t="str">
        <f t="shared" si="60"/>
        <v>Boisson spécial numéro 7</v>
      </c>
      <c r="E288" s="265">
        <f t="shared" si="62"/>
        <v>2.82</v>
      </c>
      <c r="F288" s="264">
        <f t="shared" si="62"/>
        <v>9.6</v>
      </c>
      <c r="G288" s="263">
        <f t="shared" si="63"/>
        <v>0.29375000000000001</v>
      </c>
      <c r="H288" s="262">
        <f t="shared" si="64"/>
        <v>6.7799999999999994</v>
      </c>
      <c r="I288" s="261"/>
      <c r="J288" s="1333"/>
      <c r="K288" s="260"/>
      <c r="L288" s="228"/>
      <c r="M288" s="227"/>
      <c r="N288" s="206"/>
    </row>
    <row r="289" spans="1:14" ht="18" x14ac:dyDescent="0.3">
      <c r="A289" s="1344"/>
      <c r="B289" s="171">
        <f t="shared" si="61"/>
        <v>20</v>
      </c>
      <c r="C289" s="171">
        <f t="shared" si="61"/>
        <v>8</v>
      </c>
      <c r="D289" s="171" t="str">
        <f t="shared" si="60"/>
        <v>Boisson spécial numéro 8</v>
      </c>
      <c r="E289" s="265">
        <f t="shared" si="62"/>
        <v>2.86</v>
      </c>
      <c r="F289" s="264">
        <f t="shared" si="62"/>
        <v>9.8000000000000007</v>
      </c>
      <c r="G289" s="263">
        <f t="shared" si="63"/>
        <v>0.2918367346938775</v>
      </c>
      <c r="H289" s="262">
        <f t="shared" si="64"/>
        <v>6.9400000000000013</v>
      </c>
      <c r="I289" s="261"/>
      <c r="J289" s="1333"/>
      <c r="K289" s="260"/>
      <c r="L289" s="228"/>
      <c r="M289" s="227"/>
      <c r="N289" s="206"/>
    </row>
    <row r="290" spans="1:14" ht="18" x14ac:dyDescent="0.3">
      <c r="A290" s="1344"/>
      <c r="B290" s="171">
        <f t="shared" si="61"/>
        <v>21</v>
      </c>
      <c r="C290" s="171">
        <f t="shared" si="61"/>
        <v>9</v>
      </c>
      <c r="D290" s="171" t="str">
        <f t="shared" si="60"/>
        <v>Boisson spécial numéro 9</v>
      </c>
      <c r="E290" s="265">
        <f t="shared" si="62"/>
        <v>2.9</v>
      </c>
      <c r="F290" s="264">
        <f t="shared" si="62"/>
        <v>10</v>
      </c>
      <c r="G290" s="263">
        <f t="shared" si="63"/>
        <v>0.28999999999999998</v>
      </c>
      <c r="H290" s="262">
        <f t="shared" si="64"/>
        <v>7.1</v>
      </c>
      <c r="I290" s="261"/>
      <c r="J290" s="1333"/>
      <c r="K290" s="260"/>
      <c r="L290" s="228"/>
      <c r="M290" s="227"/>
      <c r="N290" s="206"/>
    </row>
    <row r="291" spans="1:14" ht="19" thickBot="1" x14ac:dyDescent="0.35">
      <c r="A291" s="1344"/>
      <c r="B291" s="272">
        <f t="shared" si="61"/>
        <v>22</v>
      </c>
      <c r="C291" s="272">
        <f t="shared" si="61"/>
        <v>10</v>
      </c>
      <c r="D291" s="272" t="str">
        <f t="shared" si="60"/>
        <v>Boisson spécial numéro 10</v>
      </c>
      <c r="E291" s="271">
        <f t="shared" si="62"/>
        <v>2.98</v>
      </c>
      <c r="F291" s="270">
        <f t="shared" si="62"/>
        <v>10.4</v>
      </c>
      <c r="G291" s="269">
        <f t="shared" si="63"/>
        <v>0.28653846153846152</v>
      </c>
      <c r="H291" s="268">
        <f t="shared" si="64"/>
        <v>7.42</v>
      </c>
      <c r="I291" s="267">
        <f>+I284+2.133333</f>
        <v>10.866666</v>
      </c>
      <c r="J291" s="1334"/>
      <c r="K291" s="260"/>
      <c r="L291" s="228"/>
      <c r="M291" s="227"/>
      <c r="N291" s="206"/>
    </row>
    <row r="292" spans="1:14" ht="18" x14ac:dyDescent="0.3">
      <c r="A292" s="1344"/>
      <c r="B292" s="171">
        <f t="shared" si="61"/>
        <v>23</v>
      </c>
      <c r="C292" s="171">
        <f t="shared" si="61"/>
        <v>11</v>
      </c>
      <c r="D292" s="171" t="str">
        <f t="shared" si="60"/>
        <v>Boisson spécial numéro 11</v>
      </c>
      <c r="E292" s="265">
        <f t="shared" si="62"/>
        <v>3.18</v>
      </c>
      <c r="F292" s="264">
        <f t="shared" si="62"/>
        <v>11.6</v>
      </c>
      <c r="G292" s="263">
        <f t="shared" si="63"/>
        <v>0.27413793103448281</v>
      </c>
      <c r="H292" s="262">
        <f t="shared" si="64"/>
        <v>8.42</v>
      </c>
      <c r="I292" s="261">
        <f>+I291+0.01</f>
        <v>10.876666</v>
      </c>
      <c r="J292" s="1332">
        <f>2/12</f>
        <v>0.16666666666666666</v>
      </c>
      <c r="K292" s="266"/>
      <c r="L292" s="228"/>
      <c r="M292" s="227"/>
      <c r="N292" s="206"/>
    </row>
    <row r="293" spans="1:14" ht="18" x14ac:dyDescent="0.3">
      <c r="A293" s="1344"/>
      <c r="B293" s="171">
        <f t="shared" si="61"/>
        <v>24</v>
      </c>
      <c r="C293" s="171">
        <f t="shared" si="61"/>
        <v>12</v>
      </c>
      <c r="D293" s="171" t="str">
        <f t="shared" si="60"/>
        <v>Boisson spécial numéro 12</v>
      </c>
      <c r="E293" s="265">
        <f t="shared" si="62"/>
        <v>3.48</v>
      </c>
      <c r="F293" s="264">
        <f t="shared" si="62"/>
        <v>13.2</v>
      </c>
      <c r="G293" s="263">
        <f t="shared" si="63"/>
        <v>0.26363636363636367</v>
      </c>
      <c r="H293" s="262">
        <f t="shared" si="64"/>
        <v>9.7199999999999989</v>
      </c>
      <c r="I293" s="261">
        <f>F293</f>
        <v>13.2</v>
      </c>
      <c r="J293" s="1333"/>
      <c r="K293" s="260"/>
      <c r="L293" s="228"/>
      <c r="M293" s="227"/>
      <c r="N293" s="206"/>
    </row>
    <row r="294" spans="1:14" ht="19" x14ac:dyDescent="0.35">
      <c r="A294" s="1344"/>
      <c r="B294" s="171"/>
      <c r="C294" s="171"/>
      <c r="D294" s="238" t="str">
        <f t="shared" si="60"/>
        <v>CmO—PmO—Beverage Cost—Marge brute</v>
      </c>
      <c r="E294" s="259">
        <f>SUM(E282:E293)/C293</f>
        <v>2.8483333333333332</v>
      </c>
      <c r="F294" s="259">
        <f>SUM(F282:F293)/C293</f>
        <v>9.5333333333333332</v>
      </c>
      <c r="G294" s="258">
        <f t="shared" si="63"/>
        <v>0.29877622377622376</v>
      </c>
      <c r="H294" s="257">
        <f t="shared" si="64"/>
        <v>6.6850000000000005</v>
      </c>
      <c r="I294" s="256"/>
      <c r="J294" s="171"/>
      <c r="K294" s="171"/>
      <c r="L294" s="1022">
        <v>1.1000000000000001</v>
      </c>
      <c r="M294" s="227" t="s">
        <v>1</v>
      </c>
      <c r="N294" s="206"/>
    </row>
    <row r="295" spans="1:14" ht="19" thickBot="1" x14ac:dyDescent="0.35">
      <c r="A295" s="1344"/>
      <c r="B295" s="171"/>
      <c r="C295" s="171"/>
      <c r="D295" s="171"/>
      <c r="E295" s="242"/>
      <c r="F295" s="242"/>
      <c r="G295" s="241"/>
      <c r="H295" s="240"/>
      <c r="I295" s="171"/>
      <c r="J295" s="171"/>
      <c r="K295" s="171"/>
      <c r="L295" s="228"/>
      <c r="M295" s="227"/>
      <c r="N295" s="206"/>
    </row>
    <row r="296" spans="1:14" ht="21" thickTop="1" thickBot="1" x14ac:dyDescent="0.4">
      <c r="A296" s="1344"/>
      <c r="B296" s="171"/>
      <c r="C296" s="253"/>
      <c r="D296" s="252"/>
      <c r="E296" s="251"/>
      <c r="F296" s="251"/>
      <c r="G296" s="250"/>
      <c r="H296" s="249"/>
      <c r="I296" s="248"/>
      <c r="J296" s="171"/>
      <c r="K296" s="171"/>
      <c r="L296" s="228"/>
      <c r="M296" s="227"/>
      <c r="N296" s="206"/>
    </row>
    <row r="297" spans="1:14" ht="20" thickTop="1" thickBot="1" x14ac:dyDescent="0.35">
      <c r="A297" s="1344"/>
      <c r="B297" s="171"/>
      <c r="C297" s="233"/>
      <c r="D297" s="238"/>
      <c r="E297" s="247" t="str">
        <f>E254</f>
        <v>CmO</v>
      </c>
      <c r="F297" s="247" t="str">
        <f>F254</f>
        <v>PmO</v>
      </c>
      <c r="G297" s="246" t="str">
        <f>G254</f>
        <v>F&amp;BCmO</v>
      </c>
      <c r="H297" s="245" t="str">
        <f>H254</f>
        <v>BmO</v>
      </c>
      <c r="I297" s="244"/>
      <c r="J297" s="171"/>
      <c r="K297" s="171"/>
      <c r="L297" s="228"/>
      <c r="M297" s="227"/>
      <c r="N297" s="206"/>
    </row>
    <row r="298" spans="1:14" ht="19" thickTop="1" x14ac:dyDescent="0.3">
      <c r="A298" s="1344"/>
      <c r="B298" s="171"/>
      <c r="C298" s="233"/>
      <c r="D298" s="243" t="str">
        <f>D255</f>
        <v>OFFRE TOTALE AVEC LES GÂTERIES ET LES CAFÉS GÂTERIES</v>
      </c>
      <c r="E298" s="242"/>
      <c r="F298" s="242"/>
      <c r="G298" s="241"/>
      <c r="H298" s="240"/>
      <c r="I298" s="239"/>
      <c r="J298" s="171"/>
      <c r="K298" s="171"/>
      <c r="L298" s="228"/>
      <c r="M298" s="227"/>
      <c r="N298" s="206"/>
    </row>
    <row r="299" spans="1:14" ht="19" x14ac:dyDescent="0.35">
      <c r="A299" s="1344"/>
      <c r="B299" s="171"/>
      <c r="C299" s="233"/>
      <c r="D299" s="238" t="str">
        <f>D256</f>
        <v>CmO—PmO—F&amp;B cost moyen offert—Marge brute</v>
      </c>
      <c r="E299" s="237">
        <f>+(E267+E268+E269+E270+E271+E272+E273+E274+E275+E276+E277+E278+E282+E283+E284+E285+E286+E287+E288+E289+E290+E291+E292+E293)/B293</f>
        <v>2.1649999999999996</v>
      </c>
      <c r="F299" s="237">
        <f>+(F267+F268+F269+F270+F271+F272+F273+F274+F275+F276+F277+F278+F282+F283+F284+F285+F286+F287+F288+F289+F290+F291+F292+F293)/B293</f>
        <v>7.1749999999999998</v>
      </c>
      <c r="G299" s="236">
        <f>E299/F299</f>
        <v>0.30174216027874562</v>
      </c>
      <c r="H299" s="235">
        <f>F299-E299</f>
        <v>5.01</v>
      </c>
      <c r="I299" s="234"/>
      <c r="J299" s="171"/>
      <c r="K299" s="171"/>
      <c r="L299" s="228">
        <f>+L279+L294</f>
        <v>2.2000000000000002</v>
      </c>
      <c r="M299" s="227">
        <f>'% Occupation'!J19</f>
        <v>5051</v>
      </c>
      <c r="N299" s="206"/>
    </row>
    <row r="300" spans="1:14" ht="18" x14ac:dyDescent="0.3">
      <c r="A300" s="1344"/>
      <c r="B300" s="171"/>
      <c r="C300" s="233"/>
      <c r="D300" s="171"/>
      <c r="E300" s="232"/>
      <c r="F300" s="232"/>
      <c r="G300" s="231"/>
      <c r="H300" s="230"/>
      <c r="I300" s="229"/>
      <c r="J300" s="171"/>
      <c r="K300" s="171"/>
      <c r="L300" s="228"/>
      <c r="M300" s="227"/>
      <c r="N300" s="206"/>
    </row>
    <row r="301" spans="1:14" ht="19" thickBot="1" x14ac:dyDescent="0.35">
      <c r="A301" s="1344"/>
      <c r="B301" s="171"/>
      <c r="C301" s="226"/>
      <c r="D301" s="225"/>
      <c r="E301" s="224"/>
      <c r="F301" s="224"/>
      <c r="G301" s="223"/>
      <c r="H301" s="222"/>
      <c r="I301" s="221"/>
      <c r="J301" s="171"/>
      <c r="K301" s="171"/>
      <c r="L301" s="220"/>
      <c r="M301" s="219"/>
      <c r="N301" s="206"/>
    </row>
    <row r="302" spans="1:14" ht="19" thickTop="1" x14ac:dyDescent="0.3">
      <c r="A302" s="1344"/>
      <c r="L302" s="209"/>
      <c r="M302" s="288"/>
      <c r="N302" s="206"/>
    </row>
    <row r="303" spans="1:14" ht="23" x14ac:dyDescent="0.3">
      <c r="A303" s="1344"/>
      <c r="D303" s="284" t="s">
        <v>86</v>
      </c>
      <c r="F303" s="280"/>
      <c r="L303" s="209"/>
      <c r="M303" s="288"/>
      <c r="N303" s="206"/>
    </row>
    <row r="304" spans="1:14" ht="24" thickBot="1" x14ac:dyDescent="0.35">
      <c r="A304" s="1344"/>
      <c r="D304" s="282"/>
      <c r="L304" s="209"/>
      <c r="M304" s="288"/>
      <c r="N304" s="206"/>
    </row>
    <row r="305" spans="1:14" ht="23" customHeight="1" thickTop="1" x14ac:dyDescent="0.25">
      <c r="A305" s="1344"/>
      <c r="D305" s="282"/>
      <c r="E305" s="1335" t="str">
        <f>E262</f>
        <v>Coûts des ressources alimentaires pour chaque produit offert (voir recettes standardisées)</v>
      </c>
      <c r="F305" s="1335" t="str">
        <f>F262</f>
        <v>Prix de vente par produit offert</v>
      </c>
      <c r="G305" s="1335" t="str">
        <f>G262</f>
        <v xml:space="preserve">« Food &amp; Beverage Cost » </v>
      </c>
      <c r="H305" s="1335" t="str">
        <f>H262</f>
        <v>Marge brute gagnée sur la vente de chaque produit offert</v>
      </c>
      <c r="I305" s="283"/>
      <c r="L305" s="1329" t="s">
        <v>79</v>
      </c>
      <c r="M305" s="1346" t="s">
        <v>78</v>
      </c>
      <c r="N305" s="206"/>
    </row>
    <row r="306" spans="1:14" ht="22" x14ac:dyDescent="0.25">
      <c r="A306" s="1344"/>
      <c r="D306" s="282"/>
      <c r="E306" s="1336"/>
      <c r="F306" s="1338"/>
      <c r="G306" s="1338"/>
      <c r="H306" s="1338"/>
      <c r="I306" s="281"/>
      <c r="L306" s="1330"/>
      <c r="M306" s="1347"/>
      <c r="N306" s="206"/>
    </row>
    <row r="307" spans="1:14" ht="14" customHeight="1" thickBot="1" x14ac:dyDescent="0.25">
      <c r="A307" s="1344"/>
      <c r="E307" s="1337"/>
      <c r="F307" s="1339"/>
      <c r="G307" s="1339"/>
      <c r="H307" s="1339"/>
      <c r="I307" s="281"/>
      <c r="L307" s="1331"/>
      <c r="M307" s="1348"/>
      <c r="N307" s="206"/>
    </row>
    <row r="308" spans="1:14" ht="20" thickTop="1" thickBot="1" x14ac:dyDescent="0.35">
      <c r="A308" s="1344"/>
      <c r="B308" s="138" t="s">
        <v>1</v>
      </c>
      <c r="E308" s="280"/>
      <c r="F308" s="280"/>
      <c r="G308" s="279"/>
      <c r="L308" s="209"/>
      <c r="M308" s="288"/>
      <c r="N308" s="206"/>
    </row>
    <row r="309" spans="1:14" ht="19" thickTop="1" x14ac:dyDescent="0.3">
      <c r="A309" s="1344"/>
      <c r="B309" s="171"/>
      <c r="C309" s="171"/>
      <c r="D309" s="238" t="str">
        <f t="shared" ref="D309:D322" si="65">D266</f>
        <v>Les Petite Gâteries</v>
      </c>
      <c r="E309" s="261"/>
      <c r="F309" s="261"/>
      <c r="G309" s="241"/>
      <c r="H309" s="171"/>
      <c r="I309" s="171"/>
      <c r="J309" s="171"/>
      <c r="K309" s="171"/>
      <c r="L309" s="278"/>
      <c r="M309" s="277"/>
      <c r="N309" s="206"/>
    </row>
    <row r="310" spans="1:14" ht="18" x14ac:dyDescent="0.3">
      <c r="A310" s="1344"/>
      <c r="B310" s="171">
        <f t="shared" ref="B310:C321" si="66">B267</f>
        <v>1</v>
      </c>
      <c r="C310" s="171">
        <f t="shared" si="66"/>
        <v>1</v>
      </c>
      <c r="D310" s="171" t="str">
        <f t="shared" si="65"/>
        <v>Petite Gâterie 1</v>
      </c>
      <c r="E310" s="265">
        <f t="shared" ref="E310:F321" si="67">E267</f>
        <v>1.21</v>
      </c>
      <c r="F310" s="264">
        <f t="shared" si="67"/>
        <v>3.3</v>
      </c>
      <c r="G310" s="263">
        <f t="shared" ref="G310:G322" si="68">E310/F310</f>
        <v>0.3666666666666667</v>
      </c>
      <c r="H310" s="262">
        <f t="shared" ref="H310:H322" si="69">F310-E310</f>
        <v>2.09</v>
      </c>
      <c r="I310" s="261"/>
      <c r="J310" s="171"/>
      <c r="K310" s="171"/>
      <c r="L310" s="276"/>
      <c r="M310" s="227"/>
      <c r="N310" s="206"/>
    </row>
    <row r="311" spans="1:14" ht="18" x14ac:dyDescent="0.3">
      <c r="A311" s="1344"/>
      <c r="B311" s="171">
        <f t="shared" si="66"/>
        <v>2</v>
      </c>
      <c r="C311" s="171">
        <f t="shared" si="66"/>
        <v>2</v>
      </c>
      <c r="D311" s="171" t="str">
        <f t="shared" si="65"/>
        <v>Petite Gâterie 2</v>
      </c>
      <c r="E311" s="265">
        <f t="shared" si="67"/>
        <v>1.31</v>
      </c>
      <c r="F311" s="264">
        <f t="shared" si="67"/>
        <v>3.8</v>
      </c>
      <c r="G311" s="263">
        <f t="shared" si="68"/>
        <v>0.34473684210526317</v>
      </c>
      <c r="H311" s="262">
        <f t="shared" si="69"/>
        <v>2.4899999999999998</v>
      </c>
      <c r="I311" s="261"/>
      <c r="J311" s="171"/>
      <c r="K311" s="171"/>
      <c r="L311" s="228"/>
      <c r="M311" s="227"/>
      <c r="N311" s="206"/>
    </row>
    <row r="312" spans="1:14" ht="18" x14ac:dyDescent="0.3">
      <c r="A312" s="1344"/>
      <c r="B312" s="171">
        <f t="shared" si="66"/>
        <v>3</v>
      </c>
      <c r="C312" s="171">
        <f t="shared" si="66"/>
        <v>3</v>
      </c>
      <c r="D312" s="171" t="str">
        <f t="shared" si="65"/>
        <v>Petite Gâterie 3</v>
      </c>
      <c r="E312" s="265">
        <f t="shared" si="67"/>
        <v>1.35</v>
      </c>
      <c r="F312" s="264">
        <f t="shared" si="67"/>
        <v>4</v>
      </c>
      <c r="G312" s="263">
        <f t="shared" si="68"/>
        <v>0.33750000000000002</v>
      </c>
      <c r="H312" s="262">
        <f t="shared" si="69"/>
        <v>2.65</v>
      </c>
      <c r="I312" s="261"/>
      <c r="J312" s="171"/>
      <c r="K312" s="171"/>
      <c r="L312" s="228"/>
      <c r="M312" s="227"/>
      <c r="N312" s="206"/>
    </row>
    <row r="313" spans="1:14" ht="18" x14ac:dyDescent="0.3">
      <c r="A313" s="1344"/>
      <c r="B313" s="171">
        <f t="shared" si="66"/>
        <v>4</v>
      </c>
      <c r="C313" s="171">
        <f t="shared" si="66"/>
        <v>4</v>
      </c>
      <c r="D313" s="171" t="str">
        <f t="shared" si="65"/>
        <v>Petite Gâterie 4</v>
      </c>
      <c r="E313" s="265">
        <f t="shared" si="67"/>
        <v>1.4</v>
      </c>
      <c r="F313" s="264">
        <f t="shared" si="67"/>
        <v>4.5</v>
      </c>
      <c r="G313" s="263">
        <f t="shared" si="68"/>
        <v>0.31111111111111112</v>
      </c>
      <c r="H313" s="262">
        <f t="shared" si="69"/>
        <v>3.1</v>
      </c>
      <c r="I313" s="261"/>
      <c r="J313" s="171"/>
      <c r="K313" s="171"/>
      <c r="L313" s="228"/>
      <c r="M313" s="227"/>
      <c r="N313" s="206"/>
    </row>
    <row r="314" spans="1:14" ht="18" x14ac:dyDescent="0.3">
      <c r="A314" s="1344"/>
      <c r="B314" s="171">
        <f t="shared" si="66"/>
        <v>5</v>
      </c>
      <c r="C314" s="171">
        <f t="shared" si="66"/>
        <v>5</v>
      </c>
      <c r="D314" s="171" t="str">
        <f t="shared" si="65"/>
        <v>Petite Gâterie 5</v>
      </c>
      <c r="E314" s="265">
        <f t="shared" si="67"/>
        <v>1.24</v>
      </c>
      <c r="F314" s="264">
        <f t="shared" si="67"/>
        <v>4.5999999999999996</v>
      </c>
      <c r="G314" s="263">
        <f t="shared" si="68"/>
        <v>0.26956521739130435</v>
      </c>
      <c r="H314" s="262">
        <f t="shared" si="69"/>
        <v>3.3599999999999994</v>
      </c>
      <c r="I314" s="261"/>
      <c r="J314" s="171"/>
      <c r="K314" s="171"/>
      <c r="L314" s="228"/>
      <c r="M314" s="227"/>
      <c r="N314" s="206"/>
    </row>
    <row r="315" spans="1:14" ht="18" x14ac:dyDescent="0.3">
      <c r="A315" s="1344"/>
      <c r="B315" s="171">
        <f t="shared" si="66"/>
        <v>6</v>
      </c>
      <c r="C315" s="171">
        <f t="shared" si="66"/>
        <v>6</v>
      </c>
      <c r="D315" s="171" t="str">
        <f t="shared" si="65"/>
        <v>Petite Gâterie 6</v>
      </c>
      <c r="E315" s="265">
        <f t="shared" si="67"/>
        <v>1.39</v>
      </c>
      <c r="F315" s="264">
        <f t="shared" si="67"/>
        <v>4.7</v>
      </c>
      <c r="G315" s="263">
        <f t="shared" si="68"/>
        <v>0.29574468085106381</v>
      </c>
      <c r="H315" s="262">
        <f t="shared" si="69"/>
        <v>3.3100000000000005</v>
      </c>
      <c r="I315" s="261"/>
      <c r="J315" s="171"/>
      <c r="K315" s="171"/>
      <c r="L315" s="228"/>
      <c r="M315" s="227"/>
      <c r="N315" s="206"/>
    </row>
    <row r="316" spans="1:14" ht="18" x14ac:dyDescent="0.3">
      <c r="A316" s="1344"/>
      <c r="B316" s="171">
        <f t="shared" si="66"/>
        <v>7</v>
      </c>
      <c r="C316" s="171">
        <f t="shared" si="66"/>
        <v>7</v>
      </c>
      <c r="D316" s="171" t="str">
        <f t="shared" si="65"/>
        <v>Petite Gâterie 7</v>
      </c>
      <c r="E316" s="265">
        <f t="shared" si="67"/>
        <v>1.51</v>
      </c>
      <c r="F316" s="264">
        <f t="shared" si="67"/>
        <v>4.8</v>
      </c>
      <c r="G316" s="263">
        <f t="shared" si="68"/>
        <v>0.31458333333333333</v>
      </c>
      <c r="H316" s="262">
        <f t="shared" si="69"/>
        <v>3.29</v>
      </c>
      <c r="I316" s="261"/>
      <c r="J316" s="171"/>
      <c r="K316" s="171"/>
      <c r="L316" s="228"/>
      <c r="M316" s="227"/>
      <c r="N316" s="206"/>
    </row>
    <row r="317" spans="1:14" ht="18" x14ac:dyDescent="0.3">
      <c r="A317" s="1344"/>
      <c r="B317" s="171">
        <f t="shared" si="66"/>
        <v>8</v>
      </c>
      <c r="C317" s="171">
        <f t="shared" si="66"/>
        <v>8</v>
      </c>
      <c r="D317" s="171" t="str">
        <f t="shared" si="65"/>
        <v>Petite Gâterie 8</v>
      </c>
      <c r="E317" s="265">
        <f t="shared" si="67"/>
        <v>1.53</v>
      </c>
      <c r="F317" s="264">
        <f t="shared" si="67"/>
        <v>4.9000000000000004</v>
      </c>
      <c r="G317" s="263">
        <f t="shared" si="68"/>
        <v>0.31224489795918364</v>
      </c>
      <c r="H317" s="262">
        <f t="shared" si="69"/>
        <v>3.37</v>
      </c>
      <c r="I317" s="261"/>
      <c r="J317" s="171"/>
      <c r="K317" s="171"/>
      <c r="L317" s="228"/>
      <c r="M317" s="227"/>
      <c r="N317" s="206"/>
    </row>
    <row r="318" spans="1:14" ht="18" x14ac:dyDescent="0.3">
      <c r="A318" s="1344"/>
      <c r="B318" s="171">
        <f t="shared" si="66"/>
        <v>9</v>
      </c>
      <c r="C318" s="171">
        <f t="shared" si="66"/>
        <v>9</v>
      </c>
      <c r="D318" s="171" t="str">
        <f t="shared" si="65"/>
        <v>Petite Gâterie 9</v>
      </c>
      <c r="E318" s="265">
        <f t="shared" si="67"/>
        <v>1.55</v>
      </c>
      <c r="F318" s="264">
        <f t="shared" si="67"/>
        <v>5</v>
      </c>
      <c r="G318" s="263">
        <f t="shared" si="68"/>
        <v>0.31</v>
      </c>
      <c r="H318" s="262">
        <f t="shared" si="69"/>
        <v>3.45</v>
      </c>
      <c r="I318" s="261"/>
      <c r="J318" s="171"/>
      <c r="K318" s="171"/>
      <c r="L318" s="228"/>
      <c r="M318" s="227"/>
      <c r="N318" s="206"/>
    </row>
    <row r="319" spans="1:14" ht="18" x14ac:dyDescent="0.3">
      <c r="A319" s="1344"/>
      <c r="B319" s="171">
        <f t="shared" si="66"/>
        <v>10</v>
      </c>
      <c r="C319" s="171">
        <f t="shared" si="66"/>
        <v>10</v>
      </c>
      <c r="D319" s="171" t="str">
        <f t="shared" si="65"/>
        <v>Petite Gâterie 10</v>
      </c>
      <c r="E319" s="265">
        <f t="shared" si="67"/>
        <v>1.59</v>
      </c>
      <c r="F319" s="264">
        <f t="shared" si="67"/>
        <v>5.2</v>
      </c>
      <c r="G319" s="263">
        <f t="shared" si="68"/>
        <v>0.30576923076923079</v>
      </c>
      <c r="H319" s="262">
        <f t="shared" si="69"/>
        <v>3.6100000000000003</v>
      </c>
      <c r="I319" s="261"/>
      <c r="J319" s="171"/>
      <c r="K319" s="171"/>
      <c r="L319" s="228"/>
      <c r="M319" s="227"/>
      <c r="N319" s="206"/>
    </row>
    <row r="320" spans="1:14" ht="18" x14ac:dyDescent="0.3">
      <c r="A320" s="1344"/>
      <c r="B320" s="171">
        <f t="shared" si="66"/>
        <v>11</v>
      </c>
      <c r="C320" s="171">
        <f t="shared" si="66"/>
        <v>11</v>
      </c>
      <c r="D320" s="171" t="str">
        <f t="shared" si="65"/>
        <v>Petite Gâterie 11</v>
      </c>
      <c r="E320" s="265">
        <f t="shared" si="67"/>
        <v>1.83</v>
      </c>
      <c r="F320" s="264">
        <f t="shared" si="67"/>
        <v>6.4</v>
      </c>
      <c r="G320" s="263">
        <f t="shared" si="68"/>
        <v>0.28593750000000001</v>
      </c>
      <c r="H320" s="262">
        <f t="shared" si="69"/>
        <v>4.57</v>
      </c>
      <c r="I320" s="261"/>
      <c r="J320" s="171"/>
      <c r="K320" s="171"/>
      <c r="L320" s="228"/>
      <c r="M320" s="227"/>
      <c r="N320" s="206"/>
    </row>
    <row r="321" spans="1:14" ht="18" x14ac:dyDescent="0.3">
      <c r="A321" s="1344"/>
      <c r="B321" s="171">
        <f t="shared" si="66"/>
        <v>12</v>
      </c>
      <c r="C321" s="171">
        <f t="shared" si="66"/>
        <v>12</v>
      </c>
      <c r="D321" s="171" t="str">
        <f t="shared" si="65"/>
        <v>Petite Gâterie 12</v>
      </c>
      <c r="E321" s="265">
        <f t="shared" si="67"/>
        <v>1.87</v>
      </c>
      <c r="F321" s="264">
        <f t="shared" si="67"/>
        <v>6.6</v>
      </c>
      <c r="G321" s="263">
        <f t="shared" si="68"/>
        <v>0.28333333333333338</v>
      </c>
      <c r="H321" s="262">
        <f t="shared" si="69"/>
        <v>4.7299999999999995</v>
      </c>
      <c r="I321" s="261"/>
      <c r="J321" s="171"/>
      <c r="K321" s="171"/>
      <c r="L321" s="228"/>
      <c r="M321" s="227"/>
      <c r="N321" s="206"/>
    </row>
    <row r="322" spans="1:14" ht="19" x14ac:dyDescent="0.35">
      <c r="A322" s="1344"/>
      <c r="B322" s="171"/>
      <c r="C322" s="171"/>
      <c r="D322" s="238" t="str">
        <f t="shared" si="65"/>
        <v>CmO—PmO—Food Cost—BmO</v>
      </c>
      <c r="E322" s="259">
        <f>SUM(E310:E321)/C321</f>
        <v>1.4816666666666667</v>
      </c>
      <c r="F322" s="259">
        <f>SUM(F310:F321)/C321</f>
        <v>4.8166666666666673</v>
      </c>
      <c r="G322" s="274">
        <f t="shared" si="68"/>
        <v>0.30761245674740478</v>
      </c>
      <c r="H322" s="257">
        <f t="shared" si="69"/>
        <v>3.3350000000000009</v>
      </c>
      <c r="I322" s="256"/>
      <c r="J322" s="171"/>
      <c r="K322" s="171"/>
      <c r="L322" s="1022">
        <v>1.1000000000000001</v>
      </c>
      <c r="M322" s="227" t="s">
        <v>1</v>
      </c>
      <c r="N322" s="206"/>
    </row>
    <row r="323" spans="1:14" ht="18" x14ac:dyDescent="0.3">
      <c r="A323" s="1344"/>
      <c r="B323" s="171" t="s">
        <v>1</v>
      </c>
      <c r="C323" s="171"/>
      <c r="D323" s="171"/>
      <c r="E323" s="242"/>
      <c r="F323" s="242"/>
      <c r="G323" s="263"/>
      <c r="H323" s="240"/>
      <c r="I323" s="171"/>
      <c r="J323" s="171"/>
      <c r="K323" s="171"/>
      <c r="L323" s="228"/>
      <c r="M323" s="227"/>
      <c r="N323" s="206"/>
    </row>
    <row r="324" spans="1:14" ht="18" x14ac:dyDescent="0.3">
      <c r="A324" s="1344"/>
      <c r="B324" s="171"/>
      <c r="C324" s="171"/>
      <c r="D324" s="238" t="str">
        <f t="shared" ref="D324:D337" si="70">D281</f>
        <v>Les Boissons  Gâteries</v>
      </c>
      <c r="E324" s="242"/>
      <c r="F324" s="242"/>
      <c r="G324" s="263"/>
      <c r="H324" s="240"/>
      <c r="I324" s="171"/>
      <c r="J324" s="171"/>
      <c r="K324" s="171"/>
      <c r="L324" s="228"/>
      <c r="M324" s="227"/>
      <c r="N324" s="206"/>
    </row>
    <row r="325" spans="1:14" ht="18" x14ac:dyDescent="0.3">
      <c r="A325" s="1344"/>
      <c r="B325" s="171">
        <f t="shared" ref="B325:C336" si="71">B282</f>
        <v>13</v>
      </c>
      <c r="C325" s="171">
        <f t="shared" si="71"/>
        <v>1</v>
      </c>
      <c r="D325" s="171" t="str">
        <f t="shared" si="70"/>
        <v>Boisson spécial numéro 1</v>
      </c>
      <c r="E325" s="265">
        <f t="shared" ref="E325:F336" si="72">E282</f>
        <v>2.2799999999999998</v>
      </c>
      <c r="F325" s="264">
        <f t="shared" si="72"/>
        <v>6.6</v>
      </c>
      <c r="G325" s="263">
        <f t="shared" ref="G325:G337" si="73">E325/F325</f>
        <v>0.34545454545454546</v>
      </c>
      <c r="H325" s="262">
        <f t="shared" ref="H325:H337" si="74">F325-E325</f>
        <v>4.32</v>
      </c>
      <c r="I325" s="261"/>
      <c r="J325" s="171"/>
      <c r="K325" s="171"/>
      <c r="L325" s="228"/>
      <c r="M325" s="227"/>
      <c r="N325" s="206"/>
    </row>
    <row r="326" spans="1:14" ht="18" x14ac:dyDescent="0.3">
      <c r="A326" s="1344"/>
      <c r="B326" s="171">
        <f t="shared" si="71"/>
        <v>14</v>
      </c>
      <c r="C326" s="171">
        <f t="shared" si="71"/>
        <v>2</v>
      </c>
      <c r="D326" s="171" t="str">
        <f t="shared" si="70"/>
        <v>Boisson spécial numéro 2</v>
      </c>
      <c r="E326" s="265">
        <f t="shared" si="72"/>
        <v>2.66</v>
      </c>
      <c r="F326" s="264">
        <f t="shared" si="72"/>
        <v>7.6</v>
      </c>
      <c r="G326" s="263">
        <f t="shared" si="73"/>
        <v>0.35000000000000003</v>
      </c>
      <c r="H326" s="262">
        <f t="shared" si="74"/>
        <v>4.9399999999999995</v>
      </c>
      <c r="I326" s="261"/>
      <c r="J326" s="171"/>
      <c r="K326" s="171"/>
      <c r="L326" s="228"/>
      <c r="M326" s="227"/>
      <c r="N326" s="206"/>
    </row>
    <row r="327" spans="1:14" ht="18" x14ac:dyDescent="0.3">
      <c r="A327" s="1344"/>
      <c r="B327" s="171">
        <f t="shared" si="71"/>
        <v>15</v>
      </c>
      <c r="C327" s="171">
        <f t="shared" si="71"/>
        <v>3</v>
      </c>
      <c r="D327" s="171" t="str">
        <f t="shared" si="70"/>
        <v>Boisson spécial numéro 3</v>
      </c>
      <c r="E327" s="265">
        <f t="shared" si="72"/>
        <v>2.74</v>
      </c>
      <c r="F327" s="264">
        <f t="shared" si="72"/>
        <v>8</v>
      </c>
      <c r="G327" s="263">
        <f t="shared" si="73"/>
        <v>0.34250000000000003</v>
      </c>
      <c r="H327" s="262">
        <f t="shared" si="74"/>
        <v>5.26</v>
      </c>
      <c r="I327" s="261"/>
      <c r="J327" s="171"/>
      <c r="K327" s="171"/>
      <c r="L327" s="228"/>
      <c r="M327" s="227"/>
      <c r="N327" s="206"/>
    </row>
    <row r="328" spans="1:14" ht="18" x14ac:dyDescent="0.3">
      <c r="A328" s="1344"/>
      <c r="B328" s="171">
        <f t="shared" si="71"/>
        <v>16</v>
      </c>
      <c r="C328" s="171">
        <f t="shared" si="71"/>
        <v>4</v>
      </c>
      <c r="D328" s="171" t="str">
        <f t="shared" si="70"/>
        <v>Boisson spécial numéro 4</v>
      </c>
      <c r="E328" s="265">
        <f t="shared" si="72"/>
        <v>2.72</v>
      </c>
      <c r="F328" s="264">
        <f t="shared" si="72"/>
        <v>9</v>
      </c>
      <c r="G328" s="263">
        <f t="shared" si="73"/>
        <v>0.30222222222222223</v>
      </c>
      <c r="H328" s="262">
        <f t="shared" si="74"/>
        <v>6.2799999999999994</v>
      </c>
      <c r="I328" s="261"/>
      <c r="J328" s="171"/>
      <c r="K328" s="171"/>
      <c r="L328" s="228"/>
      <c r="M328" s="227"/>
      <c r="N328" s="206"/>
    </row>
    <row r="329" spans="1:14" ht="18" x14ac:dyDescent="0.3">
      <c r="A329" s="1344"/>
      <c r="B329" s="171">
        <f t="shared" si="71"/>
        <v>17</v>
      </c>
      <c r="C329" s="171">
        <f t="shared" si="71"/>
        <v>5</v>
      </c>
      <c r="D329" s="171" t="str">
        <f t="shared" si="70"/>
        <v>Boisson spécial numéro 5</v>
      </c>
      <c r="E329" s="265">
        <f t="shared" si="72"/>
        <v>2.76</v>
      </c>
      <c r="F329" s="264">
        <f t="shared" si="72"/>
        <v>9.1999999999999993</v>
      </c>
      <c r="G329" s="263">
        <f t="shared" si="73"/>
        <v>0.3</v>
      </c>
      <c r="H329" s="262">
        <f t="shared" si="74"/>
        <v>6.4399999999999995</v>
      </c>
      <c r="I329" s="261"/>
      <c r="J329" s="171"/>
      <c r="K329" s="171"/>
      <c r="L329" s="228"/>
      <c r="M329" s="227"/>
      <c r="N329" s="206"/>
    </row>
    <row r="330" spans="1:14" ht="18" x14ac:dyDescent="0.3">
      <c r="A330" s="1344"/>
      <c r="B330" s="171">
        <f t="shared" si="71"/>
        <v>18</v>
      </c>
      <c r="C330" s="171">
        <f t="shared" si="71"/>
        <v>6</v>
      </c>
      <c r="D330" s="171" t="str">
        <f t="shared" si="70"/>
        <v>Boisson spécial numéro 6</v>
      </c>
      <c r="E330" s="265">
        <f t="shared" si="72"/>
        <v>2.8</v>
      </c>
      <c r="F330" s="264">
        <f t="shared" si="72"/>
        <v>9.4</v>
      </c>
      <c r="G330" s="263">
        <f t="shared" si="73"/>
        <v>0.2978723404255319</v>
      </c>
      <c r="H330" s="262">
        <f t="shared" si="74"/>
        <v>6.6000000000000005</v>
      </c>
      <c r="I330" s="261"/>
      <c r="J330" s="171"/>
      <c r="K330" s="171"/>
      <c r="L330" s="228"/>
      <c r="M330" s="227"/>
      <c r="N330" s="206"/>
    </row>
    <row r="331" spans="1:14" ht="18" x14ac:dyDescent="0.3">
      <c r="A331" s="1344"/>
      <c r="B331" s="171">
        <f t="shared" si="71"/>
        <v>19</v>
      </c>
      <c r="C331" s="171">
        <f t="shared" si="71"/>
        <v>7</v>
      </c>
      <c r="D331" s="171" t="str">
        <f t="shared" si="70"/>
        <v>Boisson spécial numéro 7</v>
      </c>
      <c r="E331" s="265">
        <f t="shared" si="72"/>
        <v>2.82</v>
      </c>
      <c r="F331" s="264">
        <f t="shared" si="72"/>
        <v>9.6</v>
      </c>
      <c r="G331" s="263">
        <f t="shared" si="73"/>
        <v>0.29375000000000001</v>
      </c>
      <c r="H331" s="262">
        <f t="shared" si="74"/>
        <v>6.7799999999999994</v>
      </c>
      <c r="I331" s="261"/>
      <c r="J331" s="171"/>
      <c r="K331" s="171"/>
      <c r="L331" s="228"/>
      <c r="M331" s="227"/>
      <c r="N331" s="206"/>
    </row>
    <row r="332" spans="1:14" ht="18" x14ac:dyDescent="0.3">
      <c r="A332" s="1344"/>
      <c r="B332" s="171">
        <f t="shared" si="71"/>
        <v>20</v>
      </c>
      <c r="C332" s="171">
        <f t="shared" si="71"/>
        <v>8</v>
      </c>
      <c r="D332" s="171" t="str">
        <f t="shared" si="70"/>
        <v>Boisson spécial numéro 8</v>
      </c>
      <c r="E332" s="265">
        <f t="shared" si="72"/>
        <v>2.86</v>
      </c>
      <c r="F332" s="264">
        <f t="shared" si="72"/>
        <v>9.8000000000000007</v>
      </c>
      <c r="G332" s="263">
        <f t="shared" si="73"/>
        <v>0.2918367346938775</v>
      </c>
      <c r="H332" s="262">
        <f t="shared" si="74"/>
        <v>6.9400000000000013</v>
      </c>
      <c r="I332" s="261"/>
      <c r="J332" s="171"/>
      <c r="K332" s="171"/>
      <c r="L332" s="228"/>
      <c r="M332" s="227"/>
      <c r="N332" s="206"/>
    </row>
    <row r="333" spans="1:14" ht="18" x14ac:dyDescent="0.3">
      <c r="A333" s="1344"/>
      <c r="B333" s="171">
        <f t="shared" si="71"/>
        <v>21</v>
      </c>
      <c r="C333" s="171">
        <f t="shared" si="71"/>
        <v>9</v>
      </c>
      <c r="D333" s="171" t="str">
        <f t="shared" si="70"/>
        <v>Boisson spécial numéro 9</v>
      </c>
      <c r="E333" s="265">
        <f t="shared" si="72"/>
        <v>2.9</v>
      </c>
      <c r="F333" s="264">
        <f t="shared" si="72"/>
        <v>10</v>
      </c>
      <c r="G333" s="263">
        <f t="shared" si="73"/>
        <v>0.28999999999999998</v>
      </c>
      <c r="H333" s="262">
        <f t="shared" si="74"/>
        <v>7.1</v>
      </c>
      <c r="I333" s="261"/>
      <c r="J333" s="171"/>
      <c r="K333" s="171"/>
      <c r="L333" s="228"/>
      <c r="M333" s="227"/>
      <c r="N333" s="206"/>
    </row>
    <row r="334" spans="1:14" ht="18" x14ac:dyDescent="0.3">
      <c r="A334" s="1344"/>
      <c r="B334" s="171">
        <f t="shared" si="71"/>
        <v>22</v>
      </c>
      <c r="C334" s="171">
        <f t="shared" si="71"/>
        <v>10</v>
      </c>
      <c r="D334" s="171" t="str">
        <f t="shared" si="70"/>
        <v>Boisson spécial numéro 10</v>
      </c>
      <c r="E334" s="265">
        <f t="shared" si="72"/>
        <v>2.98</v>
      </c>
      <c r="F334" s="264">
        <f t="shared" si="72"/>
        <v>10.4</v>
      </c>
      <c r="G334" s="263">
        <f t="shared" si="73"/>
        <v>0.28653846153846152</v>
      </c>
      <c r="H334" s="262">
        <f t="shared" si="74"/>
        <v>7.42</v>
      </c>
      <c r="I334" s="261"/>
      <c r="J334" s="171"/>
      <c r="K334" s="171"/>
      <c r="L334" s="228"/>
      <c r="M334" s="227"/>
      <c r="N334" s="206"/>
    </row>
    <row r="335" spans="1:14" ht="18" x14ac:dyDescent="0.3">
      <c r="A335" s="1344"/>
      <c r="B335" s="171">
        <f t="shared" si="71"/>
        <v>23</v>
      </c>
      <c r="C335" s="171">
        <f t="shared" si="71"/>
        <v>11</v>
      </c>
      <c r="D335" s="171" t="str">
        <f t="shared" si="70"/>
        <v>Boisson spécial numéro 11</v>
      </c>
      <c r="E335" s="265">
        <f t="shared" si="72"/>
        <v>3.18</v>
      </c>
      <c r="F335" s="264">
        <f t="shared" si="72"/>
        <v>11.6</v>
      </c>
      <c r="G335" s="263">
        <f t="shared" si="73"/>
        <v>0.27413793103448281</v>
      </c>
      <c r="H335" s="262">
        <f t="shared" si="74"/>
        <v>8.42</v>
      </c>
      <c r="I335" s="261"/>
      <c r="J335" s="171"/>
      <c r="K335" s="171"/>
      <c r="L335" s="228"/>
      <c r="M335" s="227"/>
      <c r="N335" s="206"/>
    </row>
    <row r="336" spans="1:14" ht="18" x14ac:dyDescent="0.3">
      <c r="A336" s="1344"/>
      <c r="B336" s="171">
        <f t="shared" si="71"/>
        <v>24</v>
      </c>
      <c r="C336" s="171">
        <f t="shared" si="71"/>
        <v>12</v>
      </c>
      <c r="D336" s="171" t="str">
        <f t="shared" si="70"/>
        <v>Boisson spécial numéro 12</v>
      </c>
      <c r="E336" s="265">
        <f t="shared" si="72"/>
        <v>3.48</v>
      </c>
      <c r="F336" s="264">
        <f t="shared" si="72"/>
        <v>13.2</v>
      </c>
      <c r="G336" s="263">
        <f t="shared" si="73"/>
        <v>0.26363636363636367</v>
      </c>
      <c r="H336" s="262">
        <f t="shared" si="74"/>
        <v>9.7199999999999989</v>
      </c>
      <c r="I336" s="261"/>
      <c r="J336" s="171"/>
      <c r="K336" s="171"/>
      <c r="L336" s="228"/>
      <c r="M336" s="227"/>
      <c r="N336" s="206"/>
    </row>
    <row r="337" spans="1:14" ht="19" x14ac:dyDescent="0.35">
      <c r="A337" s="1344"/>
      <c r="B337" s="171"/>
      <c r="C337" s="171"/>
      <c r="D337" s="238" t="str">
        <f t="shared" si="70"/>
        <v>CmO—PmO—Beverage Cost—Marge brute</v>
      </c>
      <c r="E337" s="259">
        <f>SUM(E325:E336)/C336</f>
        <v>2.8483333333333332</v>
      </c>
      <c r="F337" s="259">
        <f>SUM(F325:F336)/C336</f>
        <v>9.5333333333333332</v>
      </c>
      <c r="G337" s="258">
        <f t="shared" si="73"/>
        <v>0.29877622377622376</v>
      </c>
      <c r="H337" s="257">
        <f t="shared" si="74"/>
        <v>6.6850000000000005</v>
      </c>
      <c r="I337" s="256"/>
      <c r="J337" s="171"/>
      <c r="K337" s="171"/>
      <c r="L337" s="1022">
        <v>1.1000000000000001</v>
      </c>
      <c r="M337" s="227" t="s">
        <v>1</v>
      </c>
      <c r="N337" s="206"/>
    </row>
    <row r="338" spans="1:14" ht="19" thickBot="1" x14ac:dyDescent="0.35">
      <c r="A338" s="1344"/>
      <c r="B338" s="171"/>
      <c r="C338" s="171"/>
      <c r="D338" s="171"/>
      <c r="E338" s="242"/>
      <c r="F338" s="242"/>
      <c r="G338" s="241"/>
      <c r="H338" s="240"/>
      <c r="I338" s="171"/>
      <c r="J338" s="171"/>
      <c r="K338" s="171"/>
      <c r="L338" s="228"/>
      <c r="M338" s="227"/>
      <c r="N338" s="206"/>
    </row>
    <row r="339" spans="1:14" ht="21" thickTop="1" thickBot="1" x14ac:dyDescent="0.4">
      <c r="A339" s="1344"/>
      <c r="B339" s="171"/>
      <c r="C339" s="253"/>
      <c r="D339" s="252"/>
      <c r="E339" s="251"/>
      <c r="F339" s="251"/>
      <c r="G339" s="250"/>
      <c r="H339" s="249"/>
      <c r="I339" s="248"/>
      <c r="J339" s="171"/>
      <c r="K339" s="171"/>
      <c r="L339" s="228"/>
      <c r="M339" s="227"/>
      <c r="N339" s="206"/>
    </row>
    <row r="340" spans="1:14" ht="20" thickTop="1" thickBot="1" x14ac:dyDescent="0.35">
      <c r="A340" s="1344"/>
      <c r="B340" s="171"/>
      <c r="C340" s="233"/>
      <c r="D340" s="238"/>
      <c r="E340" s="247" t="str">
        <f>E297</f>
        <v>CmO</v>
      </c>
      <c r="F340" s="247" t="str">
        <f>F297</f>
        <v>PmO</v>
      </c>
      <c r="G340" s="246" t="str">
        <f>G297</f>
        <v>F&amp;BCmO</v>
      </c>
      <c r="H340" s="245" t="str">
        <f>H297</f>
        <v>BmO</v>
      </c>
      <c r="I340" s="244"/>
      <c r="J340" s="171"/>
      <c r="K340" s="171"/>
      <c r="L340" s="228"/>
      <c r="M340" s="227"/>
      <c r="N340" s="206"/>
    </row>
    <row r="341" spans="1:14" ht="19" thickTop="1" x14ac:dyDescent="0.3">
      <c r="A341" s="1344"/>
      <c r="B341" s="171"/>
      <c r="C341" s="233"/>
      <c r="D341" s="243" t="str">
        <f>D298</f>
        <v>OFFRE TOTALE AVEC LES GÂTERIES ET LES CAFÉS GÂTERIES</v>
      </c>
      <c r="E341" s="242"/>
      <c r="F341" s="242"/>
      <c r="G341" s="241"/>
      <c r="H341" s="240"/>
      <c r="I341" s="239"/>
      <c r="J341" s="171"/>
      <c r="K341" s="171"/>
      <c r="L341" s="228"/>
      <c r="M341" s="227"/>
      <c r="N341" s="206"/>
    </row>
    <row r="342" spans="1:14" ht="19" x14ac:dyDescent="0.35">
      <c r="A342" s="1344"/>
      <c r="B342" s="171"/>
      <c r="C342" s="233"/>
      <c r="D342" s="238" t="str">
        <f>D299</f>
        <v>CmO—PmO—F&amp;B cost moyen offert—Marge brute</v>
      </c>
      <c r="E342" s="237">
        <f>+(E310+E311+E312+E313+E314+E315+E316+E317+E318+E319+E320+E321+E325+E326+E327+E328+E329+E330+E331+E332+E333+E334+E335+E336)/B336</f>
        <v>2.1649999999999996</v>
      </c>
      <c r="F342" s="237">
        <f>+(F310+F311+F312+F313+F314+F315+F316+F317+F318+F319+F320+F321+F325+F326+F327+F328+F329+F330+F331+F332+F333+F334+F335+F336)/B336</f>
        <v>7.1749999999999998</v>
      </c>
      <c r="G342" s="236">
        <f>E342/F342</f>
        <v>0.30174216027874562</v>
      </c>
      <c r="H342" s="235">
        <f>F342-E342</f>
        <v>5.01</v>
      </c>
      <c r="I342" s="234"/>
      <c r="J342" s="171"/>
      <c r="K342" s="171"/>
      <c r="L342" s="228">
        <f>+L322+L337</f>
        <v>2.2000000000000002</v>
      </c>
      <c r="M342" s="227">
        <f>'% Occupation'!K19</f>
        <v>5755</v>
      </c>
      <c r="N342" s="206"/>
    </row>
    <row r="343" spans="1:14" ht="18" x14ac:dyDescent="0.3">
      <c r="A343" s="1344"/>
      <c r="B343" s="171"/>
      <c r="C343" s="233"/>
      <c r="D343" s="171"/>
      <c r="E343" s="232"/>
      <c r="F343" s="232"/>
      <c r="G343" s="231"/>
      <c r="H343" s="230"/>
      <c r="I343" s="229"/>
      <c r="J343" s="171"/>
      <c r="K343" s="171"/>
      <c r="L343" s="228"/>
      <c r="M343" s="227"/>
      <c r="N343" s="206"/>
    </row>
    <row r="344" spans="1:14" ht="19" thickBot="1" x14ac:dyDescent="0.35">
      <c r="A344" s="1344"/>
      <c r="B344" s="171"/>
      <c r="C344" s="226"/>
      <c r="D344" s="225"/>
      <c r="E344" s="224"/>
      <c r="F344" s="224"/>
      <c r="G344" s="223"/>
      <c r="H344" s="222"/>
      <c r="I344" s="221"/>
      <c r="J344" s="171"/>
      <c r="K344" s="171"/>
      <c r="L344" s="220"/>
      <c r="M344" s="219"/>
      <c r="N344" s="206"/>
    </row>
    <row r="345" spans="1:14" ht="19" thickTop="1" x14ac:dyDescent="0.3">
      <c r="A345" s="1344"/>
      <c r="L345" s="209"/>
      <c r="M345" s="207"/>
      <c r="N345" s="206"/>
    </row>
    <row r="346" spans="1:14" ht="23" x14ac:dyDescent="0.3">
      <c r="A346" s="1344"/>
      <c r="D346" s="284" t="s">
        <v>85</v>
      </c>
      <c r="F346" s="280"/>
      <c r="L346" s="209"/>
      <c r="M346" s="207"/>
      <c r="N346" s="206"/>
    </row>
    <row r="347" spans="1:14" ht="24" thickBot="1" x14ac:dyDescent="0.35">
      <c r="A347" s="1344"/>
      <c r="D347" s="282"/>
      <c r="L347" s="209"/>
      <c r="M347" s="207"/>
      <c r="N347" s="206"/>
    </row>
    <row r="348" spans="1:14" ht="23" customHeight="1" thickTop="1" x14ac:dyDescent="0.25">
      <c r="A348" s="1344"/>
      <c r="D348" s="282"/>
      <c r="E348" s="1335" t="str">
        <f>E305</f>
        <v>Coûts des ressources alimentaires pour chaque produit offert (voir recettes standardisées)</v>
      </c>
      <c r="F348" s="1335" t="str">
        <f>F305</f>
        <v>Prix de vente par produit offert</v>
      </c>
      <c r="G348" s="1335" t="str">
        <f>G305</f>
        <v xml:space="preserve">« Food &amp; Beverage Cost » </v>
      </c>
      <c r="H348" s="1335" t="str">
        <f>H305</f>
        <v>Marge brute gagnée sur la vente de chaque produit offert</v>
      </c>
      <c r="I348" s="283"/>
      <c r="L348" s="1329" t="s">
        <v>79</v>
      </c>
      <c r="M348" s="1329" t="s">
        <v>78</v>
      </c>
      <c r="N348" s="206"/>
    </row>
    <row r="349" spans="1:14" ht="22" x14ac:dyDescent="0.25">
      <c r="A349" s="1344"/>
      <c r="D349" s="282"/>
      <c r="E349" s="1336"/>
      <c r="F349" s="1338"/>
      <c r="G349" s="1338"/>
      <c r="H349" s="1338"/>
      <c r="I349" s="281"/>
      <c r="L349" s="1330"/>
      <c r="M349" s="1340"/>
      <c r="N349" s="206"/>
    </row>
    <row r="350" spans="1:14" ht="14" customHeight="1" thickBot="1" x14ac:dyDescent="0.25">
      <c r="A350" s="1344"/>
      <c r="E350" s="1337"/>
      <c r="F350" s="1339"/>
      <c r="G350" s="1339"/>
      <c r="H350" s="1339"/>
      <c r="I350" s="281"/>
      <c r="L350" s="1331"/>
      <c r="M350" s="1341"/>
      <c r="N350" s="206"/>
    </row>
    <row r="351" spans="1:14" ht="20" thickTop="1" thickBot="1" x14ac:dyDescent="0.35">
      <c r="A351" s="1344"/>
      <c r="B351" s="138" t="s">
        <v>1</v>
      </c>
      <c r="E351" s="280"/>
      <c r="F351" s="280"/>
      <c r="G351" s="279"/>
      <c r="L351" s="209"/>
      <c r="M351" s="207"/>
      <c r="N351" s="206"/>
    </row>
    <row r="352" spans="1:14" ht="19" thickTop="1" x14ac:dyDescent="0.3">
      <c r="A352" s="1344"/>
      <c r="B352" s="171"/>
      <c r="C352" s="171"/>
      <c r="D352" s="238" t="str">
        <f t="shared" ref="D352:D365" si="75">D309</f>
        <v>Les Petite Gâteries</v>
      </c>
      <c r="E352" s="261"/>
      <c r="F352" s="261"/>
      <c r="G352" s="241"/>
      <c r="H352" s="171"/>
      <c r="I352" s="171"/>
      <c r="J352" s="171"/>
      <c r="K352" s="171"/>
      <c r="L352" s="278"/>
      <c r="M352" s="277"/>
      <c r="N352" s="206"/>
    </row>
    <row r="353" spans="1:14" ht="18" x14ac:dyDescent="0.3">
      <c r="A353" s="1344"/>
      <c r="B353" s="171">
        <f t="shared" ref="B353:C364" si="76">B310</f>
        <v>1</v>
      </c>
      <c r="C353" s="171">
        <f t="shared" si="76"/>
        <v>1</v>
      </c>
      <c r="D353" s="171" t="str">
        <f t="shared" si="75"/>
        <v>Petite Gâterie 1</v>
      </c>
      <c r="E353" s="265">
        <f t="shared" ref="E353:F364" si="77">E310</f>
        <v>1.21</v>
      </c>
      <c r="F353" s="264">
        <f t="shared" si="77"/>
        <v>3.3</v>
      </c>
      <c r="G353" s="263">
        <f t="shared" ref="G353:G365" si="78">E353/F353</f>
        <v>0.3666666666666667</v>
      </c>
      <c r="H353" s="262">
        <f t="shared" ref="H353:H365" si="79">F353-E353</f>
        <v>2.09</v>
      </c>
      <c r="I353" s="261"/>
      <c r="J353" s="171"/>
      <c r="K353" s="171"/>
      <c r="L353" s="276"/>
      <c r="M353" s="227"/>
      <c r="N353" s="206"/>
    </row>
    <row r="354" spans="1:14" ht="18" x14ac:dyDescent="0.3">
      <c r="A354" s="1344"/>
      <c r="B354" s="171">
        <f t="shared" si="76"/>
        <v>2</v>
      </c>
      <c r="C354" s="171">
        <f t="shared" si="76"/>
        <v>2</v>
      </c>
      <c r="D354" s="171" t="str">
        <f t="shared" si="75"/>
        <v>Petite Gâterie 2</v>
      </c>
      <c r="E354" s="265">
        <f t="shared" si="77"/>
        <v>1.31</v>
      </c>
      <c r="F354" s="264">
        <f t="shared" si="77"/>
        <v>3.8</v>
      </c>
      <c r="G354" s="263">
        <f t="shared" si="78"/>
        <v>0.34473684210526317</v>
      </c>
      <c r="H354" s="262">
        <f t="shared" si="79"/>
        <v>2.4899999999999998</v>
      </c>
      <c r="I354" s="261"/>
      <c r="J354" s="171"/>
      <c r="K354" s="171"/>
      <c r="L354" s="228"/>
      <c r="M354" s="227"/>
      <c r="N354" s="206"/>
    </row>
    <row r="355" spans="1:14" ht="18" x14ac:dyDescent="0.3">
      <c r="A355" s="1344"/>
      <c r="B355" s="171">
        <f t="shared" si="76"/>
        <v>3</v>
      </c>
      <c r="C355" s="171">
        <f t="shared" si="76"/>
        <v>3</v>
      </c>
      <c r="D355" s="171" t="str">
        <f t="shared" si="75"/>
        <v>Petite Gâterie 3</v>
      </c>
      <c r="E355" s="265">
        <f t="shared" si="77"/>
        <v>1.35</v>
      </c>
      <c r="F355" s="264">
        <f t="shared" si="77"/>
        <v>4</v>
      </c>
      <c r="G355" s="263">
        <f t="shared" si="78"/>
        <v>0.33750000000000002</v>
      </c>
      <c r="H355" s="262">
        <f t="shared" si="79"/>
        <v>2.65</v>
      </c>
      <c r="I355" s="261"/>
      <c r="J355" s="171"/>
      <c r="K355" s="171"/>
      <c r="L355" s="228"/>
      <c r="M355" s="227"/>
      <c r="N355" s="206"/>
    </row>
    <row r="356" spans="1:14" ht="18" x14ac:dyDescent="0.3">
      <c r="A356" s="1344"/>
      <c r="B356" s="171">
        <f t="shared" si="76"/>
        <v>4</v>
      </c>
      <c r="C356" s="171">
        <f t="shared" si="76"/>
        <v>4</v>
      </c>
      <c r="D356" s="171" t="str">
        <f t="shared" si="75"/>
        <v>Petite Gâterie 4</v>
      </c>
      <c r="E356" s="265">
        <f t="shared" si="77"/>
        <v>1.4</v>
      </c>
      <c r="F356" s="264">
        <f t="shared" si="77"/>
        <v>4.5</v>
      </c>
      <c r="G356" s="263">
        <f t="shared" si="78"/>
        <v>0.31111111111111112</v>
      </c>
      <c r="H356" s="262">
        <f t="shared" si="79"/>
        <v>3.1</v>
      </c>
      <c r="I356" s="261"/>
      <c r="J356" s="171"/>
      <c r="K356" s="171"/>
      <c r="L356" s="228"/>
      <c r="M356" s="227"/>
      <c r="N356" s="206"/>
    </row>
    <row r="357" spans="1:14" ht="18" x14ac:dyDescent="0.3">
      <c r="A357" s="1344"/>
      <c r="B357" s="171">
        <f t="shared" si="76"/>
        <v>5</v>
      </c>
      <c r="C357" s="171">
        <f t="shared" si="76"/>
        <v>5</v>
      </c>
      <c r="D357" s="171" t="str">
        <f t="shared" si="75"/>
        <v>Petite Gâterie 5</v>
      </c>
      <c r="E357" s="265">
        <f t="shared" si="77"/>
        <v>1.24</v>
      </c>
      <c r="F357" s="264">
        <f t="shared" si="77"/>
        <v>4.5999999999999996</v>
      </c>
      <c r="G357" s="263">
        <f t="shared" si="78"/>
        <v>0.26956521739130435</v>
      </c>
      <c r="H357" s="262">
        <f t="shared" si="79"/>
        <v>3.3599999999999994</v>
      </c>
      <c r="I357" s="261"/>
      <c r="J357" s="171"/>
      <c r="K357" s="171"/>
      <c r="L357" s="228"/>
      <c r="M357" s="227"/>
      <c r="N357" s="206"/>
    </row>
    <row r="358" spans="1:14" ht="18" x14ac:dyDescent="0.3">
      <c r="A358" s="1344"/>
      <c r="B358" s="171">
        <f t="shared" si="76"/>
        <v>6</v>
      </c>
      <c r="C358" s="171">
        <f t="shared" si="76"/>
        <v>6</v>
      </c>
      <c r="D358" s="171" t="str">
        <f t="shared" si="75"/>
        <v>Petite Gâterie 6</v>
      </c>
      <c r="E358" s="265">
        <f t="shared" si="77"/>
        <v>1.39</v>
      </c>
      <c r="F358" s="264">
        <f t="shared" si="77"/>
        <v>4.7</v>
      </c>
      <c r="G358" s="263">
        <f t="shared" si="78"/>
        <v>0.29574468085106381</v>
      </c>
      <c r="H358" s="262">
        <f t="shared" si="79"/>
        <v>3.3100000000000005</v>
      </c>
      <c r="I358" s="261"/>
      <c r="J358" s="171"/>
      <c r="K358" s="171"/>
      <c r="L358" s="228"/>
      <c r="M358" s="227"/>
      <c r="N358" s="206"/>
    </row>
    <row r="359" spans="1:14" ht="18" x14ac:dyDescent="0.3">
      <c r="A359" s="1344"/>
      <c r="B359" s="171">
        <f t="shared" si="76"/>
        <v>7</v>
      </c>
      <c r="C359" s="171">
        <f t="shared" si="76"/>
        <v>7</v>
      </c>
      <c r="D359" s="171" t="str">
        <f t="shared" si="75"/>
        <v>Petite Gâterie 7</v>
      </c>
      <c r="E359" s="265">
        <f t="shared" si="77"/>
        <v>1.51</v>
      </c>
      <c r="F359" s="264">
        <f t="shared" si="77"/>
        <v>4.8</v>
      </c>
      <c r="G359" s="263">
        <f t="shared" si="78"/>
        <v>0.31458333333333333</v>
      </c>
      <c r="H359" s="262">
        <f t="shared" si="79"/>
        <v>3.29</v>
      </c>
      <c r="I359" s="261"/>
      <c r="J359" s="171"/>
      <c r="K359" s="171"/>
      <c r="L359" s="228"/>
      <c r="M359" s="227"/>
      <c r="N359" s="206"/>
    </row>
    <row r="360" spans="1:14" ht="18" x14ac:dyDescent="0.3">
      <c r="A360" s="1344"/>
      <c r="B360" s="171">
        <f t="shared" si="76"/>
        <v>8</v>
      </c>
      <c r="C360" s="171">
        <f t="shared" si="76"/>
        <v>8</v>
      </c>
      <c r="D360" s="171" t="str">
        <f t="shared" si="75"/>
        <v>Petite Gâterie 8</v>
      </c>
      <c r="E360" s="265">
        <f t="shared" si="77"/>
        <v>1.53</v>
      </c>
      <c r="F360" s="264">
        <f t="shared" si="77"/>
        <v>4.9000000000000004</v>
      </c>
      <c r="G360" s="263">
        <f t="shared" si="78"/>
        <v>0.31224489795918364</v>
      </c>
      <c r="H360" s="262">
        <f t="shared" si="79"/>
        <v>3.37</v>
      </c>
      <c r="I360" s="261"/>
      <c r="J360" s="171"/>
      <c r="K360" s="171"/>
      <c r="L360" s="228"/>
      <c r="M360" s="227"/>
      <c r="N360" s="206"/>
    </row>
    <row r="361" spans="1:14" ht="18" x14ac:dyDescent="0.3">
      <c r="A361" s="1344"/>
      <c r="B361" s="171">
        <f t="shared" si="76"/>
        <v>9</v>
      </c>
      <c r="C361" s="171">
        <f t="shared" si="76"/>
        <v>9</v>
      </c>
      <c r="D361" s="171" t="str">
        <f t="shared" si="75"/>
        <v>Petite Gâterie 9</v>
      </c>
      <c r="E361" s="265">
        <f t="shared" si="77"/>
        <v>1.55</v>
      </c>
      <c r="F361" s="264">
        <f t="shared" si="77"/>
        <v>5</v>
      </c>
      <c r="G361" s="263">
        <f t="shared" si="78"/>
        <v>0.31</v>
      </c>
      <c r="H361" s="262">
        <f t="shared" si="79"/>
        <v>3.45</v>
      </c>
      <c r="I361" s="261"/>
      <c r="J361" s="171"/>
      <c r="K361" s="171"/>
      <c r="L361" s="228"/>
      <c r="M361" s="227"/>
      <c r="N361" s="206"/>
    </row>
    <row r="362" spans="1:14" ht="18" x14ac:dyDescent="0.3">
      <c r="A362" s="1344"/>
      <c r="B362" s="171">
        <f t="shared" si="76"/>
        <v>10</v>
      </c>
      <c r="C362" s="171">
        <f t="shared" si="76"/>
        <v>10</v>
      </c>
      <c r="D362" s="171" t="str">
        <f t="shared" si="75"/>
        <v>Petite Gâterie 10</v>
      </c>
      <c r="E362" s="265">
        <f t="shared" si="77"/>
        <v>1.59</v>
      </c>
      <c r="F362" s="264">
        <f t="shared" si="77"/>
        <v>5.2</v>
      </c>
      <c r="G362" s="263">
        <f t="shared" si="78"/>
        <v>0.30576923076923079</v>
      </c>
      <c r="H362" s="262">
        <f t="shared" si="79"/>
        <v>3.6100000000000003</v>
      </c>
      <c r="I362" s="261"/>
      <c r="J362" s="171"/>
      <c r="K362" s="171"/>
      <c r="L362" s="228"/>
      <c r="M362" s="227"/>
      <c r="N362" s="206"/>
    </row>
    <row r="363" spans="1:14" ht="18" x14ac:dyDescent="0.3">
      <c r="A363" s="1344"/>
      <c r="B363" s="171">
        <f t="shared" si="76"/>
        <v>11</v>
      </c>
      <c r="C363" s="171">
        <f t="shared" si="76"/>
        <v>11</v>
      </c>
      <c r="D363" s="171" t="str">
        <f t="shared" si="75"/>
        <v>Petite Gâterie 11</v>
      </c>
      <c r="E363" s="265">
        <f t="shared" si="77"/>
        <v>1.83</v>
      </c>
      <c r="F363" s="264">
        <f t="shared" si="77"/>
        <v>6.4</v>
      </c>
      <c r="G363" s="263">
        <f t="shared" si="78"/>
        <v>0.28593750000000001</v>
      </c>
      <c r="H363" s="262">
        <f t="shared" si="79"/>
        <v>4.57</v>
      </c>
      <c r="I363" s="261"/>
      <c r="J363" s="171"/>
      <c r="K363" s="171"/>
      <c r="L363" s="228"/>
      <c r="M363" s="227"/>
      <c r="N363" s="206"/>
    </row>
    <row r="364" spans="1:14" ht="18" x14ac:dyDescent="0.3">
      <c r="A364" s="1344"/>
      <c r="B364" s="171">
        <f t="shared" si="76"/>
        <v>12</v>
      </c>
      <c r="C364" s="171">
        <f t="shared" si="76"/>
        <v>12</v>
      </c>
      <c r="D364" s="171" t="str">
        <f t="shared" si="75"/>
        <v>Petite Gâterie 12</v>
      </c>
      <c r="E364" s="265">
        <f t="shared" si="77"/>
        <v>1.87</v>
      </c>
      <c r="F364" s="264">
        <f t="shared" si="77"/>
        <v>6.6</v>
      </c>
      <c r="G364" s="263">
        <f t="shared" si="78"/>
        <v>0.28333333333333338</v>
      </c>
      <c r="H364" s="262">
        <f t="shared" si="79"/>
        <v>4.7299999999999995</v>
      </c>
      <c r="I364" s="261"/>
      <c r="J364" s="171"/>
      <c r="K364" s="171"/>
      <c r="L364" s="228"/>
      <c r="M364" s="227"/>
      <c r="N364" s="206"/>
    </row>
    <row r="365" spans="1:14" ht="19" x14ac:dyDescent="0.35">
      <c r="A365" s="1344"/>
      <c r="B365" s="171"/>
      <c r="C365" s="171"/>
      <c r="D365" s="238" t="str">
        <f t="shared" si="75"/>
        <v>CmO—PmO—Food Cost—BmO</v>
      </c>
      <c r="E365" s="259">
        <f>SUM(E353:E364)/C364</f>
        <v>1.4816666666666667</v>
      </c>
      <c r="F365" s="259">
        <f>SUM(F353:F364)/C364</f>
        <v>4.8166666666666673</v>
      </c>
      <c r="G365" s="274">
        <f t="shared" si="78"/>
        <v>0.30761245674740478</v>
      </c>
      <c r="H365" s="257">
        <f t="shared" si="79"/>
        <v>3.3350000000000009</v>
      </c>
      <c r="I365" s="256"/>
      <c r="J365" s="171"/>
      <c r="K365" s="171"/>
      <c r="L365" s="1022">
        <v>1.1000000000000001</v>
      </c>
      <c r="M365" s="227" t="s">
        <v>1</v>
      </c>
      <c r="N365" s="206"/>
    </row>
    <row r="366" spans="1:14" ht="18" x14ac:dyDescent="0.3">
      <c r="A366" s="1344"/>
      <c r="B366" s="171" t="s">
        <v>1</v>
      </c>
      <c r="C366" s="171"/>
      <c r="D366" s="171"/>
      <c r="E366" s="242"/>
      <c r="F366" s="242"/>
      <c r="G366" s="263"/>
      <c r="H366" s="240"/>
      <c r="I366" s="171"/>
      <c r="J366" s="171"/>
      <c r="K366" s="171"/>
      <c r="L366" s="228"/>
      <c r="M366" s="227"/>
      <c r="N366" s="206"/>
    </row>
    <row r="367" spans="1:14" ht="18" x14ac:dyDescent="0.3">
      <c r="A367" s="1344"/>
      <c r="B367" s="171"/>
      <c r="C367" s="171"/>
      <c r="D367" s="238" t="str">
        <f t="shared" ref="D367:D380" si="80">D324</f>
        <v>Les Boissons  Gâteries</v>
      </c>
      <c r="E367" s="242"/>
      <c r="F367" s="242"/>
      <c r="G367" s="263"/>
      <c r="H367" s="240"/>
      <c r="I367" s="171"/>
      <c r="J367" s="171"/>
      <c r="K367" s="171"/>
      <c r="L367" s="228"/>
      <c r="M367" s="227"/>
      <c r="N367" s="206"/>
    </row>
    <row r="368" spans="1:14" ht="18" x14ac:dyDescent="0.3">
      <c r="A368" s="1344"/>
      <c r="B368" s="171">
        <f t="shared" ref="B368:C379" si="81">B325</f>
        <v>13</v>
      </c>
      <c r="C368" s="171">
        <f t="shared" si="81"/>
        <v>1</v>
      </c>
      <c r="D368" s="171" t="str">
        <f t="shared" si="80"/>
        <v>Boisson spécial numéro 1</v>
      </c>
      <c r="E368" s="265">
        <f t="shared" ref="E368:F379" si="82">E325</f>
        <v>2.2799999999999998</v>
      </c>
      <c r="F368" s="264">
        <f t="shared" si="82"/>
        <v>6.6</v>
      </c>
      <c r="G368" s="263">
        <f t="shared" ref="G368:G380" si="83">E368/F368</f>
        <v>0.34545454545454546</v>
      </c>
      <c r="H368" s="262">
        <f t="shared" ref="H368:H380" si="84">F368-E368</f>
        <v>4.32</v>
      </c>
      <c r="I368" s="261"/>
      <c r="J368" s="171"/>
      <c r="K368" s="171"/>
      <c r="L368" s="228"/>
      <c r="M368" s="227"/>
      <c r="N368" s="206"/>
    </row>
    <row r="369" spans="1:14" ht="18" x14ac:dyDescent="0.3">
      <c r="A369" s="1344"/>
      <c r="B369" s="171">
        <f t="shared" si="81"/>
        <v>14</v>
      </c>
      <c r="C369" s="171">
        <f t="shared" si="81"/>
        <v>2</v>
      </c>
      <c r="D369" s="171" t="str">
        <f t="shared" si="80"/>
        <v>Boisson spécial numéro 2</v>
      </c>
      <c r="E369" s="265">
        <f t="shared" si="82"/>
        <v>2.66</v>
      </c>
      <c r="F369" s="264">
        <f t="shared" si="82"/>
        <v>7.6</v>
      </c>
      <c r="G369" s="263">
        <f t="shared" si="83"/>
        <v>0.35000000000000003</v>
      </c>
      <c r="H369" s="262">
        <f t="shared" si="84"/>
        <v>4.9399999999999995</v>
      </c>
      <c r="I369" s="261"/>
      <c r="J369" s="171"/>
      <c r="K369" s="171"/>
      <c r="L369" s="228"/>
      <c r="M369" s="227"/>
      <c r="N369" s="206"/>
    </row>
    <row r="370" spans="1:14" ht="18" x14ac:dyDescent="0.3">
      <c r="A370" s="1344"/>
      <c r="B370" s="171">
        <f t="shared" si="81"/>
        <v>15</v>
      </c>
      <c r="C370" s="171">
        <f t="shared" si="81"/>
        <v>3</v>
      </c>
      <c r="D370" s="171" t="str">
        <f t="shared" si="80"/>
        <v>Boisson spécial numéro 3</v>
      </c>
      <c r="E370" s="265">
        <f t="shared" si="82"/>
        <v>2.74</v>
      </c>
      <c r="F370" s="264">
        <f t="shared" si="82"/>
        <v>8</v>
      </c>
      <c r="G370" s="263">
        <f t="shared" si="83"/>
        <v>0.34250000000000003</v>
      </c>
      <c r="H370" s="262">
        <f t="shared" si="84"/>
        <v>5.26</v>
      </c>
      <c r="I370" s="261"/>
      <c r="J370" s="171"/>
      <c r="K370" s="171"/>
      <c r="L370" s="228"/>
      <c r="M370" s="227"/>
      <c r="N370" s="206"/>
    </row>
    <row r="371" spans="1:14" ht="18" x14ac:dyDescent="0.3">
      <c r="A371" s="1344"/>
      <c r="B371" s="171">
        <f t="shared" si="81"/>
        <v>16</v>
      </c>
      <c r="C371" s="171">
        <f t="shared" si="81"/>
        <v>4</v>
      </c>
      <c r="D371" s="171" t="str">
        <f t="shared" si="80"/>
        <v>Boisson spécial numéro 4</v>
      </c>
      <c r="E371" s="265">
        <f t="shared" si="82"/>
        <v>2.72</v>
      </c>
      <c r="F371" s="264">
        <f t="shared" si="82"/>
        <v>9</v>
      </c>
      <c r="G371" s="263">
        <f t="shared" si="83"/>
        <v>0.30222222222222223</v>
      </c>
      <c r="H371" s="262">
        <f t="shared" si="84"/>
        <v>6.2799999999999994</v>
      </c>
      <c r="I371" s="261"/>
      <c r="J371" s="171"/>
      <c r="K371" s="171"/>
      <c r="L371" s="228"/>
      <c r="M371" s="227"/>
      <c r="N371" s="206"/>
    </row>
    <row r="372" spans="1:14" ht="18" x14ac:dyDescent="0.3">
      <c r="A372" s="1344"/>
      <c r="B372" s="171">
        <f t="shared" si="81"/>
        <v>17</v>
      </c>
      <c r="C372" s="171">
        <f t="shared" si="81"/>
        <v>5</v>
      </c>
      <c r="D372" s="171" t="str">
        <f t="shared" si="80"/>
        <v>Boisson spécial numéro 5</v>
      </c>
      <c r="E372" s="265">
        <f t="shared" si="82"/>
        <v>2.76</v>
      </c>
      <c r="F372" s="264">
        <f t="shared" si="82"/>
        <v>9.1999999999999993</v>
      </c>
      <c r="G372" s="263">
        <f t="shared" si="83"/>
        <v>0.3</v>
      </c>
      <c r="H372" s="262">
        <f t="shared" si="84"/>
        <v>6.4399999999999995</v>
      </c>
      <c r="I372" s="261"/>
      <c r="J372" s="171"/>
      <c r="K372" s="171"/>
      <c r="L372" s="228"/>
      <c r="M372" s="227"/>
      <c r="N372" s="206"/>
    </row>
    <row r="373" spans="1:14" ht="18" x14ac:dyDescent="0.3">
      <c r="A373" s="1344"/>
      <c r="B373" s="171">
        <f t="shared" si="81"/>
        <v>18</v>
      </c>
      <c r="C373" s="171">
        <f t="shared" si="81"/>
        <v>6</v>
      </c>
      <c r="D373" s="171" t="str">
        <f t="shared" si="80"/>
        <v>Boisson spécial numéro 6</v>
      </c>
      <c r="E373" s="265">
        <f t="shared" si="82"/>
        <v>2.8</v>
      </c>
      <c r="F373" s="264">
        <f t="shared" si="82"/>
        <v>9.4</v>
      </c>
      <c r="G373" s="263">
        <f t="shared" si="83"/>
        <v>0.2978723404255319</v>
      </c>
      <c r="H373" s="262">
        <f t="shared" si="84"/>
        <v>6.6000000000000005</v>
      </c>
      <c r="I373" s="261"/>
      <c r="J373" s="171"/>
      <c r="K373" s="171"/>
      <c r="L373" s="228"/>
      <c r="M373" s="227"/>
      <c r="N373" s="206"/>
    </row>
    <row r="374" spans="1:14" ht="18" x14ac:dyDescent="0.3">
      <c r="A374" s="1344"/>
      <c r="B374" s="171">
        <f t="shared" si="81"/>
        <v>19</v>
      </c>
      <c r="C374" s="171">
        <f t="shared" si="81"/>
        <v>7</v>
      </c>
      <c r="D374" s="171" t="str">
        <f t="shared" si="80"/>
        <v>Boisson spécial numéro 7</v>
      </c>
      <c r="E374" s="265">
        <f t="shared" si="82"/>
        <v>2.82</v>
      </c>
      <c r="F374" s="264">
        <f t="shared" si="82"/>
        <v>9.6</v>
      </c>
      <c r="G374" s="263">
        <f t="shared" si="83"/>
        <v>0.29375000000000001</v>
      </c>
      <c r="H374" s="262">
        <f t="shared" si="84"/>
        <v>6.7799999999999994</v>
      </c>
      <c r="I374" s="261"/>
      <c r="J374" s="171"/>
      <c r="K374" s="171"/>
      <c r="L374" s="228"/>
      <c r="M374" s="227"/>
      <c r="N374" s="206"/>
    </row>
    <row r="375" spans="1:14" ht="18" x14ac:dyDescent="0.3">
      <c r="A375" s="1344"/>
      <c r="B375" s="171">
        <f t="shared" si="81"/>
        <v>20</v>
      </c>
      <c r="C375" s="171">
        <f t="shared" si="81"/>
        <v>8</v>
      </c>
      <c r="D375" s="171" t="str">
        <f t="shared" si="80"/>
        <v>Boisson spécial numéro 8</v>
      </c>
      <c r="E375" s="265">
        <f t="shared" si="82"/>
        <v>2.86</v>
      </c>
      <c r="F375" s="264">
        <f t="shared" si="82"/>
        <v>9.8000000000000007</v>
      </c>
      <c r="G375" s="263">
        <f t="shared" si="83"/>
        <v>0.2918367346938775</v>
      </c>
      <c r="H375" s="262">
        <f t="shared" si="84"/>
        <v>6.9400000000000013</v>
      </c>
      <c r="I375" s="261"/>
      <c r="J375" s="171"/>
      <c r="K375" s="171"/>
      <c r="L375" s="228"/>
      <c r="M375" s="227"/>
      <c r="N375" s="206"/>
    </row>
    <row r="376" spans="1:14" ht="18" x14ac:dyDescent="0.3">
      <c r="A376" s="1344"/>
      <c r="B376" s="171">
        <f t="shared" si="81"/>
        <v>21</v>
      </c>
      <c r="C376" s="171">
        <f t="shared" si="81"/>
        <v>9</v>
      </c>
      <c r="D376" s="171" t="str">
        <f t="shared" si="80"/>
        <v>Boisson spécial numéro 9</v>
      </c>
      <c r="E376" s="265">
        <f t="shared" si="82"/>
        <v>2.9</v>
      </c>
      <c r="F376" s="264">
        <f t="shared" si="82"/>
        <v>10</v>
      </c>
      <c r="G376" s="263">
        <f t="shared" si="83"/>
        <v>0.28999999999999998</v>
      </c>
      <c r="H376" s="262">
        <f t="shared" si="84"/>
        <v>7.1</v>
      </c>
      <c r="I376" s="261"/>
      <c r="J376" s="171"/>
      <c r="K376" s="171"/>
      <c r="L376" s="228"/>
      <c r="M376" s="227"/>
      <c r="N376" s="206"/>
    </row>
    <row r="377" spans="1:14" ht="18" x14ac:dyDescent="0.3">
      <c r="A377" s="1344"/>
      <c r="B377" s="171">
        <f t="shared" si="81"/>
        <v>22</v>
      </c>
      <c r="C377" s="171">
        <f t="shared" si="81"/>
        <v>10</v>
      </c>
      <c r="D377" s="171" t="str">
        <f t="shared" si="80"/>
        <v>Boisson spécial numéro 10</v>
      </c>
      <c r="E377" s="265">
        <f t="shared" si="82"/>
        <v>2.98</v>
      </c>
      <c r="F377" s="264">
        <f t="shared" si="82"/>
        <v>10.4</v>
      </c>
      <c r="G377" s="263">
        <f t="shared" si="83"/>
        <v>0.28653846153846152</v>
      </c>
      <c r="H377" s="262">
        <f t="shared" si="84"/>
        <v>7.42</v>
      </c>
      <c r="I377" s="261"/>
      <c r="J377" s="171"/>
      <c r="K377" s="171"/>
      <c r="L377" s="228"/>
      <c r="M377" s="227"/>
      <c r="N377" s="206"/>
    </row>
    <row r="378" spans="1:14" ht="18" x14ac:dyDescent="0.3">
      <c r="A378" s="1344"/>
      <c r="B378" s="171">
        <f t="shared" si="81"/>
        <v>23</v>
      </c>
      <c r="C378" s="171">
        <f t="shared" si="81"/>
        <v>11</v>
      </c>
      <c r="D378" s="171" t="str">
        <f t="shared" si="80"/>
        <v>Boisson spécial numéro 11</v>
      </c>
      <c r="E378" s="265">
        <f t="shared" si="82"/>
        <v>3.18</v>
      </c>
      <c r="F378" s="264">
        <f t="shared" si="82"/>
        <v>11.6</v>
      </c>
      <c r="G378" s="263">
        <f t="shared" si="83"/>
        <v>0.27413793103448281</v>
      </c>
      <c r="H378" s="262">
        <f t="shared" si="84"/>
        <v>8.42</v>
      </c>
      <c r="I378" s="261"/>
      <c r="J378" s="171"/>
      <c r="K378" s="171"/>
      <c r="L378" s="228"/>
      <c r="M378" s="227"/>
      <c r="N378" s="206"/>
    </row>
    <row r="379" spans="1:14" ht="18" x14ac:dyDescent="0.3">
      <c r="A379" s="1344"/>
      <c r="B379" s="171">
        <f t="shared" si="81"/>
        <v>24</v>
      </c>
      <c r="C379" s="171">
        <f t="shared" si="81"/>
        <v>12</v>
      </c>
      <c r="D379" s="171" t="str">
        <f t="shared" si="80"/>
        <v>Boisson spécial numéro 12</v>
      </c>
      <c r="E379" s="265">
        <f t="shared" si="82"/>
        <v>3.48</v>
      </c>
      <c r="F379" s="264">
        <f t="shared" si="82"/>
        <v>13.2</v>
      </c>
      <c r="G379" s="263">
        <f t="shared" si="83"/>
        <v>0.26363636363636367</v>
      </c>
      <c r="H379" s="262">
        <f t="shared" si="84"/>
        <v>9.7199999999999989</v>
      </c>
      <c r="I379" s="261"/>
      <c r="J379" s="171"/>
      <c r="K379" s="171"/>
      <c r="L379" s="228"/>
      <c r="M379" s="227"/>
      <c r="N379" s="206"/>
    </row>
    <row r="380" spans="1:14" ht="19" x14ac:dyDescent="0.35">
      <c r="A380" s="1344"/>
      <c r="B380" s="171"/>
      <c r="C380" s="171"/>
      <c r="D380" s="238" t="str">
        <f t="shared" si="80"/>
        <v>CmO—PmO—Beverage Cost—Marge brute</v>
      </c>
      <c r="E380" s="259">
        <f>SUM(E368:E379)/C379</f>
        <v>2.8483333333333332</v>
      </c>
      <c r="F380" s="259">
        <f>SUM(F368:F379)/C379</f>
        <v>9.5333333333333332</v>
      </c>
      <c r="G380" s="258">
        <f t="shared" si="83"/>
        <v>0.29877622377622376</v>
      </c>
      <c r="H380" s="257">
        <f t="shared" si="84"/>
        <v>6.6850000000000005</v>
      </c>
      <c r="I380" s="256"/>
      <c r="J380" s="171"/>
      <c r="K380" s="171"/>
      <c r="L380" s="1022">
        <v>1.1000000000000001</v>
      </c>
      <c r="M380" s="227" t="s">
        <v>1</v>
      </c>
      <c r="N380" s="206"/>
    </row>
    <row r="381" spans="1:14" ht="19" thickBot="1" x14ac:dyDescent="0.35">
      <c r="A381" s="1344"/>
      <c r="B381" s="171"/>
      <c r="C381" s="171"/>
      <c r="D381" s="171"/>
      <c r="E381" s="242"/>
      <c r="F381" s="242"/>
      <c r="G381" s="241"/>
      <c r="H381" s="240"/>
      <c r="I381" s="171"/>
      <c r="J381" s="171"/>
      <c r="K381" s="171"/>
      <c r="L381" s="228"/>
      <c r="M381" s="227"/>
      <c r="N381" s="206"/>
    </row>
    <row r="382" spans="1:14" ht="21" thickTop="1" thickBot="1" x14ac:dyDescent="0.4">
      <c r="A382" s="1344"/>
      <c r="B382" s="171"/>
      <c r="C382" s="253"/>
      <c r="D382" s="252"/>
      <c r="E382" s="251"/>
      <c r="F382" s="251"/>
      <c r="G382" s="250"/>
      <c r="H382" s="249"/>
      <c r="I382" s="248"/>
      <c r="J382" s="171"/>
      <c r="K382" s="171"/>
      <c r="L382" s="228"/>
      <c r="M382" s="227"/>
      <c r="N382" s="206"/>
    </row>
    <row r="383" spans="1:14" ht="20" thickTop="1" thickBot="1" x14ac:dyDescent="0.35">
      <c r="A383" s="1344"/>
      <c r="B383" s="171"/>
      <c r="C383" s="233"/>
      <c r="D383" s="238"/>
      <c r="E383" s="247" t="str">
        <f>E340</f>
        <v>CmO</v>
      </c>
      <c r="F383" s="247" t="str">
        <f>F340</f>
        <v>PmO</v>
      </c>
      <c r="G383" s="246" t="str">
        <f>G340</f>
        <v>F&amp;BCmO</v>
      </c>
      <c r="H383" s="245" t="str">
        <f>H340</f>
        <v>BmO</v>
      </c>
      <c r="I383" s="244"/>
      <c r="J383" s="171"/>
      <c r="K383" s="171"/>
      <c r="L383" s="228"/>
      <c r="M383" s="227"/>
      <c r="N383" s="206"/>
    </row>
    <row r="384" spans="1:14" ht="19" thickTop="1" x14ac:dyDescent="0.3">
      <c r="A384" s="1344"/>
      <c r="B384" s="171"/>
      <c r="C384" s="233"/>
      <c r="D384" s="243" t="str">
        <f>D341</f>
        <v>OFFRE TOTALE AVEC LES GÂTERIES ET LES CAFÉS GÂTERIES</v>
      </c>
      <c r="E384" s="242"/>
      <c r="F384" s="242"/>
      <c r="G384" s="241"/>
      <c r="H384" s="240"/>
      <c r="I384" s="239"/>
      <c r="J384" s="171"/>
      <c r="K384" s="171"/>
      <c r="L384" s="228"/>
      <c r="M384" s="227"/>
      <c r="N384" s="206"/>
    </row>
    <row r="385" spans="1:14" ht="19" x14ac:dyDescent="0.35">
      <c r="A385" s="1344"/>
      <c r="B385" s="171"/>
      <c r="C385" s="233"/>
      <c r="D385" s="238" t="str">
        <f>D342</f>
        <v>CmO—PmO—F&amp;B cost moyen offert—Marge brute</v>
      </c>
      <c r="E385" s="237">
        <f>+(E353+E354+E355+E356+E357+E358+E359+E360+E361+E362+E363+E364+E368+E369+E370+E371+E372+E373+E374+E375+E376+E377+E378+E379)/B379</f>
        <v>2.1649999999999996</v>
      </c>
      <c r="F385" s="237">
        <f>+(F353+F354+F355+F356+F357+F358+F359+F360+F361+F362+F363+F364+F368+F369+F370+F371+F372+F373+F374+F375+F376+F377+F378+F379)/B379</f>
        <v>7.1749999999999998</v>
      </c>
      <c r="G385" s="236">
        <f>E385/F385</f>
        <v>0.30174216027874562</v>
      </c>
      <c r="H385" s="235">
        <f>F385-E385</f>
        <v>5.01</v>
      </c>
      <c r="I385" s="234"/>
      <c r="J385" s="171"/>
      <c r="K385" s="171"/>
      <c r="L385" s="228">
        <f>+L365+L380</f>
        <v>2.2000000000000002</v>
      </c>
      <c r="M385" s="227">
        <f>'% Occupation'!L19</f>
        <v>5755</v>
      </c>
      <c r="N385" s="206"/>
    </row>
    <row r="386" spans="1:14" ht="18" x14ac:dyDescent="0.3">
      <c r="A386" s="1344"/>
      <c r="B386" s="171"/>
      <c r="C386" s="233"/>
      <c r="D386" s="171"/>
      <c r="E386" s="232"/>
      <c r="F386" s="232"/>
      <c r="G386" s="231"/>
      <c r="H386" s="230"/>
      <c r="I386" s="229"/>
      <c r="J386" s="171"/>
      <c r="K386" s="171"/>
      <c r="L386" s="228"/>
      <c r="M386" s="227"/>
      <c r="N386" s="206"/>
    </row>
    <row r="387" spans="1:14" ht="19" thickBot="1" x14ac:dyDescent="0.35">
      <c r="A387" s="1344"/>
      <c r="B387" s="171"/>
      <c r="C387" s="226"/>
      <c r="D387" s="225"/>
      <c r="E387" s="224"/>
      <c r="F387" s="224"/>
      <c r="G387" s="223"/>
      <c r="H387" s="222"/>
      <c r="I387" s="221"/>
      <c r="J387" s="171"/>
      <c r="K387" s="171"/>
      <c r="L387" s="220"/>
      <c r="M387" s="219"/>
      <c r="N387" s="206"/>
    </row>
    <row r="388" spans="1:14" ht="19" thickTop="1" x14ac:dyDescent="0.3">
      <c r="A388" s="1344"/>
      <c r="L388" s="209"/>
      <c r="M388" s="207"/>
      <c r="N388" s="206"/>
    </row>
    <row r="389" spans="1:14" ht="23" x14ac:dyDescent="0.3">
      <c r="A389" s="1344"/>
      <c r="D389" s="284" t="s">
        <v>84</v>
      </c>
      <c r="F389" s="280"/>
      <c r="L389" s="209"/>
      <c r="M389" s="207"/>
      <c r="N389" s="206"/>
    </row>
    <row r="390" spans="1:14" ht="24" thickBot="1" x14ac:dyDescent="0.35">
      <c r="A390" s="1344"/>
      <c r="D390" s="282"/>
      <c r="L390" s="209"/>
      <c r="M390" s="207"/>
      <c r="N390" s="206"/>
    </row>
    <row r="391" spans="1:14" ht="23" customHeight="1" thickTop="1" x14ac:dyDescent="0.25">
      <c r="A391" s="1344"/>
      <c r="D391" s="282"/>
      <c r="E391" s="1335" t="str">
        <f>E348</f>
        <v>Coûts des ressources alimentaires pour chaque produit offert (voir recettes standardisées)</v>
      </c>
      <c r="F391" s="1335" t="str">
        <f>F348</f>
        <v>Prix de vente par produit offert</v>
      </c>
      <c r="G391" s="1335" t="str">
        <f>G348</f>
        <v xml:space="preserve">« Food &amp; Beverage Cost » </v>
      </c>
      <c r="H391" s="1335" t="str">
        <f>H348</f>
        <v>Marge brute gagnée sur la vente de chaque produit offert</v>
      </c>
      <c r="I391" s="283"/>
      <c r="L391" s="1329" t="s">
        <v>79</v>
      </c>
      <c r="M391" s="1329" t="s">
        <v>78</v>
      </c>
      <c r="N391" s="206"/>
    </row>
    <row r="392" spans="1:14" ht="22" x14ac:dyDescent="0.25">
      <c r="A392" s="1344"/>
      <c r="D392" s="282"/>
      <c r="E392" s="1336"/>
      <c r="F392" s="1338"/>
      <c r="G392" s="1338"/>
      <c r="H392" s="1338"/>
      <c r="I392" s="281"/>
      <c r="L392" s="1330"/>
      <c r="M392" s="1340"/>
      <c r="N392" s="206"/>
    </row>
    <row r="393" spans="1:14" ht="14" customHeight="1" thickBot="1" x14ac:dyDescent="0.25">
      <c r="A393" s="1344"/>
      <c r="E393" s="1337"/>
      <c r="F393" s="1339"/>
      <c r="G393" s="1339"/>
      <c r="H393" s="1339"/>
      <c r="I393" s="281"/>
      <c r="L393" s="1331"/>
      <c r="M393" s="1341"/>
      <c r="N393" s="206"/>
    </row>
    <row r="394" spans="1:14" ht="20" thickTop="1" thickBot="1" x14ac:dyDescent="0.35">
      <c r="A394" s="1344"/>
      <c r="B394" s="138" t="s">
        <v>1</v>
      </c>
      <c r="E394" s="280"/>
      <c r="F394" s="280"/>
      <c r="G394" s="279"/>
      <c r="L394" s="209"/>
      <c r="M394" s="207"/>
      <c r="N394" s="206"/>
    </row>
    <row r="395" spans="1:14" ht="19" thickTop="1" x14ac:dyDescent="0.3">
      <c r="A395" s="1344"/>
      <c r="B395" s="171"/>
      <c r="C395" s="171"/>
      <c r="D395" s="238" t="str">
        <f t="shared" ref="D395:D408" si="85">D352</f>
        <v>Les Petite Gâteries</v>
      </c>
      <c r="E395" s="261"/>
      <c r="F395" s="261"/>
      <c r="G395" s="241"/>
      <c r="H395" s="171"/>
      <c r="I395" s="171"/>
      <c r="J395" s="171"/>
      <c r="K395" s="171"/>
      <c r="L395" s="278"/>
      <c r="M395" s="277"/>
      <c r="N395" s="206"/>
    </row>
    <row r="396" spans="1:14" ht="18" x14ac:dyDescent="0.3">
      <c r="A396" s="1344"/>
      <c r="B396" s="171">
        <f t="shared" ref="B396:C407" si="86">B353</f>
        <v>1</v>
      </c>
      <c r="C396" s="171">
        <f t="shared" si="86"/>
        <v>1</v>
      </c>
      <c r="D396" s="171" t="str">
        <f t="shared" si="85"/>
        <v>Petite Gâterie 1</v>
      </c>
      <c r="E396" s="265">
        <f t="shared" ref="E396:F407" si="87">E353</f>
        <v>1.21</v>
      </c>
      <c r="F396" s="273">
        <f t="shared" si="87"/>
        <v>3.3</v>
      </c>
      <c r="G396" s="263">
        <f t="shared" ref="G396:G408" si="88">E396/F396</f>
        <v>0.3666666666666667</v>
      </c>
      <c r="H396" s="262">
        <f t="shared" ref="H396:H408" si="89">F396-E396</f>
        <v>2.09</v>
      </c>
      <c r="I396" s="261">
        <f>F396</f>
        <v>3.3</v>
      </c>
      <c r="J396" s="1342">
        <f>3/12</f>
        <v>0.25</v>
      </c>
      <c r="K396" s="266"/>
      <c r="L396" s="276"/>
      <c r="M396" s="227"/>
      <c r="N396" s="206"/>
    </row>
    <row r="397" spans="1:14" ht="18" x14ac:dyDescent="0.3">
      <c r="A397" s="1344"/>
      <c r="B397" s="171">
        <f t="shared" si="86"/>
        <v>2</v>
      </c>
      <c r="C397" s="171">
        <f t="shared" si="86"/>
        <v>2</v>
      </c>
      <c r="D397" s="171" t="str">
        <f t="shared" si="85"/>
        <v>Petite Gâterie 2</v>
      </c>
      <c r="E397" s="265">
        <f t="shared" si="87"/>
        <v>1.31</v>
      </c>
      <c r="F397" s="264">
        <f t="shared" si="87"/>
        <v>3.8</v>
      </c>
      <c r="G397" s="263">
        <f t="shared" si="88"/>
        <v>0.34473684210526317</v>
      </c>
      <c r="H397" s="262">
        <f t="shared" si="89"/>
        <v>2.4899999999999998</v>
      </c>
      <c r="I397" s="261"/>
      <c r="J397" s="1333"/>
      <c r="K397" s="260"/>
      <c r="L397" s="228"/>
      <c r="M397" s="227"/>
      <c r="N397" s="206"/>
    </row>
    <row r="398" spans="1:14" ht="19" thickBot="1" x14ac:dyDescent="0.35">
      <c r="A398" s="1344"/>
      <c r="B398" s="272">
        <f t="shared" si="86"/>
        <v>3</v>
      </c>
      <c r="C398" s="272">
        <f t="shared" si="86"/>
        <v>3</v>
      </c>
      <c r="D398" s="272" t="str">
        <f t="shared" si="85"/>
        <v>Petite Gâterie 3</v>
      </c>
      <c r="E398" s="271">
        <f t="shared" si="87"/>
        <v>1.35</v>
      </c>
      <c r="F398" s="270">
        <f t="shared" si="87"/>
        <v>4</v>
      </c>
      <c r="G398" s="269">
        <f t="shared" si="88"/>
        <v>0.33750000000000002</v>
      </c>
      <c r="H398" s="268">
        <f t="shared" si="89"/>
        <v>2.65</v>
      </c>
      <c r="I398" s="267">
        <f>+I396+1.066667</f>
        <v>4.3666669999999996</v>
      </c>
      <c r="J398" s="1334"/>
      <c r="K398" s="260"/>
      <c r="L398" s="228"/>
      <c r="M398" s="227"/>
      <c r="N398" s="206"/>
    </row>
    <row r="399" spans="1:14" ht="18" x14ac:dyDescent="0.3">
      <c r="A399" s="1344"/>
      <c r="B399" s="171">
        <f t="shared" si="86"/>
        <v>4</v>
      </c>
      <c r="C399" s="171">
        <f t="shared" si="86"/>
        <v>4</v>
      </c>
      <c r="D399" s="171" t="str">
        <f t="shared" si="85"/>
        <v>Petite Gâterie 4</v>
      </c>
      <c r="E399" s="265">
        <f t="shared" si="87"/>
        <v>1.4</v>
      </c>
      <c r="F399" s="264">
        <f t="shared" si="87"/>
        <v>4.5</v>
      </c>
      <c r="G399" s="263">
        <f t="shared" si="88"/>
        <v>0.31111111111111112</v>
      </c>
      <c r="H399" s="262">
        <f t="shared" si="89"/>
        <v>3.1</v>
      </c>
      <c r="I399" s="261">
        <f>+I398+0.01</f>
        <v>4.3766669999999994</v>
      </c>
      <c r="J399" s="1332">
        <f>7/12</f>
        <v>0.58333333333333337</v>
      </c>
      <c r="K399" s="266"/>
      <c r="L399" s="228"/>
      <c r="M399" s="227"/>
      <c r="N399" s="206"/>
    </row>
    <row r="400" spans="1:14" ht="18" x14ac:dyDescent="0.3">
      <c r="A400" s="1344"/>
      <c r="B400" s="171">
        <f t="shared" si="86"/>
        <v>5</v>
      </c>
      <c r="C400" s="171">
        <f t="shared" si="86"/>
        <v>5</v>
      </c>
      <c r="D400" s="171" t="str">
        <f t="shared" si="85"/>
        <v>Petite Gâterie 5</v>
      </c>
      <c r="E400" s="265">
        <f t="shared" si="87"/>
        <v>1.24</v>
      </c>
      <c r="F400" s="264">
        <f t="shared" si="87"/>
        <v>4.5999999999999996</v>
      </c>
      <c r="G400" s="263">
        <f t="shared" si="88"/>
        <v>0.26956521739130435</v>
      </c>
      <c r="H400" s="262">
        <f t="shared" si="89"/>
        <v>3.3599999999999994</v>
      </c>
      <c r="I400" s="261"/>
      <c r="J400" s="1333"/>
      <c r="K400" s="260"/>
      <c r="L400" s="228"/>
      <c r="M400" s="227"/>
      <c r="N400" s="206"/>
    </row>
    <row r="401" spans="1:14" ht="18" x14ac:dyDescent="0.3">
      <c r="A401" s="1344"/>
      <c r="B401" s="171">
        <f t="shared" si="86"/>
        <v>6</v>
      </c>
      <c r="C401" s="171">
        <f t="shared" si="86"/>
        <v>6</v>
      </c>
      <c r="D401" s="171" t="str">
        <f t="shared" si="85"/>
        <v>Petite Gâterie 6</v>
      </c>
      <c r="E401" s="265">
        <f t="shared" si="87"/>
        <v>1.39</v>
      </c>
      <c r="F401" s="264">
        <f t="shared" si="87"/>
        <v>4.7</v>
      </c>
      <c r="G401" s="263">
        <f t="shared" si="88"/>
        <v>0.29574468085106381</v>
      </c>
      <c r="H401" s="262">
        <f t="shared" si="89"/>
        <v>3.3100000000000005</v>
      </c>
      <c r="I401" s="261"/>
      <c r="J401" s="1333"/>
      <c r="K401" s="260"/>
      <c r="L401" s="228"/>
      <c r="M401" s="227"/>
      <c r="N401" s="206"/>
    </row>
    <row r="402" spans="1:14" ht="18" x14ac:dyDescent="0.3">
      <c r="A402" s="1344"/>
      <c r="B402" s="171">
        <f t="shared" si="86"/>
        <v>7</v>
      </c>
      <c r="C402" s="171">
        <f t="shared" si="86"/>
        <v>7</v>
      </c>
      <c r="D402" s="171" t="str">
        <f t="shared" si="85"/>
        <v>Petite Gâterie 7</v>
      </c>
      <c r="E402" s="265">
        <f t="shared" si="87"/>
        <v>1.51</v>
      </c>
      <c r="F402" s="264">
        <f t="shared" si="87"/>
        <v>4.8</v>
      </c>
      <c r="G402" s="263">
        <f t="shared" si="88"/>
        <v>0.31458333333333333</v>
      </c>
      <c r="H402" s="262">
        <f t="shared" si="89"/>
        <v>3.29</v>
      </c>
      <c r="I402" s="261"/>
      <c r="J402" s="1333"/>
      <c r="K402" s="260"/>
      <c r="L402" s="228"/>
      <c r="M402" s="227"/>
      <c r="N402" s="206"/>
    </row>
    <row r="403" spans="1:14" ht="18" x14ac:dyDescent="0.3">
      <c r="A403" s="1344"/>
      <c r="B403" s="171">
        <f t="shared" si="86"/>
        <v>8</v>
      </c>
      <c r="C403" s="171">
        <f t="shared" si="86"/>
        <v>8</v>
      </c>
      <c r="D403" s="171" t="str">
        <f t="shared" si="85"/>
        <v>Petite Gâterie 8</v>
      </c>
      <c r="E403" s="265">
        <f t="shared" si="87"/>
        <v>1.53</v>
      </c>
      <c r="F403" s="264">
        <f t="shared" si="87"/>
        <v>4.9000000000000004</v>
      </c>
      <c r="G403" s="263">
        <f t="shared" si="88"/>
        <v>0.31224489795918364</v>
      </c>
      <c r="H403" s="262">
        <f t="shared" si="89"/>
        <v>3.37</v>
      </c>
      <c r="I403" s="261"/>
      <c r="J403" s="1333"/>
      <c r="K403" s="260"/>
      <c r="L403" s="228"/>
      <c r="M403" s="227"/>
      <c r="N403" s="206"/>
    </row>
    <row r="404" spans="1:14" ht="18" x14ac:dyDescent="0.3">
      <c r="A404" s="1344"/>
      <c r="B404" s="171">
        <f t="shared" si="86"/>
        <v>9</v>
      </c>
      <c r="C404" s="171">
        <f t="shared" si="86"/>
        <v>9</v>
      </c>
      <c r="D404" s="171" t="str">
        <f t="shared" si="85"/>
        <v>Petite Gâterie 9</v>
      </c>
      <c r="E404" s="265">
        <f t="shared" si="87"/>
        <v>1.55</v>
      </c>
      <c r="F404" s="264">
        <f t="shared" si="87"/>
        <v>5</v>
      </c>
      <c r="G404" s="263">
        <f t="shared" si="88"/>
        <v>0.31</v>
      </c>
      <c r="H404" s="262">
        <f t="shared" si="89"/>
        <v>3.45</v>
      </c>
      <c r="I404" s="261"/>
      <c r="J404" s="1333"/>
      <c r="K404" s="260"/>
      <c r="L404" s="228"/>
      <c r="M404" s="227"/>
      <c r="N404" s="206"/>
    </row>
    <row r="405" spans="1:14" ht="19" thickBot="1" x14ac:dyDescent="0.35">
      <c r="A405" s="1344"/>
      <c r="B405" s="272">
        <f t="shared" si="86"/>
        <v>10</v>
      </c>
      <c r="C405" s="272">
        <f t="shared" si="86"/>
        <v>10</v>
      </c>
      <c r="D405" s="272" t="str">
        <f t="shared" si="85"/>
        <v>Petite Gâterie 10</v>
      </c>
      <c r="E405" s="271">
        <f t="shared" si="87"/>
        <v>1.59</v>
      </c>
      <c r="F405" s="270">
        <f t="shared" si="87"/>
        <v>5.2</v>
      </c>
      <c r="G405" s="269">
        <f t="shared" si="88"/>
        <v>0.30576923076923079</v>
      </c>
      <c r="H405" s="268">
        <f t="shared" si="89"/>
        <v>3.6100000000000003</v>
      </c>
      <c r="I405" s="267">
        <f>+I398+1.066667</f>
        <v>5.4333339999999994</v>
      </c>
      <c r="J405" s="1334"/>
      <c r="K405" s="260"/>
      <c r="L405" s="228"/>
      <c r="M405" s="227"/>
      <c r="N405" s="206"/>
    </row>
    <row r="406" spans="1:14" ht="18" x14ac:dyDescent="0.3">
      <c r="A406" s="1344"/>
      <c r="B406" s="171">
        <f t="shared" si="86"/>
        <v>11</v>
      </c>
      <c r="C406" s="171">
        <f t="shared" si="86"/>
        <v>11</v>
      </c>
      <c r="D406" s="171" t="str">
        <f t="shared" si="85"/>
        <v>Petite Gâterie 11</v>
      </c>
      <c r="E406" s="265">
        <f t="shared" si="87"/>
        <v>1.83</v>
      </c>
      <c r="F406" s="264">
        <f t="shared" si="87"/>
        <v>6.4</v>
      </c>
      <c r="G406" s="263">
        <f t="shared" si="88"/>
        <v>0.28593750000000001</v>
      </c>
      <c r="H406" s="262">
        <f t="shared" si="89"/>
        <v>4.57</v>
      </c>
      <c r="I406" s="261">
        <f>+I405+0.01</f>
        <v>5.4433339999999992</v>
      </c>
      <c r="J406" s="1332">
        <f>2/12</f>
        <v>0.16666666666666666</v>
      </c>
      <c r="K406" s="266"/>
      <c r="L406" s="228"/>
      <c r="M406" s="227"/>
      <c r="N406" s="206"/>
    </row>
    <row r="407" spans="1:14" ht="18" x14ac:dyDescent="0.3">
      <c r="A407" s="1344"/>
      <c r="B407" s="171">
        <f t="shared" si="86"/>
        <v>12</v>
      </c>
      <c r="C407" s="171">
        <f t="shared" si="86"/>
        <v>12</v>
      </c>
      <c r="D407" s="171" t="str">
        <f t="shared" si="85"/>
        <v>Petite Gâterie 12</v>
      </c>
      <c r="E407" s="265">
        <f t="shared" si="87"/>
        <v>1.87</v>
      </c>
      <c r="F407" s="264">
        <f t="shared" si="87"/>
        <v>6.6</v>
      </c>
      <c r="G407" s="263">
        <f t="shared" si="88"/>
        <v>0.28333333333333338</v>
      </c>
      <c r="H407" s="262">
        <f t="shared" si="89"/>
        <v>4.7299999999999995</v>
      </c>
      <c r="I407" s="261">
        <f>F407</f>
        <v>6.6</v>
      </c>
      <c r="J407" s="1333"/>
      <c r="K407" s="260"/>
      <c r="L407" s="228"/>
      <c r="M407" s="227"/>
      <c r="N407" s="206"/>
    </row>
    <row r="408" spans="1:14" ht="19" x14ac:dyDescent="0.35">
      <c r="A408" s="1344"/>
      <c r="B408" s="171"/>
      <c r="C408" s="171"/>
      <c r="D408" s="238" t="str">
        <f t="shared" si="85"/>
        <v>CmO—PmO—Food Cost—BmO</v>
      </c>
      <c r="E408" s="259">
        <f>SUM(E396:E407)/C407</f>
        <v>1.4816666666666667</v>
      </c>
      <c r="F408" s="259">
        <f>SUM(F396:F407)/C407</f>
        <v>4.8166666666666673</v>
      </c>
      <c r="G408" s="274">
        <f t="shared" si="88"/>
        <v>0.30761245674740478</v>
      </c>
      <c r="H408" s="257">
        <f t="shared" si="89"/>
        <v>3.3350000000000009</v>
      </c>
      <c r="I408" s="256"/>
      <c r="J408" s="171"/>
      <c r="K408" s="171"/>
      <c r="L408" s="1022">
        <v>1.1499999999999999</v>
      </c>
      <c r="M408" s="227" t="s">
        <v>1</v>
      </c>
      <c r="N408" s="206"/>
    </row>
    <row r="409" spans="1:14" ht="18" x14ac:dyDescent="0.3">
      <c r="A409" s="1344"/>
      <c r="B409" s="171" t="s">
        <v>1</v>
      </c>
      <c r="C409" s="171"/>
      <c r="D409" s="171"/>
      <c r="E409" s="242"/>
      <c r="F409" s="242"/>
      <c r="G409" s="263"/>
      <c r="H409" s="240"/>
      <c r="I409" s="261"/>
      <c r="J409" s="171"/>
      <c r="K409" s="171"/>
      <c r="L409" s="228"/>
      <c r="M409" s="227"/>
      <c r="N409" s="206"/>
    </row>
    <row r="410" spans="1:14" ht="18" x14ac:dyDescent="0.3">
      <c r="A410" s="1344"/>
      <c r="B410" s="171"/>
      <c r="C410" s="171"/>
      <c r="D410" s="238" t="str">
        <f t="shared" ref="D410:D423" si="90">D367</f>
        <v>Les Boissons  Gâteries</v>
      </c>
      <c r="E410" s="242"/>
      <c r="F410" s="242"/>
      <c r="G410" s="263"/>
      <c r="H410" s="240"/>
      <c r="I410" s="261"/>
      <c r="J410" s="171"/>
      <c r="K410" s="171"/>
      <c r="L410" s="228"/>
      <c r="M410" s="227"/>
      <c r="N410" s="206"/>
    </row>
    <row r="411" spans="1:14" ht="18" x14ac:dyDescent="0.3">
      <c r="A411" s="1344"/>
      <c r="B411" s="171">
        <f t="shared" ref="B411:C422" si="91">B368</f>
        <v>13</v>
      </c>
      <c r="C411" s="171">
        <f t="shared" si="91"/>
        <v>1</v>
      </c>
      <c r="D411" s="171" t="str">
        <f t="shared" si="90"/>
        <v>Boisson spécial numéro 1</v>
      </c>
      <c r="E411" s="265">
        <f t="shared" ref="E411:F422" si="92">E368</f>
        <v>2.2799999999999998</v>
      </c>
      <c r="F411" s="273">
        <f t="shared" si="92"/>
        <v>6.6</v>
      </c>
      <c r="G411" s="263">
        <f t="shared" ref="G411:G423" si="93">E411/F411</f>
        <v>0.34545454545454546</v>
      </c>
      <c r="H411" s="262">
        <f t="shared" ref="H411:H423" si="94">F411-E411</f>
        <v>4.32</v>
      </c>
      <c r="I411" s="261">
        <f>F411</f>
        <v>6.6</v>
      </c>
      <c r="J411" s="1342">
        <f>3/12</f>
        <v>0.25</v>
      </c>
      <c r="K411" s="266"/>
      <c r="L411" s="228"/>
      <c r="M411" s="227"/>
      <c r="N411" s="206"/>
    </row>
    <row r="412" spans="1:14" ht="18" x14ac:dyDescent="0.3">
      <c r="A412" s="1344"/>
      <c r="B412" s="171">
        <f t="shared" si="91"/>
        <v>14</v>
      </c>
      <c r="C412" s="171">
        <f t="shared" si="91"/>
        <v>2</v>
      </c>
      <c r="D412" s="171" t="str">
        <f t="shared" si="90"/>
        <v>Boisson spécial numéro 2</v>
      </c>
      <c r="E412" s="265">
        <f t="shared" si="92"/>
        <v>2.66</v>
      </c>
      <c r="F412" s="273">
        <f t="shared" si="92"/>
        <v>7.6</v>
      </c>
      <c r="G412" s="263">
        <f t="shared" si="93"/>
        <v>0.35000000000000003</v>
      </c>
      <c r="H412" s="262">
        <f t="shared" si="94"/>
        <v>4.9399999999999995</v>
      </c>
      <c r="I412" s="261"/>
      <c r="J412" s="1333"/>
      <c r="K412" s="260"/>
      <c r="L412" s="228"/>
      <c r="M412" s="227"/>
      <c r="N412" s="206"/>
    </row>
    <row r="413" spans="1:14" ht="19" thickBot="1" x14ac:dyDescent="0.35">
      <c r="A413" s="1344"/>
      <c r="B413" s="272">
        <f t="shared" si="91"/>
        <v>15</v>
      </c>
      <c r="C413" s="272">
        <f t="shared" si="91"/>
        <v>3</v>
      </c>
      <c r="D413" s="272" t="str">
        <f t="shared" si="90"/>
        <v>Boisson spécial numéro 3</v>
      </c>
      <c r="E413" s="271">
        <f t="shared" si="92"/>
        <v>2.74</v>
      </c>
      <c r="F413" s="275">
        <f t="shared" si="92"/>
        <v>8</v>
      </c>
      <c r="G413" s="269">
        <f t="shared" si="93"/>
        <v>0.34250000000000003</v>
      </c>
      <c r="H413" s="268">
        <f t="shared" si="94"/>
        <v>5.26</v>
      </c>
      <c r="I413" s="267">
        <f>+I411+2.1</f>
        <v>8.6999999999999993</v>
      </c>
      <c r="J413" s="1334"/>
      <c r="K413" s="260"/>
      <c r="L413" s="228"/>
      <c r="M413" s="227"/>
      <c r="N413" s="206"/>
    </row>
    <row r="414" spans="1:14" ht="18" x14ac:dyDescent="0.3">
      <c r="A414" s="1344"/>
      <c r="B414" s="171">
        <f t="shared" si="91"/>
        <v>16</v>
      </c>
      <c r="C414" s="171">
        <f t="shared" si="91"/>
        <v>4</v>
      </c>
      <c r="D414" s="171" t="str">
        <f t="shared" si="90"/>
        <v>Boisson spécial numéro 4</v>
      </c>
      <c r="E414" s="265">
        <f t="shared" si="92"/>
        <v>2.72</v>
      </c>
      <c r="F414" s="273">
        <f t="shared" si="92"/>
        <v>9</v>
      </c>
      <c r="G414" s="263">
        <f t="shared" si="93"/>
        <v>0.30222222222222223</v>
      </c>
      <c r="H414" s="262">
        <f t="shared" si="94"/>
        <v>6.2799999999999994</v>
      </c>
      <c r="I414" s="261">
        <f>+I413+0.01</f>
        <v>8.7099999999999991</v>
      </c>
      <c r="J414" s="1342">
        <f>7/12</f>
        <v>0.58333333333333337</v>
      </c>
      <c r="K414" s="266"/>
      <c r="L414" s="228"/>
      <c r="M414" s="227"/>
      <c r="N414" s="206"/>
    </row>
    <row r="415" spans="1:14" ht="18" x14ac:dyDescent="0.3">
      <c r="A415" s="1344"/>
      <c r="B415" s="171">
        <f t="shared" si="91"/>
        <v>17</v>
      </c>
      <c r="C415" s="171">
        <f t="shared" si="91"/>
        <v>5</v>
      </c>
      <c r="D415" s="171" t="str">
        <f t="shared" si="90"/>
        <v>Boisson spécial numéro 5</v>
      </c>
      <c r="E415" s="265">
        <f t="shared" si="92"/>
        <v>2.76</v>
      </c>
      <c r="F415" s="273">
        <f t="shared" si="92"/>
        <v>9.1999999999999993</v>
      </c>
      <c r="G415" s="263">
        <f t="shared" si="93"/>
        <v>0.3</v>
      </c>
      <c r="H415" s="262">
        <f t="shared" si="94"/>
        <v>6.4399999999999995</v>
      </c>
      <c r="I415" s="261"/>
      <c r="J415" s="1333"/>
      <c r="K415" s="260"/>
      <c r="L415" s="228"/>
      <c r="M415" s="227"/>
      <c r="N415" s="206"/>
    </row>
    <row r="416" spans="1:14" ht="18" x14ac:dyDescent="0.3">
      <c r="A416" s="1344"/>
      <c r="B416" s="171">
        <f t="shared" si="91"/>
        <v>18</v>
      </c>
      <c r="C416" s="171">
        <f t="shared" si="91"/>
        <v>6</v>
      </c>
      <c r="D416" s="171" t="str">
        <f t="shared" si="90"/>
        <v>Boisson spécial numéro 6</v>
      </c>
      <c r="E416" s="265">
        <f t="shared" si="92"/>
        <v>2.8</v>
      </c>
      <c r="F416" s="264">
        <f t="shared" si="92"/>
        <v>9.4</v>
      </c>
      <c r="G416" s="263">
        <f t="shared" si="93"/>
        <v>0.2978723404255319</v>
      </c>
      <c r="H416" s="262">
        <f t="shared" si="94"/>
        <v>6.6000000000000005</v>
      </c>
      <c r="I416" s="261"/>
      <c r="J416" s="1333"/>
      <c r="K416" s="260"/>
      <c r="L416" s="228"/>
      <c r="M416" s="227"/>
      <c r="N416" s="206"/>
    </row>
    <row r="417" spans="1:14" ht="18" x14ac:dyDescent="0.3">
      <c r="A417" s="1344"/>
      <c r="B417" s="171">
        <f t="shared" si="91"/>
        <v>19</v>
      </c>
      <c r="C417" s="171">
        <f t="shared" si="91"/>
        <v>7</v>
      </c>
      <c r="D417" s="171" t="str">
        <f t="shared" si="90"/>
        <v>Boisson spécial numéro 7</v>
      </c>
      <c r="E417" s="265">
        <f t="shared" si="92"/>
        <v>2.82</v>
      </c>
      <c r="F417" s="264">
        <f t="shared" si="92"/>
        <v>9.6</v>
      </c>
      <c r="G417" s="263">
        <f t="shared" si="93"/>
        <v>0.29375000000000001</v>
      </c>
      <c r="H417" s="262">
        <f t="shared" si="94"/>
        <v>6.7799999999999994</v>
      </c>
      <c r="I417" s="261"/>
      <c r="J417" s="1333"/>
      <c r="K417" s="260"/>
      <c r="L417" s="228"/>
      <c r="M417" s="227"/>
      <c r="N417" s="206"/>
    </row>
    <row r="418" spans="1:14" ht="18" x14ac:dyDescent="0.3">
      <c r="A418" s="1344"/>
      <c r="B418" s="171">
        <f t="shared" si="91"/>
        <v>20</v>
      </c>
      <c r="C418" s="171">
        <f t="shared" si="91"/>
        <v>8</v>
      </c>
      <c r="D418" s="171" t="str">
        <f t="shared" si="90"/>
        <v>Boisson spécial numéro 8</v>
      </c>
      <c r="E418" s="265">
        <f t="shared" si="92"/>
        <v>2.86</v>
      </c>
      <c r="F418" s="264">
        <f t="shared" si="92"/>
        <v>9.8000000000000007</v>
      </c>
      <c r="G418" s="263">
        <f t="shared" si="93"/>
        <v>0.2918367346938775</v>
      </c>
      <c r="H418" s="262">
        <f t="shared" si="94"/>
        <v>6.9400000000000013</v>
      </c>
      <c r="I418" s="261"/>
      <c r="J418" s="1333"/>
      <c r="K418" s="260"/>
      <c r="L418" s="228"/>
      <c r="M418" s="227"/>
      <c r="N418" s="206"/>
    </row>
    <row r="419" spans="1:14" ht="18" x14ac:dyDescent="0.3">
      <c r="A419" s="1344"/>
      <c r="B419" s="171">
        <f t="shared" si="91"/>
        <v>21</v>
      </c>
      <c r="C419" s="171">
        <f t="shared" si="91"/>
        <v>9</v>
      </c>
      <c r="D419" s="171" t="str">
        <f t="shared" si="90"/>
        <v>Boisson spécial numéro 9</v>
      </c>
      <c r="E419" s="265">
        <f t="shared" si="92"/>
        <v>2.9</v>
      </c>
      <c r="F419" s="264">
        <f t="shared" si="92"/>
        <v>10</v>
      </c>
      <c r="G419" s="263">
        <f t="shared" si="93"/>
        <v>0.28999999999999998</v>
      </c>
      <c r="H419" s="262">
        <f t="shared" si="94"/>
        <v>7.1</v>
      </c>
      <c r="I419" s="261"/>
      <c r="J419" s="1333"/>
      <c r="K419" s="260"/>
      <c r="L419" s="228"/>
      <c r="M419" s="227"/>
      <c r="N419" s="206"/>
    </row>
    <row r="420" spans="1:14" ht="19" thickBot="1" x14ac:dyDescent="0.35">
      <c r="A420" s="1344"/>
      <c r="B420" s="272">
        <f t="shared" si="91"/>
        <v>22</v>
      </c>
      <c r="C420" s="272">
        <f t="shared" si="91"/>
        <v>10</v>
      </c>
      <c r="D420" s="272" t="str">
        <f t="shared" si="90"/>
        <v>Boisson spécial numéro 10</v>
      </c>
      <c r="E420" s="271">
        <f t="shared" si="92"/>
        <v>2.98</v>
      </c>
      <c r="F420" s="270">
        <f t="shared" si="92"/>
        <v>10.4</v>
      </c>
      <c r="G420" s="269">
        <f t="shared" si="93"/>
        <v>0.28653846153846152</v>
      </c>
      <c r="H420" s="268">
        <f t="shared" si="94"/>
        <v>7.42</v>
      </c>
      <c r="I420" s="267">
        <f>+I413+2.1</f>
        <v>10.799999999999999</v>
      </c>
      <c r="J420" s="1334"/>
      <c r="K420" s="260"/>
      <c r="L420" s="228"/>
      <c r="M420" s="227"/>
      <c r="N420" s="206"/>
    </row>
    <row r="421" spans="1:14" ht="18" x14ac:dyDescent="0.3">
      <c r="A421" s="1344"/>
      <c r="B421" s="171">
        <f t="shared" si="91"/>
        <v>23</v>
      </c>
      <c r="C421" s="171">
        <f t="shared" si="91"/>
        <v>11</v>
      </c>
      <c r="D421" s="171" t="str">
        <f t="shared" si="90"/>
        <v>Boisson spécial numéro 11</v>
      </c>
      <c r="E421" s="265">
        <f t="shared" si="92"/>
        <v>3.18</v>
      </c>
      <c r="F421" s="264">
        <f t="shared" si="92"/>
        <v>11.6</v>
      </c>
      <c r="G421" s="263">
        <f t="shared" si="93"/>
        <v>0.27413793103448281</v>
      </c>
      <c r="H421" s="262">
        <f t="shared" si="94"/>
        <v>8.42</v>
      </c>
      <c r="I421" s="261">
        <f>+I420+0.01</f>
        <v>10.809999999999999</v>
      </c>
      <c r="J421" s="1332">
        <f>2/12</f>
        <v>0.16666666666666666</v>
      </c>
      <c r="K421" s="266"/>
      <c r="L421" s="228"/>
      <c r="M421" s="227"/>
      <c r="N421" s="206"/>
    </row>
    <row r="422" spans="1:14" ht="18" x14ac:dyDescent="0.3">
      <c r="A422" s="1344"/>
      <c r="B422" s="171">
        <f t="shared" si="91"/>
        <v>24</v>
      </c>
      <c r="C422" s="171">
        <f t="shared" si="91"/>
        <v>12</v>
      </c>
      <c r="D422" s="171" t="str">
        <f t="shared" si="90"/>
        <v>Boisson spécial numéro 12</v>
      </c>
      <c r="E422" s="265">
        <f t="shared" si="92"/>
        <v>3.48</v>
      </c>
      <c r="F422" s="264">
        <f t="shared" si="92"/>
        <v>13.2</v>
      </c>
      <c r="G422" s="263">
        <f t="shared" si="93"/>
        <v>0.26363636363636367</v>
      </c>
      <c r="H422" s="262">
        <f t="shared" si="94"/>
        <v>9.7199999999999989</v>
      </c>
      <c r="I422" s="261">
        <f>F422</f>
        <v>13.2</v>
      </c>
      <c r="J422" s="1333"/>
      <c r="K422" s="260"/>
      <c r="L422" s="228"/>
      <c r="M422" s="227"/>
      <c r="N422" s="206"/>
    </row>
    <row r="423" spans="1:14" ht="19" x14ac:dyDescent="0.35">
      <c r="A423" s="1344"/>
      <c r="B423" s="171"/>
      <c r="C423" s="171"/>
      <c r="D423" s="238" t="str">
        <f t="shared" si="90"/>
        <v>CmO—PmO—Beverage Cost—Marge brute</v>
      </c>
      <c r="E423" s="259">
        <f>SUM(E411:E422)/C422</f>
        <v>2.8483333333333332</v>
      </c>
      <c r="F423" s="259">
        <f>SUM(F411:F422)/C422</f>
        <v>9.5333333333333332</v>
      </c>
      <c r="G423" s="258">
        <f t="shared" si="93"/>
        <v>0.29877622377622376</v>
      </c>
      <c r="H423" s="257">
        <f t="shared" si="94"/>
        <v>6.6850000000000005</v>
      </c>
      <c r="I423" s="256"/>
      <c r="J423" s="171"/>
      <c r="K423" s="171"/>
      <c r="L423" s="1022">
        <v>1.1499999999999999</v>
      </c>
      <c r="M423" s="227" t="s">
        <v>1</v>
      </c>
      <c r="N423" s="206"/>
    </row>
    <row r="424" spans="1:14" ht="19" thickBot="1" x14ac:dyDescent="0.35">
      <c r="A424" s="1344"/>
      <c r="B424" s="171"/>
      <c r="C424" s="171"/>
      <c r="D424" s="171"/>
      <c r="E424" s="242"/>
      <c r="F424" s="242"/>
      <c r="G424" s="241"/>
      <c r="H424" s="240"/>
      <c r="I424" s="171"/>
      <c r="J424" s="171"/>
      <c r="K424" s="171"/>
      <c r="L424" s="228"/>
      <c r="M424" s="227"/>
      <c r="N424" s="206"/>
    </row>
    <row r="425" spans="1:14" ht="21" thickTop="1" thickBot="1" x14ac:dyDescent="0.4">
      <c r="A425" s="1344"/>
      <c r="B425" s="171"/>
      <c r="C425" s="253"/>
      <c r="D425" s="252"/>
      <c r="E425" s="251"/>
      <c r="F425" s="251"/>
      <c r="G425" s="250"/>
      <c r="H425" s="249"/>
      <c r="I425" s="248"/>
      <c r="J425" s="171"/>
      <c r="K425" s="171"/>
      <c r="L425" s="228"/>
      <c r="M425" s="227"/>
      <c r="N425" s="206"/>
    </row>
    <row r="426" spans="1:14" ht="20" thickTop="1" thickBot="1" x14ac:dyDescent="0.35">
      <c r="A426" s="1344"/>
      <c r="B426" s="171"/>
      <c r="C426" s="233"/>
      <c r="D426" s="238"/>
      <c r="E426" s="247" t="str">
        <f>E383</f>
        <v>CmO</v>
      </c>
      <c r="F426" s="247" t="str">
        <f>F383</f>
        <v>PmO</v>
      </c>
      <c r="G426" s="246" t="str">
        <f>G383</f>
        <v>F&amp;BCmO</v>
      </c>
      <c r="H426" s="245" t="str">
        <f>H383</f>
        <v>BmO</v>
      </c>
      <c r="I426" s="244"/>
      <c r="J426" s="171"/>
      <c r="K426" s="171"/>
      <c r="L426" s="228"/>
      <c r="M426" s="227"/>
      <c r="N426" s="206"/>
    </row>
    <row r="427" spans="1:14" ht="19" thickTop="1" x14ac:dyDescent="0.3">
      <c r="A427" s="1344"/>
      <c r="B427" s="171"/>
      <c r="C427" s="233"/>
      <c r="D427" s="243" t="str">
        <f>D384</f>
        <v>OFFRE TOTALE AVEC LES GÂTERIES ET LES CAFÉS GÂTERIES</v>
      </c>
      <c r="E427" s="242"/>
      <c r="F427" s="242"/>
      <c r="G427" s="241"/>
      <c r="H427" s="240"/>
      <c r="I427" s="239"/>
      <c r="J427" s="171"/>
      <c r="K427" s="171"/>
      <c r="L427" s="228"/>
      <c r="M427" s="227"/>
      <c r="N427" s="206"/>
    </row>
    <row r="428" spans="1:14" ht="19" x14ac:dyDescent="0.35">
      <c r="A428" s="1344"/>
      <c r="B428" s="171"/>
      <c r="C428" s="233"/>
      <c r="D428" s="238" t="str">
        <f>D385</f>
        <v>CmO—PmO—F&amp;B cost moyen offert—Marge brute</v>
      </c>
      <c r="E428" s="237">
        <f>+(E396+E397+E398+E399+E400+E401+E402+E403+E404+E405+E406+E407+E411+E412+E413+E414+E415+E416+E417+E418+E419+E420+E421+E422)/B422</f>
        <v>2.1649999999999996</v>
      </c>
      <c r="F428" s="237">
        <f>+(F396+F397+F398+F399+F400+F401+F402+F403+F404+F405+F406+F407+F411+F412+F413+F414+F415+F416+F417+F418+F419+F420+F421+F422)/B422</f>
        <v>7.1749999999999998</v>
      </c>
      <c r="G428" s="236">
        <f>E428/F428</f>
        <v>0.30174216027874562</v>
      </c>
      <c r="H428" s="235">
        <f>F428-E428</f>
        <v>5.01</v>
      </c>
      <c r="I428" s="234"/>
      <c r="J428" s="171"/>
      <c r="K428" s="171"/>
      <c r="L428" s="228">
        <f>+L408+L423</f>
        <v>2.2999999999999998</v>
      </c>
      <c r="M428" s="227">
        <f>'% Occupation'!M19</f>
        <v>5755</v>
      </c>
      <c r="N428" s="206"/>
    </row>
    <row r="429" spans="1:14" ht="18" x14ac:dyDescent="0.3">
      <c r="A429" s="1344"/>
      <c r="B429" s="171"/>
      <c r="C429" s="233"/>
      <c r="D429" s="171"/>
      <c r="E429" s="232"/>
      <c r="F429" s="232"/>
      <c r="G429" s="231"/>
      <c r="H429" s="230"/>
      <c r="I429" s="229"/>
      <c r="J429" s="171"/>
      <c r="K429" s="171"/>
      <c r="L429" s="228"/>
      <c r="M429" s="227"/>
      <c r="N429" s="206"/>
    </row>
    <row r="430" spans="1:14" ht="19" thickBot="1" x14ac:dyDescent="0.35">
      <c r="A430" s="1344"/>
      <c r="B430" s="171"/>
      <c r="C430" s="226"/>
      <c r="D430" s="225"/>
      <c r="E430" s="224"/>
      <c r="F430" s="224"/>
      <c r="G430" s="223"/>
      <c r="H430" s="222"/>
      <c r="I430" s="221"/>
      <c r="J430" s="171"/>
      <c r="K430" s="171"/>
      <c r="L430" s="220"/>
      <c r="M430" s="219"/>
      <c r="N430" s="206"/>
    </row>
    <row r="431" spans="1:14" ht="19" thickTop="1" x14ac:dyDescent="0.3">
      <c r="A431" s="1344"/>
      <c r="L431" s="209"/>
      <c r="M431" s="207"/>
      <c r="N431" s="206"/>
    </row>
    <row r="432" spans="1:14" ht="23" x14ac:dyDescent="0.3">
      <c r="A432" s="1344"/>
      <c r="D432" s="284" t="s">
        <v>83</v>
      </c>
      <c r="F432" s="280"/>
      <c r="L432" s="209"/>
      <c r="M432" s="207"/>
      <c r="N432" s="206"/>
    </row>
    <row r="433" spans="1:14" ht="24" thickBot="1" x14ac:dyDescent="0.35">
      <c r="A433" s="1344"/>
      <c r="D433" s="282"/>
      <c r="L433" s="209"/>
      <c r="M433" s="207"/>
      <c r="N433" s="206"/>
    </row>
    <row r="434" spans="1:14" ht="23" customHeight="1" thickTop="1" x14ac:dyDescent="0.25">
      <c r="A434" s="1344"/>
      <c r="D434" s="282"/>
      <c r="E434" s="1335" t="str">
        <f>E391</f>
        <v>Coûts des ressources alimentaires pour chaque produit offert (voir recettes standardisées)</v>
      </c>
      <c r="F434" s="1335" t="str">
        <f>F391</f>
        <v>Prix de vente par produit offert</v>
      </c>
      <c r="G434" s="1335" t="str">
        <f>G391</f>
        <v xml:space="preserve">« Food &amp; Beverage Cost » </v>
      </c>
      <c r="H434" s="1335" t="str">
        <f>H391</f>
        <v>Marge brute gagnée sur la vente de chaque produit offert</v>
      </c>
      <c r="I434" s="283"/>
      <c r="L434" s="1329" t="s">
        <v>79</v>
      </c>
      <c r="M434" s="1329" t="s">
        <v>78</v>
      </c>
      <c r="N434" s="206"/>
    </row>
    <row r="435" spans="1:14" ht="22" x14ac:dyDescent="0.25">
      <c r="A435" s="1344"/>
      <c r="D435" s="282"/>
      <c r="E435" s="1336"/>
      <c r="F435" s="1338"/>
      <c r="G435" s="1338"/>
      <c r="H435" s="1338"/>
      <c r="I435" s="281"/>
      <c r="L435" s="1330"/>
      <c r="M435" s="1340"/>
      <c r="N435" s="206"/>
    </row>
    <row r="436" spans="1:14" ht="14" customHeight="1" thickBot="1" x14ac:dyDescent="0.25">
      <c r="A436" s="1344"/>
      <c r="E436" s="1337"/>
      <c r="F436" s="1339"/>
      <c r="G436" s="1339"/>
      <c r="H436" s="1339"/>
      <c r="I436" s="281"/>
      <c r="L436" s="1331"/>
      <c r="M436" s="1341"/>
      <c r="N436" s="206"/>
    </row>
    <row r="437" spans="1:14" ht="20" thickTop="1" thickBot="1" x14ac:dyDescent="0.35">
      <c r="A437" s="1344"/>
      <c r="B437" s="138" t="s">
        <v>1</v>
      </c>
      <c r="E437" s="280"/>
      <c r="F437" s="280"/>
      <c r="G437" s="279"/>
      <c r="L437" s="209"/>
      <c r="M437" s="207"/>
      <c r="N437" s="206"/>
    </row>
    <row r="438" spans="1:14" ht="19" thickTop="1" x14ac:dyDescent="0.3">
      <c r="A438" s="1344"/>
      <c r="B438" s="171"/>
      <c r="C438" s="171"/>
      <c r="D438" s="238" t="str">
        <f t="shared" ref="D438:D451" si="95">D395</f>
        <v>Les Petite Gâteries</v>
      </c>
      <c r="E438" s="261"/>
      <c r="F438" s="261"/>
      <c r="G438" s="241"/>
      <c r="H438" s="171"/>
      <c r="I438" s="171"/>
      <c r="J438" s="171"/>
      <c r="K438" s="171"/>
      <c r="L438" s="278"/>
      <c r="M438" s="277"/>
      <c r="N438" s="206"/>
    </row>
    <row r="439" spans="1:14" ht="18" x14ac:dyDescent="0.3">
      <c r="A439" s="1344"/>
      <c r="B439" s="171">
        <f t="shared" ref="B439:C450" si="96">B396</f>
        <v>1</v>
      </c>
      <c r="C439" s="171">
        <f t="shared" si="96"/>
        <v>1</v>
      </c>
      <c r="D439" s="171" t="str">
        <f t="shared" si="95"/>
        <v>Petite Gâterie 1</v>
      </c>
      <c r="E439" s="265">
        <f t="shared" ref="E439:F450" si="97">E396</f>
        <v>1.21</v>
      </c>
      <c r="F439" s="264">
        <f t="shared" si="97"/>
        <v>3.3</v>
      </c>
      <c r="G439" s="263">
        <f t="shared" ref="G439:G451" si="98">E439/F439</f>
        <v>0.3666666666666667</v>
      </c>
      <c r="H439" s="262">
        <f t="shared" ref="H439:H451" si="99">F439-E439</f>
        <v>2.09</v>
      </c>
      <c r="I439" s="261"/>
      <c r="J439" s="171"/>
      <c r="K439" s="171"/>
      <c r="L439" s="276"/>
      <c r="M439" s="227"/>
      <c r="N439" s="206"/>
    </row>
    <row r="440" spans="1:14" ht="18" x14ac:dyDescent="0.3">
      <c r="A440" s="1344"/>
      <c r="B440" s="171">
        <f t="shared" si="96"/>
        <v>2</v>
      </c>
      <c r="C440" s="171">
        <f t="shared" si="96"/>
        <v>2</v>
      </c>
      <c r="D440" s="171" t="str">
        <f t="shared" si="95"/>
        <v>Petite Gâterie 2</v>
      </c>
      <c r="E440" s="265">
        <f t="shared" si="97"/>
        <v>1.31</v>
      </c>
      <c r="F440" s="264">
        <f t="shared" si="97"/>
        <v>3.8</v>
      </c>
      <c r="G440" s="263">
        <f t="shared" si="98"/>
        <v>0.34473684210526317</v>
      </c>
      <c r="H440" s="262">
        <f t="shared" si="99"/>
        <v>2.4899999999999998</v>
      </c>
      <c r="I440" s="261"/>
      <c r="J440" s="171"/>
      <c r="K440" s="171"/>
      <c r="L440" s="228"/>
      <c r="M440" s="227"/>
      <c r="N440" s="206"/>
    </row>
    <row r="441" spans="1:14" ht="18" x14ac:dyDescent="0.3">
      <c r="A441" s="1344"/>
      <c r="B441" s="171">
        <f t="shared" si="96"/>
        <v>3</v>
      </c>
      <c r="C441" s="171">
        <f t="shared" si="96"/>
        <v>3</v>
      </c>
      <c r="D441" s="171" t="str">
        <f t="shared" si="95"/>
        <v>Petite Gâterie 3</v>
      </c>
      <c r="E441" s="265">
        <f t="shared" si="97"/>
        <v>1.35</v>
      </c>
      <c r="F441" s="264">
        <f t="shared" si="97"/>
        <v>4</v>
      </c>
      <c r="G441" s="263">
        <f t="shared" si="98"/>
        <v>0.33750000000000002</v>
      </c>
      <c r="H441" s="262">
        <f t="shared" si="99"/>
        <v>2.65</v>
      </c>
      <c r="I441" s="261"/>
      <c r="J441" s="171"/>
      <c r="K441" s="171"/>
      <c r="L441" s="228"/>
      <c r="M441" s="227"/>
      <c r="N441" s="206"/>
    </row>
    <row r="442" spans="1:14" ht="18" x14ac:dyDescent="0.3">
      <c r="A442" s="1344"/>
      <c r="B442" s="171">
        <f t="shared" si="96"/>
        <v>4</v>
      </c>
      <c r="C442" s="171">
        <f t="shared" si="96"/>
        <v>4</v>
      </c>
      <c r="D442" s="171" t="str">
        <f t="shared" si="95"/>
        <v>Petite Gâterie 4</v>
      </c>
      <c r="E442" s="265">
        <f t="shared" si="97"/>
        <v>1.4</v>
      </c>
      <c r="F442" s="264">
        <f t="shared" si="97"/>
        <v>4.5</v>
      </c>
      <c r="G442" s="263">
        <f t="shared" si="98"/>
        <v>0.31111111111111112</v>
      </c>
      <c r="H442" s="262">
        <f t="shared" si="99"/>
        <v>3.1</v>
      </c>
      <c r="I442" s="261"/>
      <c r="J442" s="171"/>
      <c r="K442" s="171"/>
      <c r="L442" s="228"/>
      <c r="M442" s="227"/>
      <c r="N442" s="206"/>
    </row>
    <row r="443" spans="1:14" ht="18" x14ac:dyDescent="0.3">
      <c r="A443" s="1344"/>
      <c r="B443" s="171">
        <f t="shared" si="96"/>
        <v>5</v>
      </c>
      <c r="C443" s="171">
        <f t="shared" si="96"/>
        <v>5</v>
      </c>
      <c r="D443" s="171" t="str">
        <f t="shared" si="95"/>
        <v>Petite Gâterie 5</v>
      </c>
      <c r="E443" s="265">
        <f t="shared" si="97"/>
        <v>1.24</v>
      </c>
      <c r="F443" s="264">
        <f t="shared" si="97"/>
        <v>4.5999999999999996</v>
      </c>
      <c r="G443" s="263">
        <f t="shared" si="98"/>
        <v>0.26956521739130435</v>
      </c>
      <c r="H443" s="262">
        <f t="shared" si="99"/>
        <v>3.3599999999999994</v>
      </c>
      <c r="I443" s="261"/>
      <c r="J443" s="171"/>
      <c r="K443" s="171"/>
      <c r="L443" s="228"/>
      <c r="M443" s="227"/>
      <c r="N443" s="206"/>
    </row>
    <row r="444" spans="1:14" ht="18" x14ac:dyDescent="0.3">
      <c r="A444" s="1344"/>
      <c r="B444" s="171">
        <f t="shared" si="96"/>
        <v>6</v>
      </c>
      <c r="C444" s="171">
        <f t="shared" si="96"/>
        <v>6</v>
      </c>
      <c r="D444" s="171" t="str">
        <f t="shared" si="95"/>
        <v>Petite Gâterie 6</v>
      </c>
      <c r="E444" s="265">
        <f t="shared" si="97"/>
        <v>1.39</v>
      </c>
      <c r="F444" s="264">
        <f t="shared" si="97"/>
        <v>4.7</v>
      </c>
      <c r="G444" s="263">
        <f t="shared" si="98"/>
        <v>0.29574468085106381</v>
      </c>
      <c r="H444" s="262">
        <f t="shared" si="99"/>
        <v>3.3100000000000005</v>
      </c>
      <c r="I444" s="261"/>
      <c r="J444" s="171"/>
      <c r="K444" s="171"/>
      <c r="L444" s="228"/>
      <c r="M444" s="227"/>
      <c r="N444" s="206"/>
    </row>
    <row r="445" spans="1:14" ht="18" x14ac:dyDescent="0.3">
      <c r="A445" s="1344"/>
      <c r="B445" s="171">
        <f t="shared" si="96"/>
        <v>7</v>
      </c>
      <c r="C445" s="171">
        <f t="shared" si="96"/>
        <v>7</v>
      </c>
      <c r="D445" s="171" t="str">
        <f t="shared" si="95"/>
        <v>Petite Gâterie 7</v>
      </c>
      <c r="E445" s="265">
        <f t="shared" si="97"/>
        <v>1.51</v>
      </c>
      <c r="F445" s="264">
        <f t="shared" si="97"/>
        <v>4.8</v>
      </c>
      <c r="G445" s="263">
        <f t="shared" si="98"/>
        <v>0.31458333333333333</v>
      </c>
      <c r="H445" s="262">
        <f t="shared" si="99"/>
        <v>3.29</v>
      </c>
      <c r="I445" s="261"/>
      <c r="J445" s="171"/>
      <c r="K445" s="171"/>
      <c r="L445" s="228"/>
      <c r="M445" s="227"/>
      <c r="N445" s="206"/>
    </row>
    <row r="446" spans="1:14" ht="18" x14ac:dyDescent="0.3">
      <c r="A446" s="1344"/>
      <c r="B446" s="171">
        <f t="shared" si="96"/>
        <v>8</v>
      </c>
      <c r="C446" s="171">
        <f t="shared" si="96"/>
        <v>8</v>
      </c>
      <c r="D446" s="171" t="str">
        <f t="shared" si="95"/>
        <v>Petite Gâterie 8</v>
      </c>
      <c r="E446" s="265">
        <f t="shared" si="97"/>
        <v>1.53</v>
      </c>
      <c r="F446" s="264">
        <f t="shared" si="97"/>
        <v>4.9000000000000004</v>
      </c>
      <c r="G446" s="263">
        <f t="shared" si="98"/>
        <v>0.31224489795918364</v>
      </c>
      <c r="H446" s="262">
        <f t="shared" si="99"/>
        <v>3.37</v>
      </c>
      <c r="I446" s="261"/>
      <c r="J446" s="171"/>
      <c r="K446" s="171"/>
      <c r="L446" s="228"/>
      <c r="M446" s="227"/>
      <c r="N446" s="206"/>
    </row>
    <row r="447" spans="1:14" ht="18" x14ac:dyDescent="0.3">
      <c r="A447" s="1344"/>
      <c r="B447" s="171">
        <f t="shared" si="96"/>
        <v>9</v>
      </c>
      <c r="C447" s="171">
        <f t="shared" si="96"/>
        <v>9</v>
      </c>
      <c r="D447" s="171" t="str">
        <f t="shared" si="95"/>
        <v>Petite Gâterie 9</v>
      </c>
      <c r="E447" s="265">
        <f t="shared" si="97"/>
        <v>1.55</v>
      </c>
      <c r="F447" s="264">
        <f t="shared" si="97"/>
        <v>5</v>
      </c>
      <c r="G447" s="263">
        <f t="shared" si="98"/>
        <v>0.31</v>
      </c>
      <c r="H447" s="262">
        <f t="shared" si="99"/>
        <v>3.45</v>
      </c>
      <c r="I447" s="261"/>
      <c r="J447" s="171"/>
      <c r="K447" s="171"/>
      <c r="L447" s="228"/>
      <c r="M447" s="227"/>
      <c r="N447" s="206"/>
    </row>
    <row r="448" spans="1:14" ht="18" x14ac:dyDescent="0.3">
      <c r="A448" s="1344"/>
      <c r="B448" s="171">
        <f t="shared" si="96"/>
        <v>10</v>
      </c>
      <c r="C448" s="171">
        <f t="shared" si="96"/>
        <v>10</v>
      </c>
      <c r="D448" s="171" t="str">
        <f t="shared" si="95"/>
        <v>Petite Gâterie 10</v>
      </c>
      <c r="E448" s="265">
        <f t="shared" si="97"/>
        <v>1.59</v>
      </c>
      <c r="F448" s="264">
        <f t="shared" si="97"/>
        <v>5.2</v>
      </c>
      <c r="G448" s="263">
        <f t="shared" si="98"/>
        <v>0.30576923076923079</v>
      </c>
      <c r="H448" s="262">
        <f t="shared" si="99"/>
        <v>3.6100000000000003</v>
      </c>
      <c r="I448" s="261"/>
      <c r="J448" s="171"/>
      <c r="K448" s="171"/>
      <c r="L448" s="228"/>
      <c r="M448" s="227"/>
      <c r="N448" s="206"/>
    </row>
    <row r="449" spans="1:14" ht="18" x14ac:dyDescent="0.3">
      <c r="A449" s="1344"/>
      <c r="B449" s="171">
        <f t="shared" si="96"/>
        <v>11</v>
      </c>
      <c r="C449" s="171">
        <f t="shared" si="96"/>
        <v>11</v>
      </c>
      <c r="D449" s="171" t="str">
        <f t="shared" si="95"/>
        <v>Petite Gâterie 11</v>
      </c>
      <c r="E449" s="265">
        <f t="shared" si="97"/>
        <v>1.83</v>
      </c>
      <c r="F449" s="264">
        <f t="shared" si="97"/>
        <v>6.4</v>
      </c>
      <c r="G449" s="263">
        <f t="shared" si="98"/>
        <v>0.28593750000000001</v>
      </c>
      <c r="H449" s="262">
        <f t="shared" si="99"/>
        <v>4.57</v>
      </c>
      <c r="I449" s="261"/>
      <c r="J449" s="171"/>
      <c r="K449" s="171"/>
      <c r="L449" s="228"/>
      <c r="M449" s="227"/>
      <c r="N449" s="206"/>
    </row>
    <row r="450" spans="1:14" ht="18" x14ac:dyDescent="0.3">
      <c r="A450" s="1344"/>
      <c r="B450" s="171">
        <f t="shared" si="96"/>
        <v>12</v>
      </c>
      <c r="C450" s="171">
        <f t="shared" si="96"/>
        <v>12</v>
      </c>
      <c r="D450" s="171" t="str">
        <f t="shared" si="95"/>
        <v>Petite Gâterie 12</v>
      </c>
      <c r="E450" s="265">
        <f t="shared" si="97"/>
        <v>1.87</v>
      </c>
      <c r="F450" s="264">
        <f t="shared" si="97"/>
        <v>6.6</v>
      </c>
      <c r="G450" s="263">
        <f t="shared" si="98"/>
        <v>0.28333333333333338</v>
      </c>
      <c r="H450" s="262">
        <f t="shared" si="99"/>
        <v>4.7299999999999995</v>
      </c>
      <c r="I450" s="261"/>
      <c r="J450" s="171"/>
      <c r="K450" s="171"/>
      <c r="L450" s="228"/>
      <c r="M450" s="227"/>
      <c r="N450" s="206"/>
    </row>
    <row r="451" spans="1:14" ht="19" x14ac:dyDescent="0.35">
      <c r="A451" s="1344"/>
      <c r="B451" s="171"/>
      <c r="C451" s="171"/>
      <c r="D451" s="238" t="str">
        <f t="shared" si="95"/>
        <v>CmO—PmO—Food Cost—BmO</v>
      </c>
      <c r="E451" s="259">
        <f>SUM(E439:E450)/C450</f>
        <v>1.4816666666666667</v>
      </c>
      <c r="F451" s="259">
        <f>SUM(F439:F450)/C450</f>
        <v>4.8166666666666673</v>
      </c>
      <c r="G451" s="274">
        <f t="shared" si="98"/>
        <v>0.30761245674740478</v>
      </c>
      <c r="H451" s="257">
        <f t="shared" si="99"/>
        <v>3.3350000000000009</v>
      </c>
      <c r="I451" s="256"/>
      <c r="J451" s="171"/>
      <c r="K451" s="171"/>
      <c r="L451" s="1022">
        <v>1.1499999999999999</v>
      </c>
      <c r="M451" s="227" t="s">
        <v>1</v>
      </c>
      <c r="N451" s="206"/>
    </row>
    <row r="452" spans="1:14" ht="18" x14ac:dyDescent="0.3">
      <c r="A452" s="1344"/>
      <c r="B452" s="171" t="s">
        <v>1</v>
      </c>
      <c r="C452" s="171"/>
      <c r="D452" s="171"/>
      <c r="E452" s="242"/>
      <c r="F452" s="242"/>
      <c r="G452" s="263"/>
      <c r="H452" s="240"/>
      <c r="I452" s="171"/>
      <c r="J452" s="171"/>
      <c r="K452" s="171"/>
      <c r="L452" s="228"/>
      <c r="M452" s="227"/>
      <c r="N452" s="206"/>
    </row>
    <row r="453" spans="1:14" ht="18" x14ac:dyDescent="0.3">
      <c r="A453" s="1344"/>
      <c r="B453" s="171"/>
      <c r="C453" s="171"/>
      <c r="D453" s="238" t="str">
        <f t="shared" ref="D453:D466" si="100">D410</f>
        <v>Les Boissons  Gâteries</v>
      </c>
      <c r="E453" s="242"/>
      <c r="F453" s="242"/>
      <c r="G453" s="263"/>
      <c r="H453" s="240"/>
      <c r="I453" s="171"/>
      <c r="J453" s="171"/>
      <c r="K453" s="171"/>
      <c r="L453" s="228"/>
      <c r="M453" s="227"/>
      <c r="N453" s="206"/>
    </row>
    <row r="454" spans="1:14" ht="18" x14ac:dyDescent="0.3">
      <c r="A454" s="1344"/>
      <c r="B454" s="171">
        <f t="shared" ref="B454:C465" si="101">B411</f>
        <v>13</v>
      </c>
      <c r="C454" s="171">
        <f t="shared" si="101"/>
        <v>1</v>
      </c>
      <c r="D454" s="171" t="str">
        <f t="shared" si="100"/>
        <v>Boisson spécial numéro 1</v>
      </c>
      <c r="E454" s="265">
        <f t="shared" ref="E454:F465" si="102">E411</f>
        <v>2.2799999999999998</v>
      </c>
      <c r="F454" s="264">
        <f t="shared" si="102"/>
        <v>6.6</v>
      </c>
      <c r="G454" s="263">
        <f t="shared" ref="G454:G466" si="103">E454/F454</f>
        <v>0.34545454545454546</v>
      </c>
      <c r="H454" s="262">
        <f t="shared" ref="H454:H466" si="104">F454-E454</f>
        <v>4.32</v>
      </c>
      <c r="I454" s="261"/>
      <c r="J454" s="171"/>
      <c r="K454" s="171"/>
      <c r="L454" s="228"/>
      <c r="M454" s="227"/>
      <c r="N454" s="206"/>
    </row>
    <row r="455" spans="1:14" ht="18" x14ac:dyDescent="0.3">
      <c r="A455" s="1344"/>
      <c r="B455" s="171">
        <f t="shared" si="101"/>
        <v>14</v>
      </c>
      <c r="C455" s="171">
        <f t="shared" si="101"/>
        <v>2</v>
      </c>
      <c r="D455" s="171" t="str">
        <f t="shared" si="100"/>
        <v>Boisson spécial numéro 2</v>
      </c>
      <c r="E455" s="265">
        <f t="shared" si="102"/>
        <v>2.66</v>
      </c>
      <c r="F455" s="264">
        <f t="shared" si="102"/>
        <v>7.6</v>
      </c>
      <c r="G455" s="263">
        <f t="shared" si="103"/>
        <v>0.35000000000000003</v>
      </c>
      <c r="H455" s="262">
        <f t="shared" si="104"/>
        <v>4.9399999999999995</v>
      </c>
      <c r="I455" s="261"/>
      <c r="J455" s="171"/>
      <c r="K455" s="171"/>
      <c r="L455" s="228"/>
      <c r="M455" s="227"/>
      <c r="N455" s="206"/>
    </row>
    <row r="456" spans="1:14" ht="18" x14ac:dyDescent="0.3">
      <c r="A456" s="1344"/>
      <c r="B456" s="171">
        <f t="shared" si="101"/>
        <v>15</v>
      </c>
      <c r="C456" s="171">
        <f t="shared" si="101"/>
        <v>3</v>
      </c>
      <c r="D456" s="171" t="str">
        <f t="shared" si="100"/>
        <v>Boisson spécial numéro 3</v>
      </c>
      <c r="E456" s="265">
        <f t="shared" si="102"/>
        <v>2.74</v>
      </c>
      <c r="F456" s="264">
        <f t="shared" si="102"/>
        <v>8</v>
      </c>
      <c r="G456" s="263">
        <f t="shared" si="103"/>
        <v>0.34250000000000003</v>
      </c>
      <c r="H456" s="262">
        <f t="shared" si="104"/>
        <v>5.26</v>
      </c>
      <c r="I456" s="261"/>
      <c r="J456" s="171"/>
      <c r="K456" s="171"/>
      <c r="L456" s="228"/>
      <c r="M456" s="227"/>
      <c r="N456" s="206"/>
    </row>
    <row r="457" spans="1:14" ht="18" x14ac:dyDescent="0.3">
      <c r="A457" s="1344"/>
      <c r="B457" s="171">
        <f t="shared" si="101"/>
        <v>16</v>
      </c>
      <c r="C457" s="171">
        <f t="shared" si="101"/>
        <v>4</v>
      </c>
      <c r="D457" s="171" t="str">
        <f t="shared" si="100"/>
        <v>Boisson spécial numéro 4</v>
      </c>
      <c r="E457" s="265">
        <f t="shared" si="102"/>
        <v>2.72</v>
      </c>
      <c r="F457" s="264">
        <f t="shared" si="102"/>
        <v>9</v>
      </c>
      <c r="G457" s="263">
        <f t="shared" si="103"/>
        <v>0.30222222222222223</v>
      </c>
      <c r="H457" s="262">
        <f t="shared" si="104"/>
        <v>6.2799999999999994</v>
      </c>
      <c r="I457" s="261"/>
      <c r="J457" s="171"/>
      <c r="K457" s="171"/>
      <c r="L457" s="228"/>
      <c r="M457" s="227"/>
      <c r="N457" s="206"/>
    </row>
    <row r="458" spans="1:14" ht="18" x14ac:dyDescent="0.3">
      <c r="A458" s="1344"/>
      <c r="B458" s="171">
        <f t="shared" si="101"/>
        <v>17</v>
      </c>
      <c r="C458" s="171">
        <f t="shared" si="101"/>
        <v>5</v>
      </c>
      <c r="D458" s="171" t="str">
        <f t="shared" si="100"/>
        <v>Boisson spécial numéro 5</v>
      </c>
      <c r="E458" s="265">
        <f t="shared" si="102"/>
        <v>2.76</v>
      </c>
      <c r="F458" s="264">
        <f t="shared" si="102"/>
        <v>9.1999999999999993</v>
      </c>
      <c r="G458" s="263">
        <f t="shared" si="103"/>
        <v>0.3</v>
      </c>
      <c r="H458" s="262">
        <f t="shared" si="104"/>
        <v>6.4399999999999995</v>
      </c>
      <c r="I458" s="261"/>
      <c r="J458" s="171"/>
      <c r="K458" s="171"/>
      <c r="L458" s="228"/>
      <c r="M458" s="227"/>
      <c r="N458" s="206"/>
    </row>
    <row r="459" spans="1:14" ht="18" x14ac:dyDescent="0.3">
      <c r="A459" s="1344"/>
      <c r="B459" s="171">
        <f t="shared" si="101"/>
        <v>18</v>
      </c>
      <c r="C459" s="171">
        <f t="shared" si="101"/>
        <v>6</v>
      </c>
      <c r="D459" s="171" t="str">
        <f t="shared" si="100"/>
        <v>Boisson spécial numéro 6</v>
      </c>
      <c r="E459" s="265">
        <f t="shared" si="102"/>
        <v>2.8</v>
      </c>
      <c r="F459" s="264">
        <f t="shared" si="102"/>
        <v>9.4</v>
      </c>
      <c r="G459" s="263">
        <f t="shared" si="103"/>
        <v>0.2978723404255319</v>
      </c>
      <c r="H459" s="262">
        <f t="shared" si="104"/>
        <v>6.6000000000000005</v>
      </c>
      <c r="I459" s="261"/>
      <c r="J459" s="171"/>
      <c r="K459" s="171"/>
      <c r="L459" s="228"/>
      <c r="M459" s="227"/>
      <c r="N459" s="206"/>
    </row>
    <row r="460" spans="1:14" ht="18" x14ac:dyDescent="0.3">
      <c r="A460" s="1344"/>
      <c r="B460" s="171">
        <f t="shared" si="101"/>
        <v>19</v>
      </c>
      <c r="C460" s="171">
        <f t="shared" si="101"/>
        <v>7</v>
      </c>
      <c r="D460" s="171" t="str">
        <f t="shared" si="100"/>
        <v>Boisson spécial numéro 7</v>
      </c>
      <c r="E460" s="265">
        <f t="shared" si="102"/>
        <v>2.82</v>
      </c>
      <c r="F460" s="264">
        <f t="shared" si="102"/>
        <v>9.6</v>
      </c>
      <c r="G460" s="263">
        <f t="shared" si="103"/>
        <v>0.29375000000000001</v>
      </c>
      <c r="H460" s="262">
        <f t="shared" si="104"/>
        <v>6.7799999999999994</v>
      </c>
      <c r="I460" s="261"/>
      <c r="J460" s="171"/>
      <c r="K460" s="171"/>
      <c r="L460" s="228"/>
      <c r="M460" s="227"/>
      <c r="N460" s="206"/>
    </row>
    <row r="461" spans="1:14" ht="18" x14ac:dyDescent="0.3">
      <c r="A461" s="1344"/>
      <c r="B461" s="171">
        <f t="shared" si="101"/>
        <v>20</v>
      </c>
      <c r="C461" s="171">
        <f t="shared" si="101"/>
        <v>8</v>
      </c>
      <c r="D461" s="171" t="str">
        <f t="shared" si="100"/>
        <v>Boisson spécial numéro 8</v>
      </c>
      <c r="E461" s="265">
        <f t="shared" si="102"/>
        <v>2.86</v>
      </c>
      <c r="F461" s="264">
        <f t="shared" si="102"/>
        <v>9.8000000000000007</v>
      </c>
      <c r="G461" s="263">
        <f t="shared" si="103"/>
        <v>0.2918367346938775</v>
      </c>
      <c r="H461" s="262">
        <f t="shared" si="104"/>
        <v>6.9400000000000013</v>
      </c>
      <c r="I461" s="261"/>
      <c r="J461" s="171"/>
      <c r="K461" s="171"/>
      <c r="L461" s="228"/>
      <c r="M461" s="227"/>
      <c r="N461" s="206"/>
    </row>
    <row r="462" spans="1:14" ht="18" x14ac:dyDescent="0.3">
      <c r="A462" s="1344"/>
      <c r="B462" s="171">
        <f t="shared" si="101"/>
        <v>21</v>
      </c>
      <c r="C462" s="171">
        <f t="shared" si="101"/>
        <v>9</v>
      </c>
      <c r="D462" s="171" t="str">
        <f t="shared" si="100"/>
        <v>Boisson spécial numéro 9</v>
      </c>
      <c r="E462" s="265">
        <f t="shared" si="102"/>
        <v>2.9</v>
      </c>
      <c r="F462" s="264">
        <f t="shared" si="102"/>
        <v>10</v>
      </c>
      <c r="G462" s="263">
        <f t="shared" si="103"/>
        <v>0.28999999999999998</v>
      </c>
      <c r="H462" s="262">
        <f t="shared" si="104"/>
        <v>7.1</v>
      </c>
      <c r="I462" s="261"/>
      <c r="J462" s="171"/>
      <c r="K462" s="171"/>
      <c r="L462" s="228"/>
      <c r="M462" s="227"/>
      <c r="N462" s="206"/>
    </row>
    <row r="463" spans="1:14" ht="18" x14ac:dyDescent="0.3">
      <c r="A463" s="1344"/>
      <c r="B463" s="171">
        <f t="shared" si="101"/>
        <v>22</v>
      </c>
      <c r="C463" s="171">
        <f t="shared" si="101"/>
        <v>10</v>
      </c>
      <c r="D463" s="171" t="str">
        <f t="shared" si="100"/>
        <v>Boisson spécial numéro 10</v>
      </c>
      <c r="E463" s="265">
        <f t="shared" si="102"/>
        <v>2.98</v>
      </c>
      <c r="F463" s="264">
        <f t="shared" si="102"/>
        <v>10.4</v>
      </c>
      <c r="G463" s="263">
        <f t="shared" si="103"/>
        <v>0.28653846153846152</v>
      </c>
      <c r="H463" s="262">
        <f t="shared" si="104"/>
        <v>7.42</v>
      </c>
      <c r="I463" s="261"/>
      <c r="J463" s="171"/>
      <c r="K463" s="171"/>
      <c r="L463" s="228"/>
      <c r="M463" s="227"/>
      <c r="N463" s="206"/>
    </row>
    <row r="464" spans="1:14" ht="18" x14ac:dyDescent="0.3">
      <c r="A464" s="1344"/>
      <c r="B464" s="171">
        <f t="shared" si="101"/>
        <v>23</v>
      </c>
      <c r="C464" s="171">
        <f t="shared" si="101"/>
        <v>11</v>
      </c>
      <c r="D464" s="171" t="str">
        <f t="shared" si="100"/>
        <v>Boisson spécial numéro 11</v>
      </c>
      <c r="E464" s="265">
        <f t="shared" si="102"/>
        <v>3.18</v>
      </c>
      <c r="F464" s="264">
        <f t="shared" si="102"/>
        <v>11.6</v>
      </c>
      <c r="G464" s="263">
        <f t="shared" si="103"/>
        <v>0.27413793103448281</v>
      </c>
      <c r="H464" s="262">
        <f t="shared" si="104"/>
        <v>8.42</v>
      </c>
      <c r="I464" s="261"/>
      <c r="J464" s="171"/>
      <c r="K464" s="171"/>
      <c r="L464" s="228"/>
      <c r="M464" s="227"/>
      <c r="N464" s="206"/>
    </row>
    <row r="465" spans="1:14" ht="18" x14ac:dyDescent="0.3">
      <c r="A465" s="1344"/>
      <c r="B465" s="171">
        <f t="shared" si="101"/>
        <v>24</v>
      </c>
      <c r="C465" s="171">
        <f t="shared" si="101"/>
        <v>12</v>
      </c>
      <c r="D465" s="171" t="str">
        <f t="shared" si="100"/>
        <v>Boisson spécial numéro 12</v>
      </c>
      <c r="E465" s="265">
        <f t="shared" si="102"/>
        <v>3.48</v>
      </c>
      <c r="F465" s="264">
        <f t="shared" si="102"/>
        <v>13.2</v>
      </c>
      <c r="G465" s="263">
        <f t="shared" si="103"/>
        <v>0.26363636363636367</v>
      </c>
      <c r="H465" s="262">
        <f t="shared" si="104"/>
        <v>9.7199999999999989</v>
      </c>
      <c r="I465" s="261"/>
      <c r="J465" s="171"/>
      <c r="K465" s="171"/>
      <c r="L465" s="228"/>
      <c r="M465" s="227"/>
      <c r="N465" s="206"/>
    </row>
    <row r="466" spans="1:14" ht="19" x14ac:dyDescent="0.35">
      <c r="A466" s="1344"/>
      <c r="B466" s="171"/>
      <c r="C466" s="171"/>
      <c r="D466" s="238" t="str">
        <f t="shared" si="100"/>
        <v>CmO—PmO—Beverage Cost—Marge brute</v>
      </c>
      <c r="E466" s="259">
        <f>SUM(E454:E465)/C465</f>
        <v>2.8483333333333332</v>
      </c>
      <c r="F466" s="259">
        <f>SUM(F454:F465)/C465</f>
        <v>9.5333333333333332</v>
      </c>
      <c r="G466" s="258">
        <f t="shared" si="103"/>
        <v>0.29877622377622376</v>
      </c>
      <c r="H466" s="257">
        <f t="shared" si="104"/>
        <v>6.6850000000000005</v>
      </c>
      <c r="I466" s="256"/>
      <c r="J466" s="171"/>
      <c r="K466" s="171"/>
      <c r="L466" s="1022">
        <v>1.1499999999999999</v>
      </c>
      <c r="M466" s="227" t="s">
        <v>1</v>
      </c>
      <c r="N466" s="206"/>
    </row>
    <row r="467" spans="1:14" ht="19" thickBot="1" x14ac:dyDescent="0.35">
      <c r="A467" s="1344"/>
      <c r="B467" s="171"/>
      <c r="C467" s="171"/>
      <c r="D467" s="171"/>
      <c r="E467" s="242"/>
      <c r="F467" s="242"/>
      <c r="G467" s="241"/>
      <c r="H467" s="240"/>
      <c r="I467" s="171"/>
      <c r="J467" s="171"/>
      <c r="K467" s="171"/>
      <c r="L467" s="228"/>
      <c r="M467" s="227"/>
      <c r="N467" s="206"/>
    </row>
    <row r="468" spans="1:14" ht="21" thickTop="1" thickBot="1" x14ac:dyDescent="0.4">
      <c r="A468" s="1344"/>
      <c r="B468" s="171"/>
      <c r="C468" s="253"/>
      <c r="D468" s="252"/>
      <c r="E468" s="251"/>
      <c r="F468" s="251"/>
      <c r="G468" s="250"/>
      <c r="H468" s="249"/>
      <c r="I468" s="248"/>
      <c r="J468" s="171"/>
      <c r="K468" s="171"/>
      <c r="L468" s="228"/>
      <c r="M468" s="227"/>
      <c r="N468" s="206"/>
    </row>
    <row r="469" spans="1:14" ht="20" thickTop="1" thickBot="1" x14ac:dyDescent="0.35">
      <c r="A469" s="1344"/>
      <c r="B469" s="171"/>
      <c r="C469" s="233"/>
      <c r="D469" s="238"/>
      <c r="E469" s="247" t="str">
        <f>E426</f>
        <v>CmO</v>
      </c>
      <c r="F469" s="247" t="str">
        <f>F426</f>
        <v>PmO</v>
      </c>
      <c r="G469" s="246" t="str">
        <f>G426</f>
        <v>F&amp;BCmO</v>
      </c>
      <c r="H469" s="245" t="str">
        <f>H426</f>
        <v>BmO</v>
      </c>
      <c r="I469" s="244"/>
      <c r="J469" s="171"/>
      <c r="K469" s="171"/>
      <c r="L469" s="228"/>
      <c r="M469" s="227"/>
      <c r="N469" s="206"/>
    </row>
    <row r="470" spans="1:14" ht="19" thickTop="1" x14ac:dyDescent="0.3">
      <c r="A470" s="1344"/>
      <c r="B470" s="171"/>
      <c r="C470" s="233"/>
      <c r="D470" s="243" t="str">
        <f>D427</f>
        <v>OFFRE TOTALE AVEC LES GÂTERIES ET LES CAFÉS GÂTERIES</v>
      </c>
      <c r="E470" s="242"/>
      <c r="F470" s="242"/>
      <c r="G470" s="241"/>
      <c r="H470" s="240"/>
      <c r="I470" s="239"/>
      <c r="J470" s="171"/>
      <c r="K470" s="171"/>
      <c r="L470" s="228"/>
      <c r="M470" s="227"/>
      <c r="N470" s="206"/>
    </row>
    <row r="471" spans="1:14" ht="19" x14ac:dyDescent="0.35">
      <c r="A471" s="1344"/>
      <c r="B471" s="171"/>
      <c r="C471" s="233"/>
      <c r="D471" s="238" t="str">
        <f>D428</f>
        <v>CmO—PmO—F&amp;B cost moyen offert—Marge brute</v>
      </c>
      <c r="E471" s="237">
        <f>+(E439+E440+E441+E442+E443+E444+E445+E446+E447+E448+E449+E450+E454+E455+E456+E457+E458+E459+E460+E461+E462+E463+E464+E465)/B465</f>
        <v>2.1649999999999996</v>
      </c>
      <c r="F471" s="237">
        <f>+(F439+F440+F441+F442+F443+F444+F445+F446+F447+F448+F449+F450+F454+F455+F456+F457+F458+F459+F460+F461+F462+F463+F464+F465)/B465</f>
        <v>7.1749999999999998</v>
      </c>
      <c r="G471" s="236">
        <f>E471/F471</f>
        <v>0.30174216027874562</v>
      </c>
      <c r="H471" s="237">
        <f>F471-E471</f>
        <v>5.01</v>
      </c>
      <c r="I471" s="234"/>
      <c r="J471" s="171"/>
      <c r="K471" s="171"/>
      <c r="L471" s="228">
        <f>+L451+L466</f>
        <v>2.2999999999999998</v>
      </c>
      <c r="M471" s="227">
        <f>'% Occupation'!N19</f>
        <v>5755</v>
      </c>
      <c r="N471" s="206"/>
    </row>
    <row r="472" spans="1:14" ht="18" x14ac:dyDescent="0.3">
      <c r="A472" s="1344"/>
      <c r="B472" s="171"/>
      <c r="C472" s="233"/>
      <c r="D472" s="171"/>
      <c r="E472" s="232"/>
      <c r="F472" s="232"/>
      <c r="G472" s="231"/>
      <c r="H472" s="230"/>
      <c r="I472" s="229"/>
      <c r="J472" s="171"/>
      <c r="K472" s="171"/>
      <c r="L472" s="228"/>
      <c r="M472" s="227"/>
      <c r="N472" s="206"/>
    </row>
    <row r="473" spans="1:14" ht="19" thickBot="1" x14ac:dyDescent="0.35">
      <c r="A473" s="1344"/>
      <c r="B473" s="171"/>
      <c r="C473" s="226"/>
      <c r="D473" s="225"/>
      <c r="E473" s="224"/>
      <c r="F473" s="224"/>
      <c r="G473" s="223"/>
      <c r="H473" s="222"/>
      <c r="I473" s="221"/>
      <c r="J473" s="171"/>
      <c r="K473" s="171"/>
      <c r="L473" s="220"/>
      <c r="M473" s="219"/>
      <c r="N473" s="206"/>
    </row>
    <row r="474" spans="1:14" ht="19" thickTop="1" x14ac:dyDescent="0.3">
      <c r="A474" s="1344"/>
      <c r="L474" s="209"/>
      <c r="M474" s="207"/>
      <c r="N474" s="206"/>
    </row>
    <row r="475" spans="1:14" ht="23" x14ac:dyDescent="0.3">
      <c r="A475" s="1344"/>
      <c r="D475" s="284" t="s">
        <v>82</v>
      </c>
      <c r="F475" s="280"/>
      <c r="L475" s="209"/>
      <c r="M475" s="207"/>
      <c r="N475" s="206"/>
    </row>
    <row r="476" spans="1:14" ht="24" thickBot="1" x14ac:dyDescent="0.35">
      <c r="A476" s="1344"/>
      <c r="D476" s="282"/>
      <c r="L476" s="209"/>
      <c r="M476" s="207"/>
      <c r="N476" s="206"/>
    </row>
    <row r="477" spans="1:14" ht="23" customHeight="1" thickTop="1" x14ac:dyDescent="0.25">
      <c r="A477" s="1344"/>
      <c r="D477" s="282"/>
      <c r="E477" s="1335" t="str">
        <f>E434</f>
        <v>Coûts des ressources alimentaires pour chaque produit offert (voir recettes standardisées)</v>
      </c>
      <c r="F477" s="1335" t="str">
        <f>F434</f>
        <v>Prix de vente par produit offert</v>
      </c>
      <c r="G477" s="1335" t="str">
        <f>G434</f>
        <v xml:space="preserve">« Food &amp; Beverage Cost » </v>
      </c>
      <c r="H477" s="1335" t="str">
        <f>H434</f>
        <v>Marge brute gagnée sur la vente de chaque produit offert</v>
      </c>
      <c r="I477" s="283"/>
      <c r="L477" s="1329" t="s">
        <v>79</v>
      </c>
      <c r="M477" s="1329" t="s">
        <v>78</v>
      </c>
      <c r="N477" s="206"/>
    </row>
    <row r="478" spans="1:14" ht="22" x14ac:dyDescent="0.25">
      <c r="A478" s="1344"/>
      <c r="D478" s="282"/>
      <c r="E478" s="1336"/>
      <c r="F478" s="1338"/>
      <c r="G478" s="1338"/>
      <c r="H478" s="1338"/>
      <c r="I478" s="281"/>
      <c r="L478" s="1330"/>
      <c r="M478" s="1340"/>
      <c r="N478" s="206"/>
    </row>
    <row r="479" spans="1:14" ht="14" customHeight="1" thickBot="1" x14ac:dyDescent="0.25">
      <c r="A479" s="1344"/>
      <c r="E479" s="1337"/>
      <c r="F479" s="1339"/>
      <c r="G479" s="1339"/>
      <c r="H479" s="1339"/>
      <c r="I479" s="281"/>
      <c r="L479" s="1331"/>
      <c r="M479" s="1341"/>
      <c r="N479" s="206"/>
    </row>
    <row r="480" spans="1:14" ht="20" thickTop="1" thickBot="1" x14ac:dyDescent="0.35">
      <c r="A480" s="1344"/>
      <c r="B480" s="138" t="s">
        <v>1</v>
      </c>
      <c r="E480" s="280"/>
      <c r="F480" s="280"/>
      <c r="G480" s="279"/>
      <c r="L480" s="209"/>
      <c r="M480" s="207"/>
      <c r="N480" s="206"/>
    </row>
    <row r="481" spans="1:14" ht="19" thickTop="1" x14ac:dyDescent="0.3">
      <c r="A481" s="1344"/>
      <c r="B481" s="171"/>
      <c r="C481" s="171"/>
      <c r="D481" s="238" t="str">
        <f t="shared" ref="D481:D494" si="105">D438</f>
        <v>Les Petite Gâteries</v>
      </c>
      <c r="E481" s="261"/>
      <c r="F481" s="261"/>
      <c r="G481" s="241"/>
      <c r="H481" s="171"/>
      <c r="I481" s="171"/>
      <c r="J481" s="171"/>
      <c r="K481" s="171"/>
      <c r="L481" s="278"/>
      <c r="M481" s="277"/>
      <c r="N481" s="206"/>
    </row>
    <row r="482" spans="1:14" ht="18" x14ac:dyDescent="0.3">
      <c r="A482" s="1344"/>
      <c r="B482" s="171">
        <f t="shared" ref="B482:C493" si="106">B439</f>
        <v>1</v>
      </c>
      <c r="C482" s="171">
        <f t="shared" si="106"/>
        <v>1</v>
      </c>
      <c r="D482" s="171" t="str">
        <f t="shared" si="105"/>
        <v>Petite Gâterie 1</v>
      </c>
      <c r="E482" s="265">
        <f t="shared" ref="E482:F493" si="107">E439</f>
        <v>1.21</v>
      </c>
      <c r="F482" s="264">
        <f t="shared" si="107"/>
        <v>3.3</v>
      </c>
      <c r="G482" s="263">
        <f t="shared" ref="G482:G494" si="108">E482/F482</f>
        <v>0.3666666666666667</v>
      </c>
      <c r="H482" s="262">
        <f t="shared" ref="H482:H494" si="109">F482-E482</f>
        <v>2.09</v>
      </c>
      <c r="I482" s="261"/>
      <c r="J482" s="171"/>
      <c r="K482" s="171"/>
      <c r="L482" s="276"/>
      <c r="M482" s="227"/>
      <c r="N482" s="206"/>
    </row>
    <row r="483" spans="1:14" ht="18" x14ac:dyDescent="0.3">
      <c r="A483" s="1344"/>
      <c r="B483" s="171">
        <f t="shared" si="106"/>
        <v>2</v>
      </c>
      <c r="C483" s="171">
        <f t="shared" si="106"/>
        <v>2</v>
      </c>
      <c r="D483" s="171" t="str">
        <f t="shared" si="105"/>
        <v>Petite Gâterie 2</v>
      </c>
      <c r="E483" s="265">
        <f t="shared" si="107"/>
        <v>1.31</v>
      </c>
      <c r="F483" s="264">
        <f t="shared" si="107"/>
        <v>3.8</v>
      </c>
      <c r="G483" s="263">
        <f t="shared" si="108"/>
        <v>0.34473684210526317</v>
      </c>
      <c r="H483" s="262">
        <f t="shared" si="109"/>
        <v>2.4899999999999998</v>
      </c>
      <c r="I483" s="261"/>
      <c r="J483" s="171"/>
      <c r="K483" s="171"/>
      <c r="L483" s="228"/>
      <c r="M483" s="227"/>
      <c r="N483" s="206"/>
    </row>
    <row r="484" spans="1:14" ht="18" x14ac:dyDescent="0.3">
      <c r="A484" s="1344"/>
      <c r="B484" s="171">
        <f t="shared" si="106"/>
        <v>3</v>
      </c>
      <c r="C484" s="171">
        <f t="shared" si="106"/>
        <v>3</v>
      </c>
      <c r="D484" s="171" t="str">
        <f t="shared" si="105"/>
        <v>Petite Gâterie 3</v>
      </c>
      <c r="E484" s="265">
        <f t="shared" si="107"/>
        <v>1.35</v>
      </c>
      <c r="F484" s="264">
        <f t="shared" si="107"/>
        <v>4</v>
      </c>
      <c r="G484" s="263">
        <f t="shared" si="108"/>
        <v>0.33750000000000002</v>
      </c>
      <c r="H484" s="262">
        <f t="shared" si="109"/>
        <v>2.65</v>
      </c>
      <c r="I484" s="261"/>
      <c r="J484" s="171"/>
      <c r="K484" s="171"/>
      <c r="L484" s="228"/>
      <c r="M484" s="227"/>
      <c r="N484" s="206"/>
    </row>
    <row r="485" spans="1:14" ht="18" x14ac:dyDescent="0.3">
      <c r="A485" s="1344"/>
      <c r="B485" s="171">
        <f t="shared" si="106"/>
        <v>4</v>
      </c>
      <c r="C485" s="171">
        <f t="shared" si="106"/>
        <v>4</v>
      </c>
      <c r="D485" s="171" t="str">
        <f t="shared" si="105"/>
        <v>Petite Gâterie 4</v>
      </c>
      <c r="E485" s="265">
        <f t="shared" si="107"/>
        <v>1.4</v>
      </c>
      <c r="F485" s="264">
        <f t="shared" si="107"/>
        <v>4.5</v>
      </c>
      <c r="G485" s="263">
        <f t="shared" si="108"/>
        <v>0.31111111111111112</v>
      </c>
      <c r="H485" s="262">
        <f t="shared" si="109"/>
        <v>3.1</v>
      </c>
      <c r="I485" s="261"/>
      <c r="J485" s="171"/>
      <c r="K485" s="171"/>
      <c r="L485" s="228"/>
      <c r="M485" s="227"/>
      <c r="N485" s="206"/>
    </row>
    <row r="486" spans="1:14" ht="18" x14ac:dyDescent="0.3">
      <c r="A486" s="1344"/>
      <c r="B486" s="171">
        <f t="shared" si="106"/>
        <v>5</v>
      </c>
      <c r="C486" s="171">
        <f t="shared" si="106"/>
        <v>5</v>
      </c>
      <c r="D486" s="171" t="str">
        <f t="shared" si="105"/>
        <v>Petite Gâterie 5</v>
      </c>
      <c r="E486" s="265">
        <f t="shared" si="107"/>
        <v>1.24</v>
      </c>
      <c r="F486" s="264">
        <f t="shared" si="107"/>
        <v>4.5999999999999996</v>
      </c>
      <c r="G486" s="263">
        <f t="shared" si="108"/>
        <v>0.26956521739130435</v>
      </c>
      <c r="H486" s="262">
        <f t="shared" si="109"/>
        <v>3.3599999999999994</v>
      </c>
      <c r="I486" s="261"/>
      <c r="J486" s="171"/>
      <c r="K486" s="171"/>
      <c r="L486" s="228"/>
      <c r="M486" s="227"/>
      <c r="N486" s="206"/>
    </row>
    <row r="487" spans="1:14" ht="18" x14ac:dyDescent="0.3">
      <c r="A487" s="1344"/>
      <c r="B487" s="171">
        <f t="shared" si="106"/>
        <v>6</v>
      </c>
      <c r="C487" s="171">
        <f t="shared" si="106"/>
        <v>6</v>
      </c>
      <c r="D487" s="171" t="str">
        <f t="shared" si="105"/>
        <v>Petite Gâterie 6</v>
      </c>
      <c r="E487" s="265">
        <f t="shared" si="107"/>
        <v>1.39</v>
      </c>
      <c r="F487" s="264">
        <f t="shared" si="107"/>
        <v>4.7</v>
      </c>
      <c r="G487" s="263">
        <f t="shared" si="108"/>
        <v>0.29574468085106381</v>
      </c>
      <c r="H487" s="262">
        <f t="shared" si="109"/>
        <v>3.3100000000000005</v>
      </c>
      <c r="I487" s="261"/>
      <c r="J487" s="171"/>
      <c r="K487" s="171"/>
      <c r="L487" s="228"/>
      <c r="M487" s="227"/>
      <c r="N487" s="206"/>
    </row>
    <row r="488" spans="1:14" ht="18" x14ac:dyDescent="0.3">
      <c r="A488" s="1344"/>
      <c r="B488" s="171">
        <f t="shared" si="106"/>
        <v>7</v>
      </c>
      <c r="C488" s="171">
        <f t="shared" si="106"/>
        <v>7</v>
      </c>
      <c r="D488" s="171" t="str">
        <f t="shared" si="105"/>
        <v>Petite Gâterie 7</v>
      </c>
      <c r="E488" s="265">
        <f t="shared" si="107"/>
        <v>1.51</v>
      </c>
      <c r="F488" s="264">
        <f t="shared" si="107"/>
        <v>4.8</v>
      </c>
      <c r="G488" s="263">
        <f t="shared" si="108"/>
        <v>0.31458333333333333</v>
      </c>
      <c r="H488" s="262">
        <f t="shared" si="109"/>
        <v>3.29</v>
      </c>
      <c r="I488" s="261"/>
      <c r="J488" s="171"/>
      <c r="K488" s="171"/>
      <c r="L488" s="228"/>
      <c r="M488" s="227"/>
      <c r="N488" s="206"/>
    </row>
    <row r="489" spans="1:14" ht="18" x14ac:dyDescent="0.3">
      <c r="A489" s="1344"/>
      <c r="B489" s="171">
        <f t="shared" si="106"/>
        <v>8</v>
      </c>
      <c r="C489" s="171">
        <f t="shared" si="106"/>
        <v>8</v>
      </c>
      <c r="D489" s="171" t="str">
        <f t="shared" si="105"/>
        <v>Petite Gâterie 8</v>
      </c>
      <c r="E489" s="265">
        <f t="shared" si="107"/>
        <v>1.53</v>
      </c>
      <c r="F489" s="264">
        <f t="shared" si="107"/>
        <v>4.9000000000000004</v>
      </c>
      <c r="G489" s="263">
        <f t="shared" si="108"/>
        <v>0.31224489795918364</v>
      </c>
      <c r="H489" s="262">
        <f t="shared" si="109"/>
        <v>3.37</v>
      </c>
      <c r="I489" s="261"/>
      <c r="J489" s="171"/>
      <c r="K489" s="171"/>
      <c r="L489" s="228"/>
      <c r="M489" s="227"/>
      <c r="N489" s="206"/>
    </row>
    <row r="490" spans="1:14" ht="18" x14ac:dyDescent="0.3">
      <c r="A490" s="1344"/>
      <c r="B490" s="171">
        <f t="shared" si="106"/>
        <v>9</v>
      </c>
      <c r="C490" s="171">
        <f t="shared" si="106"/>
        <v>9</v>
      </c>
      <c r="D490" s="171" t="str">
        <f t="shared" si="105"/>
        <v>Petite Gâterie 9</v>
      </c>
      <c r="E490" s="265">
        <f t="shared" si="107"/>
        <v>1.55</v>
      </c>
      <c r="F490" s="264">
        <f t="shared" si="107"/>
        <v>5</v>
      </c>
      <c r="G490" s="263">
        <f t="shared" si="108"/>
        <v>0.31</v>
      </c>
      <c r="H490" s="262">
        <f t="shared" si="109"/>
        <v>3.45</v>
      </c>
      <c r="I490" s="261"/>
      <c r="J490" s="171"/>
      <c r="K490" s="171"/>
      <c r="L490" s="228"/>
      <c r="M490" s="227"/>
      <c r="N490" s="206"/>
    </row>
    <row r="491" spans="1:14" ht="18" x14ac:dyDescent="0.3">
      <c r="A491" s="1344"/>
      <c r="B491" s="171">
        <f t="shared" si="106"/>
        <v>10</v>
      </c>
      <c r="C491" s="171">
        <f t="shared" si="106"/>
        <v>10</v>
      </c>
      <c r="D491" s="171" t="str">
        <f t="shared" si="105"/>
        <v>Petite Gâterie 10</v>
      </c>
      <c r="E491" s="265">
        <f t="shared" si="107"/>
        <v>1.59</v>
      </c>
      <c r="F491" s="264">
        <f t="shared" si="107"/>
        <v>5.2</v>
      </c>
      <c r="G491" s="263">
        <f t="shared" si="108"/>
        <v>0.30576923076923079</v>
      </c>
      <c r="H491" s="262">
        <f t="shared" si="109"/>
        <v>3.6100000000000003</v>
      </c>
      <c r="I491" s="261"/>
      <c r="J491" s="171"/>
      <c r="K491" s="171"/>
      <c r="L491" s="228"/>
      <c r="M491" s="227"/>
      <c r="N491" s="206"/>
    </row>
    <row r="492" spans="1:14" ht="18" x14ac:dyDescent="0.3">
      <c r="A492" s="1344"/>
      <c r="B492" s="171">
        <f t="shared" si="106"/>
        <v>11</v>
      </c>
      <c r="C492" s="171">
        <f t="shared" si="106"/>
        <v>11</v>
      </c>
      <c r="D492" s="171" t="str">
        <f t="shared" si="105"/>
        <v>Petite Gâterie 11</v>
      </c>
      <c r="E492" s="265">
        <f t="shared" si="107"/>
        <v>1.83</v>
      </c>
      <c r="F492" s="264">
        <f t="shared" si="107"/>
        <v>6.4</v>
      </c>
      <c r="G492" s="263">
        <f t="shared" si="108"/>
        <v>0.28593750000000001</v>
      </c>
      <c r="H492" s="262">
        <f t="shared" si="109"/>
        <v>4.57</v>
      </c>
      <c r="I492" s="261"/>
      <c r="J492" s="171"/>
      <c r="K492" s="171"/>
      <c r="L492" s="228"/>
      <c r="M492" s="227"/>
      <c r="N492" s="206"/>
    </row>
    <row r="493" spans="1:14" ht="18" x14ac:dyDescent="0.3">
      <c r="A493" s="1344"/>
      <c r="B493" s="171">
        <f t="shared" si="106"/>
        <v>12</v>
      </c>
      <c r="C493" s="171">
        <f t="shared" si="106"/>
        <v>12</v>
      </c>
      <c r="D493" s="171" t="str">
        <f t="shared" si="105"/>
        <v>Petite Gâterie 12</v>
      </c>
      <c r="E493" s="265">
        <f t="shared" si="107"/>
        <v>1.87</v>
      </c>
      <c r="F493" s="264">
        <f t="shared" si="107"/>
        <v>6.6</v>
      </c>
      <c r="G493" s="263">
        <f t="shared" si="108"/>
        <v>0.28333333333333338</v>
      </c>
      <c r="H493" s="262">
        <f t="shared" si="109"/>
        <v>4.7299999999999995</v>
      </c>
      <c r="I493" s="261"/>
      <c r="J493" s="171"/>
      <c r="K493" s="171"/>
      <c r="L493" s="228"/>
      <c r="M493" s="227"/>
      <c r="N493" s="206"/>
    </row>
    <row r="494" spans="1:14" ht="19" x14ac:dyDescent="0.35">
      <c r="A494" s="1344"/>
      <c r="B494" s="171"/>
      <c r="C494" s="171"/>
      <c r="D494" s="238" t="str">
        <f t="shared" si="105"/>
        <v>CmO—PmO—Food Cost—BmO</v>
      </c>
      <c r="E494" s="259">
        <f>SUM(E482:E493)/C493</f>
        <v>1.4816666666666667</v>
      </c>
      <c r="F494" s="259">
        <f>SUM(F482:F493)/C493</f>
        <v>4.8166666666666673</v>
      </c>
      <c r="G494" s="274">
        <f t="shared" si="108"/>
        <v>0.30761245674740478</v>
      </c>
      <c r="H494" s="257">
        <f t="shared" si="109"/>
        <v>3.3350000000000009</v>
      </c>
      <c r="I494" s="256"/>
      <c r="J494" s="171"/>
      <c r="K494" s="171"/>
      <c r="L494" s="1022">
        <v>1.1499999999999999</v>
      </c>
      <c r="M494" s="227" t="s">
        <v>1</v>
      </c>
      <c r="N494" s="206"/>
    </row>
    <row r="495" spans="1:14" ht="18" x14ac:dyDescent="0.3">
      <c r="A495" s="1344"/>
      <c r="B495" s="171" t="s">
        <v>1</v>
      </c>
      <c r="C495" s="171"/>
      <c r="D495" s="171"/>
      <c r="E495" s="242"/>
      <c r="F495" s="242"/>
      <c r="G495" s="263"/>
      <c r="H495" s="240"/>
      <c r="I495" s="171"/>
      <c r="J495" s="171"/>
      <c r="K495" s="171"/>
      <c r="L495" s="228"/>
      <c r="M495" s="227"/>
      <c r="N495" s="206"/>
    </row>
    <row r="496" spans="1:14" ht="18" x14ac:dyDescent="0.3">
      <c r="A496" s="1344"/>
      <c r="B496" s="171"/>
      <c r="C496" s="171"/>
      <c r="D496" s="238" t="str">
        <f t="shared" ref="D496:D509" si="110">D453</f>
        <v>Les Boissons  Gâteries</v>
      </c>
      <c r="E496" s="242"/>
      <c r="F496" s="242"/>
      <c r="G496" s="263"/>
      <c r="H496" s="240"/>
      <c r="I496" s="171"/>
      <c r="J496" s="171"/>
      <c r="K496" s="171"/>
      <c r="L496" s="228"/>
      <c r="M496" s="227"/>
      <c r="N496" s="206"/>
    </row>
    <row r="497" spans="1:14" ht="18" x14ac:dyDescent="0.3">
      <c r="A497" s="1344"/>
      <c r="B497" s="171">
        <f t="shared" ref="B497:C508" si="111">B454</f>
        <v>13</v>
      </c>
      <c r="C497" s="171">
        <f t="shared" si="111"/>
        <v>1</v>
      </c>
      <c r="D497" s="171" t="str">
        <f t="shared" si="110"/>
        <v>Boisson spécial numéro 1</v>
      </c>
      <c r="E497" s="265">
        <f t="shared" ref="E497:F508" si="112">E454</f>
        <v>2.2799999999999998</v>
      </c>
      <c r="F497" s="264">
        <f t="shared" si="112"/>
        <v>6.6</v>
      </c>
      <c r="G497" s="263">
        <f t="shared" ref="G497:G509" si="113">E497/F497</f>
        <v>0.34545454545454546</v>
      </c>
      <c r="H497" s="262">
        <f t="shared" ref="H497:H509" si="114">F497-E497</f>
        <v>4.32</v>
      </c>
      <c r="I497" s="261"/>
      <c r="J497" s="171"/>
      <c r="K497" s="171"/>
      <c r="L497" s="228"/>
      <c r="M497" s="227"/>
      <c r="N497" s="206"/>
    </row>
    <row r="498" spans="1:14" ht="18" x14ac:dyDescent="0.3">
      <c r="A498" s="1344"/>
      <c r="B498" s="171">
        <f t="shared" si="111"/>
        <v>14</v>
      </c>
      <c r="C498" s="171">
        <f t="shared" si="111"/>
        <v>2</v>
      </c>
      <c r="D498" s="171" t="str">
        <f t="shared" si="110"/>
        <v>Boisson spécial numéro 2</v>
      </c>
      <c r="E498" s="265">
        <f t="shared" si="112"/>
        <v>2.66</v>
      </c>
      <c r="F498" s="264">
        <f t="shared" si="112"/>
        <v>7.6</v>
      </c>
      <c r="G498" s="263">
        <f t="shared" si="113"/>
        <v>0.35000000000000003</v>
      </c>
      <c r="H498" s="262">
        <f t="shared" si="114"/>
        <v>4.9399999999999995</v>
      </c>
      <c r="I498" s="261"/>
      <c r="J498" s="171"/>
      <c r="K498" s="171"/>
      <c r="L498" s="228"/>
      <c r="M498" s="227"/>
      <c r="N498" s="206"/>
    </row>
    <row r="499" spans="1:14" ht="18" x14ac:dyDescent="0.3">
      <c r="A499" s="1344"/>
      <c r="B499" s="171">
        <f t="shared" si="111"/>
        <v>15</v>
      </c>
      <c r="C499" s="171">
        <f t="shared" si="111"/>
        <v>3</v>
      </c>
      <c r="D499" s="171" t="str">
        <f t="shared" si="110"/>
        <v>Boisson spécial numéro 3</v>
      </c>
      <c r="E499" s="265">
        <f t="shared" si="112"/>
        <v>2.74</v>
      </c>
      <c r="F499" s="264">
        <f t="shared" si="112"/>
        <v>8</v>
      </c>
      <c r="G499" s="263">
        <f t="shared" si="113"/>
        <v>0.34250000000000003</v>
      </c>
      <c r="H499" s="262">
        <f t="shared" si="114"/>
        <v>5.26</v>
      </c>
      <c r="I499" s="261"/>
      <c r="J499" s="171"/>
      <c r="K499" s="171"/>
      <c r="L499" s="228"/>
      <c r="M499" s="227"/>
      <c r="N499" s="206"/>
    </row>
    <row r="500" spans="1:14" ht="18" x14ac:dyDescent="0.3">
      <c r="A500" s="1344"/>
      <c r="B500" s="171">
        <f t="shared" si="111"/>
        <v>16</v>
      </c>
      <c r="C500" s="171">
        <f t="shared" si="111"/>
        <v>4</v>
      </c>
      <c r="D500" s="171" t="str">
        <f t="shared" si="110"/>
        <v>Boisson spécial numéro 4</v>
      </c>
      <c r="E500" s="265">
        <f t="shared" si="112"/>
        <v>2.72</v>
      </c>
      <c r="F500" s="264">
        <f t="shared" si="112"/>
        <v>9</v>
      </c>
      <c r="G500" s="263">
        <f t="shared" si="113"/>
        <v>0.30222222222222223</v>
      </c>
      <c r="H500" s="262">
        <f t="shared" si="114"/>
        <v>6.2799999999999994</v>
      </c>
      <c r="I500" s="261"/>
      <c r="J500" s="171"/>
      <c r="K500" s="171"/>
      <c r="L500" s="228"/>
      <c r="M500" s="227"/>
      <c r="N500" s="206"/>
    </row>
    <row r="501" spans="1:14" ht="18" x14ac:dyDescent="0.3">
      <c r="A501" s="1344"/>
      <c r="B501" s="171">
        <f t="shared" si="111"/>
        <v>17</v>
      </c>
      <c r="C501" s="171">
        <f t="shared" si="111"/>
        <v>5</v>
      </c>
      <c r="D501" s="171" t="str">
        <f t="shared" si="110"/>
        <v>Boisson spécial numéro 5</v>
      </c>
      <c r="E501" s="265">
        <f t="shared" si="112"/>
        <v>2.76</v>
      </c>
      <c r="F501" s="264">
        <f t="shared" si="112"/>
        <v>9.1999999999999993</v>
      </c>
      <c r="G501" s="263">
        <f t="shared" si="113"/>
        <v>0.3</v>
      </c>
      <c r="H501" s="262">
        <f t="shared" si="114"/>
        <v>6.4399999999999995</v>
      </c>
      <c r="I501" s="261"/>
      <c r="J501" s="171"/>
      <c r="K501" s="171"/>
      <c r="L501" s="228"/>
      <c r="M501" s="227"/>
      <c r="N501" s="206"/>
    </row>
    <row r="502" spans="1:14" ht="18" x14ac:dyDescent="0.3">
      <c r="A502" s="1344"/>
      <c r="B502" s="171">
        <f t="shared" si="111"/>
        <v>18</v>
      </c>
      <c r="C502" s="171">
        <f t="shared" si="111"/>
        <v>6</v>
      </c>
      <c r="D502" s="171" t="str">
        <f t="shared" si="110"/>
        <v>Boisson spécial numéro 6</v>
      </c>
      <c r="E502" s="265">
        <f t="shared" si="112"/>
        <v>2.8</v>
      </c>
      <c r="F502" s="264">
        <f t="shared" si="112"/>
        <v>9.4</v>
      </c>
      <c r="G502" s="263">
        <f t="shared" si="113"/>
        <v>0.2978723404255319</v>
      </c>
      <c r="H502" s="262">
        <f t="shared" si="114"/>
        <v>6.6000000000000005</v>
      </c>
      <c r="I502" s="261"/>
      <c r="J502" s="171"/>
      <c r="K502" s="171"/>
      <c r="L502" s="228"/>
      <c r="M502" s="227"/>
      <c r="N502" s="206"/>
    </row>
    <row r="503" spans="1:14" ht="18" x14ac:dyDescent="0.3">
      <c r="A503" s="1344"/>
      <c r="B503" s="171">
        <f t="shared" si="111"/>
        <v>19</v>
      </c>
      <c r="C503" s="171">
        <f t="shared" si="111"/>
        <v>7</v>
      </c>
      <c r="D503" s="171" t="str">
        <f t="shared" si="110"/>
        <v>Boisson spécial numéro 7</v>
      </c>
      <c r="E503" s="265">
        <f t="shared" si="112"/>
        <v>2.82</v>
      </c>
      <c r="F503" s="264">
        <f t="shared" si="112"/>
        <v>9.6</v>
      </c>
      <c r="G503" s="263">
        <f t="shared" si="113"/>
        <v>0.29375000000000001</v>
      </c>
      <c r="H503" s="262">
        <f t="shared" si="114"/>
        <v>6.7799999999999994</v>
      </c>
      <c r="I503" s="261"/>
      <c r="J503" s="171"/>
      <c r="K503" s="171"/>
      <c r="L503" s="228"/>
      <c r="M503" s="227"/>
      <c r="N503" s="206"/>
    </row>
    <row r="504" spans="1:14" ht="18" x14ac:dyDescent="0.3">
      <c r="A504" s="1344"/>
      <c r="B504" s="171">
        <f t="shared" si="111"/>
        <v>20</v>
      </c>
      <c r="C504" s="171">
        <f t="shared" si="111"/>
        <v>8</v>
      </c>
      <c r="D504" s="171" t="str">
        <f t="shared" si="110"/>
        <v>Boisson spécial numéro 8</v>
      </c>
      <c r="E504" s="265">
        <f t="shared" si="112"/>
        <v>2.86</v>
      </c>
      <c r="F504" s="264">
        <f t="shared" si="112"/>
        <v>9.8000000000000007</v>
      </c>
      <c r="G504" s="263">
        <f t="shared" si="113"/>
        <v>0.2918367346938775</v>
      </c>
      <c r="H504" s="262">
        <f t="shared" si="114"/>
        <v>6.9400000000000013</v>
      </c>
      <c r="I504" s="261"/>
      <c r="J504" s="171"/>
      <c r="K504" s="171"/>
      <c r="L504" s="228"/>
      <c r="M504" s="227"/>
      <c r="N504" s="206"/>
    </row>
    <row r="505" spans="1:14" ht="18" x14ac:dyDescent="0.3">
      <c r="A505" s="1344"/>
      <c r="B505" s="171">
        <f t="shared" si="111"/>
        <v>21</v>
      </c>
      <c r="C505" s="171">
        <f t="shared" si="111"/>
        <v>9</v>
      </c>
      <c r="D505" s="171" t="str">
        <f t="shared" si="110"/>
        <v>Boisson spécial numéro 9</v>
      </c>
      <c r="E505" s="265">
        <f t="shared" si="112"/>
        <v>2.9</v>
      </c>
      <c r="F505" s="264">
        <f t="shared" si="112"/>
        <v>10</v>
      </c>
      <c r="G505" s="263">
        <f t="shared" si="113"/>
        <v>0.28999999999999998</v>
      </c>
      <c r="H505" s="262">
        <f t="shared" si="114"/>
        <v>7.1</v>
      </c>
      <c r="I505" s="261"/>
      <c r="J505" s="171"/>
      <c r="K505" s="171"/>
      <c r="L505" s="228"/>
      <c r="M505" s="227"/>
      <c r="N505" s="206"/>
    </row>
    <row r="506" spans="1:14" ht="18" x14ac:dyDescent="0.3">
      <c r="A506" s="1344"/>
      <c r="B506" s="171">
        <f t="shared" si="111"/>
        <v>22</v>
      </c>
      <c r="C506" s="171">
        <f t="shared" si="111"/>
        <v>10</v>
      </c>
      <c r="D506" s="171" t="str">
        <f t="shared" si="110"/>
        <v>Boisson spécial numéro 10</v>
      </c>
      <c r="E506" s="265">
        <f t="shared" si="112"/>
        <v>2.98</v>
      </c>
      <c r="F506" s="264">
        <f t="shared" si="112"/>
        <v>10.4</v>
      </c>
      <c r="G506" s="263">
        <f t="shared" si="113"/>
        <v>0.28653846153846152</v>
      </c>
      <c r="H506" s="262">
        <f t="shared" si="114"/>
        <v>7.42</v>
      </c>
      <c r="I506" s="261"/>
      <c r="J506" s="171"/>
      <c r="K506" s="171"/>
      <c r="L506" s="228"/>
      <c r="M506" s="227"/>
      <c r="N506" s="206"/>
    </row>
    <row r="507" spans="1:14" ht="18" x14ac:dyDescent="0.3">
      <c r="A507" s="1344"/>
      <c r="B507" s="171">
        <f t="shared" si="111"/>
        <v>23</v>
      </c>
      <c r="C507" s="171">
        <f t="shared" si="111"/>
        <v>11</v>
      </c>
      <c r="D507" s="171" t="str">
        <f t="shared" si="110"/>
        <v>Boisson spécial numéro 11</v>
      </c>
      <c r="E507" s="265">
        <f t="shared" si="112"/>
        <v>3.18</v>
      </c>
      <c r="F507" s="264">
        <f t="shared" si="112"/>
        <v>11.6</v>
      </c>
      <c r="G507" s="263">
        <f t="shared" si="113"/>
        <v>0.27413793103448281</v>
      </c>
      <c r="H507" s="262">
        <f t="shared" si="114"/>
        <v>8.42</v>
      </c>
      <c r="I507" s="261"/>
      <c r="J507" s="171"/>
      <c r="K507" s="171"/>
      <c r="L507" s="228"/>
      <c r="M507" s="227"/>
      <c r="N507" s="206"/>
    </row>
    <row r="508" spans="1:14" ht="18" x14ac:dyDescent="0.3">
      <c r="A508" s="1344"/>
      <c r="B508" s="171">
        <f t="shared" si="111"/>
        <v>24</v>
      </c>
      <c r="C508" s="171">
        <f t="shared" si="111"/>
        <v>12</v>
      </c>
      <c r="D508" s="171" t="str">
        <f t="shared" si="110"/>
        <v>Boisson spécial numéro 12</v>
      </c>
      <c r="E508" s="265">
        <f t="shared" si="112"/>
        <v>3.48</v>
      </c>
      <c r="F508" s="264">
        <f t="shared" si="112"/>
        <v>13.2</v>
      </c>
      <c r="G508" s="263">
        <f t="shared" si="113"/>
        <v>0.26363636363636367</v>
      </c>
      <c r="H508" s="262">
        <f t="shared" si="114"/>
        <v>9.7199999999999989</v>
      </c>
      <c r="I508" s="261"/>
      <c r="J508" s="171"/>
      <c r="K508" s="171"/>
      <c r="L508" s="228"/>
      <c r="M508" s="227"/>
      <c r="N508" s="206"/>
    </row>
    <row r="509" spans="1:14" ht="19" x14ac:dyDescent="0.35">
      <c r="A509" s="1344"/>
      <c r="B509" s="171"/>
      <c r="C509" s="171"/>
      <c r="D509" s="238" t="str">
        <f t="shared" si="110"/>
        <v>CmO—PmO—Beverage Cost—Marge brute</v>
      </c>
      <c r="E509" s="259">
        <f>SUM(E497:E508)/C508</f>
        <v>2.8483333333333332</v>
      </c>
      <c r="F509" s="259">
        <f>SUM(F497:F508)/C508</f>
        <v>9.5333333333333332</v>
      </c>
      <c r="G509" s="258">
        <f t="shared" si="113"/>
        <v>0.29877622377622376</v>
      </c>
      <c r="H509" s="257">
        <f t="shared" si="114"/>
        <v>6.6850000000000005</v>
      </c>
      <c r="I509" s="256"/>
      <c r="J509" s="171"/>
      <c r="K509" s="171"/>
      <c r="L509" s="1022">
        <v>1.1499999999999999</v>
      </c>
      <c r="M509" s="227" t="s">
        <v>1</v>
      </c>
      <c r="N509" s="206"/>
    </row>
    <row r="510" spans="1:14" ht="19" thickBot="1" x14ac:dyDescent="0.35">
      <c r="A510" s="1344"/>
      <c r="B510" s="171"/>
      <c r="C510" s="171"/>
      <c r="D510" s="171"/>
      <c r="E510" s="242"/>
      <c r="F510" s="242"/>
      <c r="G510" s="241"/>
      <c r="H510" s="240"/>
      <c r="I510" s="171"/>
      <c r="J510" s="171"/>
      <c r="K510" s="171"/>
      <c r="L510" s="228"/>
      <c r="M510" s="227"/>
      <c r="N510" s="206"/>
    </row>
    <row r="511" spans="1:14" ht="21" thickTop="1" thickBot="1" x14ac:dyDescent="0.4">
      <c r="A511" s="1344"/>
      <c r="B511" s="171"/>
      <c r="C511" s="253"/>
      <c r="D511" s="252"/>
      <c r="E511" s="251"/>
      <c r="F511" s="251"/>
      <c r="G511" s="250"/>
      <c r="H511" s="249"/>
      <c r="I511" s="248"/>
      <c r="J511" s="171"/>
      <c r="K511" s="171"/>
      <c r="L511" s="228"/>
      <c r="M511" s="227"/>
      <c r="N511" s="206"/>
    </row>
    <row r="512" spans="1:14" ht="20" thickTop="1" thickBot="1" x14ac:dyDescent="0.35">
      <c r="A512" s="1344"/>
      <c r="B512" s="171"/>
      <c r="C512" s="233"/>
      <c r="D512" s="238"/>
      <c r="E512" s="247" t="str">
        <f>E469</f>
        <v>CmO</v>
      </c>
      <c r="F512" s="247" t="str">
        <f>F469</f>
        <v>PmO</v>
      </c>
      <c r="G512" s="246" t="str">
        <f>G469</f>
        <v>F&amp;BCmO</v>
      </c>
      <c r="H512" s="245" t="str">
        <f>H469</f>
        <v>BmO</v>
      </c>
      <c r="I512" s="244"/>
      <c r="J512" s="171"/>
      <c r="K512" s="171"/>
      <c r="L512" s="228"/>
      <c r="M512" s="227"/>
      <c r="N512" s="206"/>
    </row>
    <row r="513" spans="1:14" ht="19" thickTop="1" x14ac:dyDescent="0.3">
      <c r="A513" s="1344"/>
      <c r="B513" s="171"/>
      <c r="C513" s="233"/>
      <c r="D513" s="243" t="str">
        <f>D470</f>
        <v>OFFRE TOTALE AVEC LES GÂTERIES ET LES CAFÉS GÂTERIES</v>
      </c>
      <c r="E513" s="242"/>
      <c r="F513" s="242"/>
      <c r="G513" s="241"/>
      <c r="H513" s="240"/>
      <c r="I513" s="239"/>
      <c r="J513" s="171"/>
      <c r="K513" s="171"/>
      <c r="L513" s="228"/>
      <c r="M513" s="227"/>
      <c r="N513" s="206"/>
    </row>
    <row r="514" spans="1:14" ht="19" x14ac:dyDescent="0.35">
      <c r="A514" s="1344"/>
      <c r="B514" s="171"/>
      <c r="C514" s="233"/>
      <c r="D514" s="238" t="str">
        <f>D471</f>
        <v>CmO—PmO—F&amp;B cost moyen offert—Marge brute</v>
      </c>
      <c r="E514" s="237">
        <f>+(E482+E483+E484+E485+E486+E487+E488+E489+E490+E491+E492+E493+E497+E498+E499+E500+E501+E502+E503+E504+E505+E506+E507+E508)/B508</f>
        <v>2.1649999999999996</v>
      </c>
      <c r="F514" s="237">
        <f>+(F482+F483+F484+F485+F486+F487+F488+F489+F490+F491+F492+F493+F497+F498+F499+F500+F501+F502+F503+F504+F505+F506+F507+F508)/B508</f>
        <v>7.1749999999999998</v>
      </c>
      <c r="G514" s="236">
        <f>E514/F514</f>
        <v>0.30174216027874562</v>
      </c>
      <c r="H514" s="235">
        <f>F514-E514</f>
        <v>5.01</v>
      </c>
      <c r="I514" s="234"/>
      <c r="J514" s="171"/>
      <c r="K514" s="171"/>
      <c r="L514" s="228">
        <f>+L494+L509</f>
        <v>2.2999999999999998</v>
      </c>
      <c r="M514" s="227">
        <f>'% Occupation'!O19</f>
        <v>5060</v>
      </c>
      <c r="N514" s="206"/>
    </row>
    <row r="515" spans="1:14" ht="18" x14ac:dyDescent="0.3">
      <c r="A515" s="1344"/>
      <c r="B515" s="171"/>
      <c r="C515" s="233"/>
      <c r="D515" s="171"/>
      <c r="E515" s="232"/>
      <c r="F515" s="232"/>
      <c r="G515" s="231"/>
      <c r="H515" s="230"/>
      <c r="I515" s="229"/>
      <c r="J515" s="171"/>
      <c r="K515" s="171"/>
      <c r="L515" s="228"/>
      <c r="M515" s="227"/>
      <c r="N515" s="206"/>
    </row>
    <row r="516" spans="1:14" ht="19" thickBot="1" x14ac:dyDescent="0.35">
      <c r="A516" s="1345"/>
      <c r="B516" s="171"/>
      <c r="C516" s="226"/>
      <c r="D516" s="225"/>
      <c r="E516" s="224"/>
      <c r="F516" s="224"/>
      <c r="G516" s="223"/>
      <c r="H516" s="222"/>
      <c r="I516" s="221"/>
      <c r="J516" s="171"/>
      <c r="K516" s="171"/>
      <c r="L516" s="220"/>
      <c r="M516" s="219"/>
      <c r="N516" s="206"/>
    </row>
    <row r="517" spans="1:14" ht="19" thickTop="1" x14ac:dyDescent="0.3">
      <c r="A517" s="287"/>
      <c r="B517" s="171"/>
      <c r="C517" s="171"/>
      <c r="D517" s="243"/>
      <c r="E517" s="232"/>
      <c r="F517" s="232"/>
      <c r="G517" s="231"/>
      <c r="H517" s="230"/>
      <c r="I517" s="230"/>
      <c r="J517" s="171"/>
      <c r="K517" s="171"/>
      <c r="L517" s="286"/>
      <c r="M517" s="285"/>
      <c r="N517" s="206"/>
    </row>
    <row r="518" spans="1:14" ht="23" x14ac:dyDescent="0.3">
      <c r="A518" s="287"/>
      <c r="D518" s="284" t="s">
        <v>81</v>
      </c>
      <c r="F518" s="280"/>
      <c r="L518" s="209"/>
      <c r="M518" s="207"/>
      <c r="N518" s="206"/>
    </row>
    <row r="519" spans="1:14" ht="24" thickBot="1" x14ac:dyDescent="0.35">
      <c r="A519" s="287"/>
      <c r="D519" s="282"/>
      <c r="L519" s="209"/>
      <c r="M519" s="207"/>
      <c r="N519" s="206"/>
    </row>
    <row r="520" spans="1:14" ht="23" thickTop="1" x14ac:dyDescent="0.25">
      <c r="A520" s="287"/>
      <c r="D520" s="282"/>
      <c r="E520" s="1335" t="str">
        <f>E477</f>
        <v>Coûts des ressources alimentaires pour chaque produit offert (voir recettes standardisées)</v>
      </c>
      <c r="F520" s="1335" t="str">
        <f>F477</f>
        <v>Prix de vente par produit offert</v>
      </c>
      <c r="G520" s="1335" t="str">
        <f>G477</f>
        <v xml:space="preserve">« Food &amp; Beverage Cost » </v>
      </c>
      <c r="H520" s="1335" t="str">
        <f>H477</f>
        <v>Marge brute gagnée sur la vente de chaque produit offert</v>
      </c>
      <c r="I520" s="283"/>
      <c r="L520" s="1329" t="s">
        <v>79</v>
      </c>
      <c r="M520" s="1329" t="s">
        <v>78</v>
      </c>
      <c r="N520" s="206"/>
    </row>
    <row r="521" spans="1:14" ht="22" x14ac:dyDescent="0.25">
      <c r="A521" s="287"/>
      <c r="D521" s="282"/>
      <c r="E521" s="1336"/>
      <c r="F521" s="1338"/>
      <c r="G521" s="1338"/>
      <c r="H521" s="1338"/>
      <c r="I521" s="281"/>
      <c r="L521" s="1330"/>
      <c r="M521" s="1340"/>
      <c r="N521" s="206"/>
    </row>
    <row r="522" spans="1:14" ht="17" thickBot="1" x14ac:dyDescent="0.25">
      <c r="A522" s="287"/>
      <c r="E522" s="1337"/>
      <c r="F522" s="1339"/>
      <c r="G522" s="1339"/>
      <c r="H522" s="1339"/>
      <c r="I522" s="281"/>
      <c r="L522" s="1331"/>
      <c r="M522" s="1341"/>
      <c r="N522" s="206"/>
    </row>
    <row r="523" spans="1:14" ht="20" thickTop="1" thickBot="1" x14ac:dyDescent="0.35">
      <c r="A523" s="287"/>
      <c r="B523" s="138" t="s">
        <v>1</v>
      </c>
      <c r="E523" s="280"/>
      <c r="F523" s="280"/>
      <c r="G523" s="279"/>
      <c r="L523" s="209"/>
      <c r="M523" s="207"/>
      <c r="N523" s="206"/>
    </row>
    <row r="524" spans="1:14" ht="19" thickTop="1" x14ac:dyDescent="0.3">
      <c r="A524" s="287"/>
      <c r="B524" s="171"/>
      <c r="C524" s="171"/>
      <c r="D524" s="238" t="str">
        <f t="shared" ref="D524:D536" si="115">D482</f>
        <v>Petite Gâterie 1</v>
      </c>
      <c r="E524" s="261"/>
      <c r="F524" s="261"/>
      <c r="G524" s="241"/>
      <c r="H524" s="171"/>
      <c r="I524" s="171"/>
      <c r="J524" s="171"/>
      <c r="K524" s="171"/>
      <c r="L524" s="278"/>
      <c r="M524" s="277"/>
      <c r="N524" s="206"/>
    </row>
    <row r="525" spans="1:14" ht="18" x14ac:dyDescent="0.3">
      <c r="A525" s="287"/>
      <c r="B525" s="171">
        <f t="shared" ref="B525:C536" si="116">B482</f>
        <v>1</v>
      </c>
      <c r="C525" s="171">
        <f t="shared" si="116"/>
        <v>1</v>
      </c>
      <c r="D525" s="171" t="str">
        <f t="shared" si="115"/>
        <v>Petite Gâterie 2</v>
      </c>
      <c r="E525" s="265">
        <f t="shared" ref="E525:F536" si="117">E482</f>
        <v>1.21</v>
      </c>
      <c r="F525" s="264">
        <f t="shared" si="117"/>
        <v>3.3</v>
      </c>
      <c r="G525" s="263">
        <f t="shared" ref="G525:G537" si="118">E525/F525</f>
        <v>0.3666666666666667</v>
      </c>
      <c r="H525" s="262">
        <f t="shared" ref="H525:H537" si="119">F525-E525</f>
        <v>2.09</v>
      </c>
      <c r="I525" s="261"/>
      <c r="J525" s="171"/>
      <c r="K525" s="171"/>
      <c r="L525" s="276"/>
      <c r="M525" s="227"/>
      <c r="N525" s="206"/>
    </row>
    <row r="526" spans="1:14" ht="18" x14ac:dyDescent="0.3">
      <c r="A526" s="287"/>
      <c r="B526" s="171">
        <f t="shared" si="116"/>
        <v>2</v>
      </c>
      <c r="C526" s="171">
        <f t="shared" si="116"/>
        <v>2</v>
      </c>
      <c r="D526" s="171" t="str">
        <f t="shared" si="115"/>
        <v>Petite Gâterie 3</v>
      </c>
      <c r="E526" s="265">
        <f t="shared" si="117"/>
        <v>1.31</v>
      </c>
      <c r="F526" s="264">
        <f t="shared" si="117"/>
        <v>3.8</v>
      </c>
      <c r="G526" s="263">
        <f t="shared" si="118"/>
        <v>0.34473684210526317</v>
      </c>
      <c r="H526" s="262">
        <f t="shared" si="119"/>
        <v>2.4899999999999998</v>
      </c>
      <c r="I526" s="261"/>
      <c r="J526" s="171"/>
      <c r="K526" s="171"/>
      <c r="L526" s="228"/>
      <c r="M526" s="227"/>
      <c r="N526" s="206"/>
    </row>
    <row r="527" spans="1:14" ht="18" x14ac:dyDescent="0.3">
      <c r="A527" s="287"/>
      <c r="B527" s="171">
        <f t="shared" si="116"/>
        <v>3</v>
      </c>
      <c r="C527" s="171">
        <f t="shared" si="116"/>
        <v>3</v>
      </c>
      <c r="D527" s="171" t="str">
        <f t="shared" si="115"/>
        <v>Petite Gâterie 4</v>
      </c>
      <c r="E527" s="265">
        <f t="shared" si="117"/>
        <v>1.35</v>
      </c>
      <c r="F527" s="264">
        <f t="shared" si="117"/>
        <v>4</v>
      </c>
      <c r="G527" s="263">
        <f t="shared" si="118"/>
        <v>0.33750000000000002</v>
      </c>
      <c r="H527" s="262">
        <f t="shared" si="119"/>
        <v>2.65</v>
      </c>
      <c r="I527" s="261"/>
      <c r="J527" s="171"/>
      <c r="K527" s="171"/>
      <c r="L527" s="228"/>
      <c r="M527" s="227"/>
      <c r="N527" s="206"/>
    </row>
    <row r="528" spans="1:14" ht="18" x14ac:dyDescent="0.3">
      <c r="A528" s="287"/>
      <c r="B528" s="171">
        <f t="shared" si="116"/>
        <v>4</v>
      </c>
      <c r="C528" s="171">
        <f t="shared" si="116"/>
        <v>4</v>
      </c>
      <c r="D528" s="171" t="str">
        <f t="shared" si="115"/>
        <v>Petite Gâterie 5</v>
      </c>
      <c r="E528" s="265">
        <f t="shared" si="117"/>
        <v>1.4</v>
      </c>
      <c r="F528" s="264">
        <f t="shared" si="117"/>
        <v>4.5</v>
      </c>
      <c r="G528" s="263">
        <f t="shared" si="118"/>
        <v>0.31111111111111112</v>
      </c>
      <c r="H528" s="262">
        <f t="shared" si="119"/>
        <v>3.1</v>
      </c>
      <c r="I528" s="261"/>
      <c r="J528" s="171"/>
      <c r="K528" s="171"/>
      <c r="L528" s="228"/>
      <c r="M528" s="227"/>
      <c r="N528" s="206"/>
    </row>
    <row r="529" spans="1:14" ht="18" x14ac:dyDescent="0.3">
      <c r="A529" s="287"/>
      <c r="B529" s="171">
        <f t="shared" si="116"/>
        <v>5</v>
      </c>
      <c r="C529" s="171">
        <f t="shared" si="116"/>
        <v>5</v>
      </c>
      <c r="D529" s="171" t="str">
        <f t="shared" si="115"/>
        <v>Petite Gâterie 6</v>
      </c>
      <c r="E529" s="265">
        <f t="shared" si="117"/>
        <v>1.24</v>
      </c>
      <c r="F529" s="264">
        <f t="shared" si="117"/>
        <v>4.5999999999999996</v>
      </c>
      <c r="G529" s="263">
        <f t="shared" si="118"/>
        <v>0.26956521739130435</v>
      </c>
      <c r="H529" s="262">
        <f t="shared" si="119"/>
        <v>3.3599999999999994</v>
      </c>
      <c r="I529" s="261"/>
      <c r="J529" s="171"/>
      <c r="K529" s="171"/>
      <c r="L529" s="228"/>
      <c r="M529" s="227"/>
      <c r="N529" s="206"/>
    </row>
    <row r="530" spans="1:14" ht="18" x14ac:dyDescent="0.3">
      <c r="A530" s="287"/>
      <c r="B530" s="171">
        <f t="shared" si="116"/>
        <v>6</v>
      </c>
      <c r="C530" s="171">
        <f t="shared" si="116"/>
        <v>6</v>
      </c>
      <c r="D530" s="171" t="str">
        <f t="shared" si="115"/>
        <v>Petite Gâterie 7</v>
      </c>
      <c r="E530" s="265">
        <f t="shared" si="117"/>
        <v>1.39</v>
      </c>
      <c r="F530" s="264">
        <f t="shared" si="117"/>
        <v>4.7</v>
      </c>
      <c r="G530" s="263">
        <f t="shared" si="118"/>
        <v>0.29574468085106381</v>
      </c>
      <c r="H530" s="262">
        <f t="shared" si="119"/>
        <v>3.3100000000000005</v>
      </c>
      <c r="I530" s="261"/>
      <c r="J530" s="171"/>
      <c r="K530" s="171"/>
      <c r="L530" s="228"/>
      <c r="M530" s="227"/>
      <c r="N530" s="206"/>
    </row>
    <row r="531" spans="1:14" ht="18" x14ac:dyDescent="0.3">
      <c r="A531" s="287"/>
      <c r="B531" s="171">
        <f t="shared" si="116"/>
        <v>7</v>
      </c>
      <c r="C531" s="171">
        <f t="shared" si="116"/>
        <v>7</v>
      </c>
      <c r="D531" s="171" t="str">
        <f t="shared" si="115"/>
        <v>Petite Gâterie 8</v>
      </c>
      <c r="E531" s="265">
        <f t="shared" si="117"/>
        <v>1.51</v>
      </c>
      <c r="F531" s="264">
        <f t="shared" si="117"/>
        <v>4.8</v>
      </c>
      <c r="G531" s="263">
        <f t="shared" si="118"/>
        <v>0.31458333333333333</v>
      </c>
      <c r="H531" s="262">
        <f t="shared" si="119"/>
        <v>3.29</v>
      </c>
      <c r="I531" s="261"/>
      <c r="J531" s="171"/>
      <c r="K531" s="171"/>
      <c r="L531" s="228"/>
      <c r="M531" s="227"/>
      <c r="N531" s="206"/>
    </row>
    <row r="532" spans="1:14" ht="18" x14ac:dyDescent="0.3">
      <c r="A532" s="287"/>
      <c r="B532" s="171">
        <f t="shared" si="116"/>
        <v>8</v>
      </c>
      <c r="C532" s="171">
        <f t="shared" si="116"/>
        <v>8</v>
      </c>
      <c r="D532" s="171" t="str">
        <f t="shared" si="115"/>
        <v>Petite Gâterie 9</v>
      </c>
      <c r="E532" s="265">
        <f t="shared" si="117"/>
        <v>1.53</v>
      </c>
      <c r="F532" s="264">
        <f t="shared" si="117"/>
        <v>4.9000000000000004</v>
      </c>
      <c r="G532" s="263">
        <f t="shared" si="118"/>
        <v>0.31224489795918364</v>
      </c>
      <c r="H532" s="262">
        <f t="shared" si="119"/>
        <v>3.37</v>
      </c>
      <c r="I532" s="261"/>
      <c r="J532" s="171"/>
      <c r="K532" s="171"/>
      <c r="L532" s="228"/>
      <c r="M532" s="227"/>
      <c r="N532" s="206"/>
    </row>
    <row r="533" spans="1:14" ht="18" x14ac:dyDescent="0.3">
      <c r="A533" s="287"/>
      <c r="B533" s="171">
        <f t="shared" si="116"/>
        <v>9</v>
      </c>
      <c r="C533" s="171">
        <f t="shared" si="116"/>
        <v>9</v>
      </c>
      <c r="D533" s="171" t="str">
        <f t="shared" si="115"/>
        <v>Petite Gâterie 10</v>
      </c>
      <c r="E533" s="265">
        <f t="shared" si="117"/>
        <v>1.55</v>
      </c>
      <c r="F533" s="264">
        <f t="shared" si="117"/>
        <v>5</v>
      </c>
      <c r="G533" s="263">
        <f t="shared" si="118"/>
        <v>0.31</v>
      </c>
      <c r="H533" s="262">
        <f t="shared" si="119"/>
        <v>3.45</v>
      </c>
      <c r="I533" s="261"/>
      <c r="J533" s="171"/>
      <c r="K533" s="171"/>
      <c r="L533" s="228"/>
      <c r="M533" s="227"/>
      <c r="N533" s="206"/>
    </row>
    <row r="534" spans="1:14" ht="18" x14ac:dyDescent="0.3">
      <c r="A534" s="287"/>
      <c r="B534" s="171">
        <f t="shared" si="116"/>
        <v>10</v>
      </c>
      <c r="C534" s="171">
        <f t="shared" si="116"/>
        <v>10</v>
      </c>
      <c r="D534" s="171" t="str">
        <f t="shared" si="115"/>
        <v>Petite Gâterie 11</v>
      </c>
      <c r="E534" s="265">
        <f t="shared" si="117"/>
        <v>1.59</v>
      </c>
      <c r="F534" s="264">
        <f t="shared" si="117"/>
        <v>5.2</v>
      </c>
      <c r="G534" s="263">
        <f t="shared" si="118"/>
        <v>0.30576923076923079</v>
      </c>
      <c r="H534" s="262">
        <f t="shared" si="119"/>
        <v>3.6100000000000003</v>
      </c>
      <c r="I534" s="261"/>
      <c r="J534" s="171"/>
      <c r="K534" s="171"/>
      <c r="L534" s="228"/>
      <c r="M534" s="227"/>
      <c r="N534" s="206"/>
    </row>
    <row r="535" spans="1:14" ht="18" x14ac:dyDescent="0.3">
      <c r="A535" s="287"/>
      <c r="B535" s="171">
        <f t="shared" si="116"/>
        <v>11</v>
      </c>
      <c r="C535" s="171">
        <f t="shared" si="116"/>
        <v>11</v>
      </c>
      <c r="D535" s="171" t="str">
        <f t="shared" si="115"/>
        <v>Petite Gâterie 12</v>
      </c>
      <c r="E535" s="265">
        <f t="shared" si="117"/>
        <v>1.83</v>
      </c>
      <c r="F535" s="264">
        <f t="shared" si="117"/>
        <v>6.4</v>
      </c>
      <c r="G535" s="263">
        <f t="shared" si="118"/>
        <v>0.28593750000000001</v>
      </c>
      <c r="H535" s="262">
        <f t="shared" si="119"/>
        <v>4.57</v>
      </c>
      <c r="I535" s="261"/>
      <c r="J535" s="171"/>
      <c r="K535" s="171"/>
      <c r="L535" s="228"/>
      <c r="M535" s="227"/>
      <c r="N535" s="206"/>
    </row>
    <row r="536" spans="1:14" ht="18" x14ac:dyDescent="0.3">
      <c r="A536" s="287"/>
      <c r="B536" s="171">
        <f t="shared" si="116"/>
        <v>12</v>
      </c>
      <c r="C536" s="171">
        <f t="shared" si="116"/>
        <v>12</v>
      </c>
      <c r="D536" s="171" t="str">
        <f t="shared" si="115"/>
        <v>CmO—PmO—Food Cost—BmO</v>
      </c>
      <c r="E536" s="265">
        <f t="shared" si="117"/>
        <v>1.87</v>
      </c>
      <c r="F536" s="264">
        <f t="shared" si="117"/>
        <v>6.6</v>
      </c>
      <c r="G536" s="263">
        <f t="shared" si="118"/>
        <v>0.28333333333333338</v>
      </c>
      <c r="H536" s="262">
        <f t="shared" si="119"/>
        <v>4.7299999999999995</v>
      </c>
      <c r="I536" s="261"/>
      <c r="J536" s="171"/>
      <c r="K536" s="171"/>
      <c r="L536" s="228"/>
      <c r="M536" s="227"/>
      <c r="N536" s="206"/>
    </row>
    <row r="537" spans="1:14" ht="19" x14ac:dyDescent="0.35">
      <c r="A537" s="287"/>
      <c r="B537" s="171"/>
      <c r="C537" s="171"/>
      <c r="D537" s="238" t="str">
        <f>D494</f>
        <v>CmO—PmO—Food Cost—BmO</v>
      </c>
      <c r="E537" s="259">
        <f>SUM(E525:E536)/C536</f>
        <v>1.4816666666666667</v>
      </c>
      <c r="F537" s="259">
        <f>SUM(F525:F536)/C536</f>
        <v>4.8166666666666673</v>
      </c>
      <c r="G537" s="274">
        <f t="shared" si="118"/>
        <v>0.30761245674740478</v>
      </c>
      <c r="H537" s="257">
        <f t="shared" si="119"/>
        <v>3.3350000000000009</v>
      </c>
      <c r="I537" s="256"/>
      <c r="J537" s="171"/>
      <c r="K537" s="171"/>
      <c r="L537" s="1022">
        <v>1.2</v>
      </c>
      <c r="M537" s="227" t="s">
        <v>1</v>
      </c>
      <c r="N537" s="206"/>
    </row>
    <row r="538" spans="1:14" ht="18" x14ac:dyDescent="0.3">
      <c r="A538" s="287"/>
      <c r="B538" s="171" t="s">
        <v>1</v>
      </c>
      <c r="C538" s="171"/>
      <c r="D538" s="171"/>
      <c r="E538" s="242"/>
      <c r="F538" s="242"/>
      <c r="G538" s="263"/>
      <c r="H538" s="240"/>
      <c r="I538" s="171"/>
      <c r="J538" s="171"/>
      <c r="K538" s="171"/>
      <c r="L538" s="228"/>
      <c r="M538" s="227"/>
      <c r="N538" s="206"/>
    </row>
    <row r="539" spans="1:14" ht="18" x14ac:dyDescent="0.3">
      <c r="A539" s="287"/>
      <c r="B539" s="171"/>
      <c r="C539" s="171"/>
      <c r="D539" s="238" t="str">
        <f t="shared" ref="D539:D551" si="120">D497</f>
        <v>Boisson spécial numéro 1</v>
      </c>
      <c r="E539" s="242"/>
      <c r="F539" s="242"/>
      <c r="G539" s="263"/>
      <c r="H539" s="240"/>
      <c r="I539" s="171"/>
      <c r="J539" s="171"/>
      <c r="K539" s="171"/>
      <c r="L539" s="228"/>
      <c r="M539" s="227"/>
      <c r="N539" s="206"/>
    </row>
    <row r="540" spans="1:14" ht="18" x14ac:dyDescent="0.3">
      <c r="A540" s="287"/>
      <c r="B540" s="171">
        <f t="shared" ref="B540:C551" si="121">B497</f>
        <v>13</v>
      </c>
      <c r="C540" s="171">
        <f t="shared" si="121"/>
        <v>1</v>
      </c>
      <c r="D540" s="171" t="str">
        <f t="shared" si="120"/>
        <v>Boisson spécial numéro 2</v>
      </c>
      <c r="E540" s="265">
        <f t="shared" ref="E540:F551" si="122">E497</f>
        <v>2.2799999999999998</v>
      </c>
      <c r="F540" s="264">
        <f t="shared" si="122"/>
        <v>6.6</v>
      </c>
      <c r="G540" s="263">
        <f t="shared" ref="G540:G552" si="123">E540/F540</f>
        <v>0.34545454545454546</v>
      </c>
      <c r="H540" s="262">
        <f t="shared" ref="H540:H552" si="124">F540-E540</f>
        <v>4.32</v>
      </c>
      <c r="I540" s="261"/>
      <c r="J540" s="171"/>
      <c r="K540" s="171"/>
      <c r="L540" s="228"/>
      <c r="M540" s="227"/>
      <c r="N540" s="206"/>
    </row>
    <row r="541" spans="1:14" ht="18" x14ac:dyDescent="0.3">
      <c r="A541" s="287"/>
      <c r="B541" s="171">
        <f t="shared" si="121"/>
        <v>14</v>
      </c>
      <c r="C541" s="171">
        <f t="shared" si="121"/>
        <v>2</v>
      </c>
      <c r="D541" s="171" t="str">
        <f t="shared" si="120"/>
        <v>Boisson spécial numéro 3</v>
      </c>
      <c r="E541" s="265">
        <f t="shared" si="122"/>
        <v>2.66</v>
      </c>
      <c r="F541" s="264">
        <f t="shared" si="122"/>
        <v>7.6</v>
      </c>
      <c r="G541" s="263">
        <f t="shared" si="123"/>
        <v>0.35000000000000003</v>
      </c>
      <c r="H541" s="262">
        <f t="shared" si="124"/>
        <v>4.9399999999999995</v>
      </c>
      <c r="I541" s="261"/>
      <c r="J541" s="171"/>
      <c r="K541" s="171"/>
      <c r="L541" s="228"/>
      <c r="M541" s="227"/>
      <c r="N541" s="206"/>
    </row>
    <row r="542" spans="1:14" ht="18" x14ac:dyDescent="0.3">
      <c r="A542" s="287"/>
      <c r="B542" s="171">
        <f t="shared" si="121"/>
        <v>15</v>
      </c>
      <c r="C542" s="171">
        <f t="shared" si="121"/>
        <v>3</v>
      </c>
      <c r="D542" s="171" t="str">
        <f t="shared" si="120"/>
        <v>Boisson spécial numéro 4</v>
      </c>
      <c r="E542" s="265">
        <f t="shared" si="122"/>
        <v>2.74</v>
      </c>
      <c r="F542" s="264">
        <f t="shared" si="122"/>
        <v>8</v>
      </c>
      <c r="G542" s="263">
        <f t="shared" si="123"/>
        <v>0.34250000000000003</v>
      </c>
      <c r="H542" s="262">
        <f t="shared" si="124"/>
        <v>5.26</v>
      </c>
      <c r="I542" s="261"/>
      <c r="J542" s="171"/>
      <c r="K542" s="171"/>
      <c r="L542" s="228"/>
      <c r="M542" s="227"/>
      <c r="N542" s="206"/>
    </row>
    <row r="543" spans="1:14" ht="18" x14ac:dyDescent="0.3">
      <c r="A543" s="287"/>
      <c r="B543" s="171">
        <f t="shared" si="121"/>
        <v>16</v>
      </c>
      <c r="C543" s="171">
        <f t="shared" si="121"/>
        <v>4</v>
      </c>
      <c r="D543" s="171" t="str">
        <f t="shared" si="120"/>
        <v>Boisson spécial numéro 5</v>
      </c>
      <c r="E543" s="265">
        <f t="shared" si="122"/>
        <v>2.72</v>
      </c>
      <c r="F543" s="264">
        <f t="shared" si="122"/>
        <v>9</v>
      </c>
      <c r="G543" s="263">
        <f t="shared" si="123"/>
        <v>0.30222222222222223</v>
      </c>
      <c r="H543" s="262">
        <f t="shared" si="124"/>
        <v>6.2799999999999994</v>
      </c>
      <c r="I543" s="261"/>
      <c r="J543" s="171"/>
      <c r="K543" s="171"/>
      <c r="L543" s="228"/>
      <c r="M543" s="227"/>
      <c r="N543" s="206"/>
    </row>
    <row r="544" spans="1:14" ht="18" x14ac:dyDescent="0.3">
      <c r="A544" s="287"/>
      <c r="B544" s="171">
        <f t="shared" si="121"/>
        <v>17</v>
      </c>
      <c r="C544" s="171">
        <f t="shared" si="121"/>
        <v>5</v>
      </c>
      <c r="D544" s="171" t="str">
        <f t="shared" si="120"/>
        <v>Boisson spécial numéro 6</v>
      </c>
      <c r="E544" s="265">
        <f t="shared" si="122"/>
        <v>2.76</v>
      </c>
      <c r="F544" s="264">
        <f t="shared" si="122"/>
        <v>9.1999999999999993</v>
      </c>
      <c r="G544" s="263">
        <f t="shared" si="123"/>
        <v>0.3</v>
      </c>
      <c r="H544" s="262">
        <f t="shared" si="124"/>
        <v>6.4399999999999995</v>
      </c>
      <c r="I544" s="261"/>
      <c r="J544" s="171"/>
      <c r="K544" s="171"/>
      <c r="L544" s="228"/>
      <c r="M544" s="227"/>
      <c r="N544" s="206"/>
    </row>
    <row r="545" spans="1:14" ht="18" x14ac:dyDescent="0.3">
      <c r="A545" s="287"/>
      <c r="B545" s="171">
        <f t="shared" si="121"/>
        <v>18</v>
      </c>
      <c r="C545" s="171">
        <f t="shared" si="121"/>
        <v>6</v>
      </c>
      <c r="D545" s="171" t="str">
        <f t="shared" si="120"/>
        <v>Boisson spécial numéro 7</v>
      </c>
      <c r="E545" s="265">
        <f t="shared" si="122"/>
        <v>2.8</v>
      </c>
      <c r="F545" s="264">
        <f t="shared" si="122"/>
        <v>9.4</v>
      </c>
      <c r="G545" s="263">
        <f t="shared" si="123"/>
        <v>0.2978723404255319</v>
      </c>
      <c r="H545" s="262">
        <f t="shared" si="124"/>
        <v>6.6000000000000005</v>
      </c>
      <c r="I545" s="261"/>
      <c r="J545" s="171"/>
      <c r="K545" s="171"/>
      <c r="L545" s="228"/>
      <c r="M545" s="227"/>
      <c r="N545" s="206"/>
    </row>
    <row r="546" spans="1:14" ht="18" x14ac:dyDescent="0.3">
      <c r="A546" s="287"/>
      <c r="B546" s="171">
        <f t="shared" si="121"/>
        <v>19</v>
      </c>
      <c r="C546" s="171">
        <f t="shared" si="121"/>
        <v>7</v>
      </c>
      <c r="D546" s="171" t="str">
        <f t="shared" si="120"/>
        <v>Boisson spécial numéro 8</v>
      </c>
      <c r="E546" s="265">
        <f t="shared" si="122"/>
        <v>2.82</v>
      </c>
      <c r="F546" s="264">
        <f t="shared" si="122"/>
        <v>9.6</v>
      </c>
      <c r="G546" s="263">
        <f t="shared" si="123"/>
        <v>0.29375000000000001</v>
      </c>
      <c r="H546" s="262">
        <f t="shared" si="124"/>
        <v>6.7799999999999994</v>
      </c>
      <c r="I546" s="261"/>
      <c r="J546" s="171"/>
      <c r="K546" s="171"/>
      <c r="L546" s="228"/>
      <c r="M546" s="227"/>
      <c r="N546" s="206"/>
    </row>
    <row r="547" spans="1:14" ht="18" x14ac:dyDescent="0.3">
      <c r="A547" s="287"/>
      <c r="B547" s="171">
        <f t="shared" si="121"/>
        <v>20</v>
      </c>
      <c r="C547" s="171">
        <f t="shared" si="121"/>
        <v>8</v>
      </c>
      <c r="D547" s="171" t="str">
        <f t="shared" si="120"/>
        <v>Boisson spécial numéro 9</v>
      </c>
      <c r="E547" s="265">
        <f t="shared" si="122"/>
        <v>2.86</v>
      </c>
      <c r="F547" s="264">
        <f t="shared" si="122"/>
        <v>9.8000000000000007</v>
      </c>
      <c r="G547" s="263">
        <f t="shared" si="123"/>
        <v>0.2918367346938775</v>
      </c>
      <c r="H547" s="262">
        <f t="shared" si="124"/>
        <v>6.9400000000000013</v>
      </c>
      <c r="I547" s="261"/>
      <c r="J547" s="171"/>
      <c r="K547" s="171"/>
      <c r="L547" s="228"/>
      <c r="M547" s="227"/>
      <c r="N547" s="206"/>
    </row>
    <row r="548" spans="1:14" ht="18" x14ac:dyDescent="0.3">
      <c r="A548" s="287"/>
      <c r="B548" s="171">
        <f t="shared" si="121"/>
        <v>21</v>
      </c>
      <c r="C548" s="171">
        <f t="shared" si="121"/>
        <v>9</v>
      </c>
      <c r="D548" s="171" t="str">
        <f t="shared" si="120"/>
        <v>Boisson spécial numéro 10</v>
      </c>
      <c r="E548" s="265">
        <f t="shared" si="122"/>
        <v>2.9</v>
      </c>
      <c r="F548" s="264">
        <f t="shared" si="122"/>
        <v>10</v>
      </c>
      <c r="G548" s="263">
        <f t="shared" si="123"/>
        <v>0.28999999999999998</v>
      </c>
      <c r="H548" s="262">
        <f t="shared" si="124"/>
        <v>7.1</v>
      </c>
      <c r="I548" s="261"/>
      <c r="J548" s="171"/>
      <c r="K548" s="171"/>
      <c r="L548" s="228"/>
      <c r="M548" s="227"/>
      <c r="N548" s="206"/>
    </row>
    <row r="549" spans="1:14" ht="18" x14ac:dyDescent="0.3">
      <c r="A549" s="287"/>
      <c r="B549" s="171">
        <f t="shared" si="121"/>
        <v>22</v>
      </c>
      <c r="C549" s="171">
        <f t="shared" si="121"/>
        <v>10</v>
      </c>
      <c r="D549" s="171" t="str">
        <f t="shared" si="120"/>
        <v>Boisson spécial numéro 11</v>
      </c>
      <c r="E549" s="265">
        <f t="shared" si="122"/>
        <v>2.98</v>
      </c>
      <c r="F549" s="264">
        <f t="shared" si="122"/>
        <v>10.4</v>
      </c>
      <c r="G549" s="263">
        <f t="shared" si="123"/>
        <v>0.28653846153846152</v>
      </c>
      <c r="H549" s="262">
        <f t="shared" si="124"/>
        <v>7.42</v>
      </c>
      <c r="I549" s="261"/>
      <c r="J549" s="171"/>
      <c r="K549" s="171"/>
      <c r="L549" s="228"/>
      <c r="M549" s="227"/>
      <c r="N549" s="206"/>
    </row>
    <row r="550" spans="1:14" ht="18" x14ac:dyDescent="0.3">
      <c r="A550" s="287"/>
      <c r="B550" s="171">
        <f t="shared" si="121"/>
        <v>23</v>
      </c>
      <c r="C550" s="171">
        <f t="shared" si="121"/>
        <v>11</v>
      </c>
      <c r="D550" s="171" t="str">
        <f t="shared" si="120"/>
        <v>Boisson spécial numéro 12</v>
      </c>
      <c r="E550" s="265">
        <f t="shared" si="122"/>
        <v>3.18</v>
      </c>
      <c r="F550" s="264">
        <f t="shared" si="122"/>
        <v>11.6</v>
      </c>
      <c r="G550" s="263">
        <f t="shared" si="123"/>
        <v>0.27413793103448281</v>
      </c>
      <c r="H550" s="262">
        <f t="shared" si="124"/>
        <v>8.42</v>
      </c>
      <c r="I550" s="261"/>
      <c r="J550" s="171"/>
      <c r="K550" s="171"/>
      <c r="L550" s="228"/>
      <c r="M550" s="227"/>
      <c r="N550" s="206"/>
    </row>
    <row r="551" spans="1:14" ht="18" x14ac:dyDescent="0.3">
      <c r="A551" s="287"/>
      <c r="B551" s="171">
        <f t="shared" si="121"/>
        <v>24</v>
      </c>
      <c r="C551" s="171">
        <f t="shared" si="121"/>
        <v>12</v>
      </c>
      <c r="D551" s="171" t="str">
        <f t="shared" si="120"/>
        <v>CmO—PmO—Beverage Cost—Marge brute</v>
      </c>
      <c r="E551" s="265">
        <f t="shared" si="122"/>
        <v>3.48</v>
      </c>
      <c r="F551" s="264">
        <f t="shared" si="122"/>
        <v>13.2</v>
      </c>
      <c r="G551" s="263">
        <f t="shared" si="123"/>
        <v>0.26363636363636367</v>
      </c>
      <c r="H551" s="262">
        <f t="shared" si="124"/>
        <v>9.7199999999999989</v>
      </c>
      <c r="I551" s="261"/>
      <c r="J551" s="171"/>
      <c r="K551" s="171"/>
      <c r="L551" s="228"/>
      <c r="M551" s="227"/>
      <c r="N551" s="206"/>
    </row>
    <row r="552" spans="1:14" ht="19" x14ac:dyDescent="0.35">
      <c r="A552" s="287"/>
      <c r="B552" s="171"/>
      <c r="C552" s="171"/>
      <c r="D552" s="238" t="str">
        <f>D509</f>
        <v>CmO—PmO—Beverage Cost—Marge brute</v>
      </c>
      <c r="E552" s="259">
        <f>SUM(E540:E551)/C551</f>
        <v>2.8483333333333332</v>
      </c>
      <c r="F552" s="259">
        <f>SUM(F540:F551)/C551</f>
        <v>9.5333333333333332</v>
      </c>
      <c r="G552" s="258">
        <f t="shared" si="123"/>
        <v>0.29877622377622376</v>
      </c>
      <c r="H552" s="257">
        <f t="shared" si="124"/>
        <v>6.6850000000000005</v>
      </c>
      <c r="I552" s="256"/>
      <c r="J552" s="171"/>
      <c r="K552" s="171"/>
      <c r="L552" s="1022">
        <v>1.2</v>
      </c>
      <c r="M552" s="227" t="str">
        <f>$M$21</f>
        <v xml:space="preserve"> </v>
      </c>
      <c r="N552" s="206"/>
    </row>
    <row r="553" spans="1:14" ht="19" thickBot="1" x14ac:dyDescent="0.35">
      <c r="A553" s="287"/>
      <c r="B553" s="171"/>
      <c r="C553" s="171"/>
      <c r="D553" s="171"/>
      <c r="E553" s="242"/>
      <c r="F553" s="242"/>
      <c r="G553" s="241"/>
      <c r="H553" s="240"/>
      <c r="I553" s="171"/>
      <c r="J553" s="171"/>
      <c r="K553" s="171"/>
      <c r="L553" s="228"/>
      <c r="M553" s="227"/>
      <c r="N553" s="206"/>
    </row>
    <row r="554" spans="1:14" ht="21" thickTop="1" thickBot="1" x14ac:dyDescent="0.4">
      <c r="A554" s="287"/>
      <c r="B554" s="171"/>
      <c r="C554" s="253"/>
      <c r="D554" s="252"/>
      <c r="E554" s="251"/>
      <c r="F554" s="251"/>
      <c r="G554" s="250"/>
      <c r="H554" s="249"/>
      <c r="I554" s="248"/>
      <c r="J554" s="171"/>
      <c r="K554" s="171"/>
      <c r="L554" s="228"/>
      <c r="M554" s="227"/>
      <c r="N554" s="206"/>
    </row>
    <row r="555" spans="1:14" ht="20" thickTop="1" thickBot="1" x14ac:dyDescent="0.35">
      <c r="A555" s="287"/>
      <c r="B555" s="171"/>
      <c r="C555" s="233"/>
      <c r="D555" s="238"/>
      <c r="E555" s="247" t="str">
        <f>E512</f>
        <v>CmO</v>
      </c>
      <c r="F555" s="247" t="str">
        <f>F512</f>
        <v>PmO</v>
      </c>
      <c r="G555" s="246" t="str">
        <f>G512</f>
        <v>F&amp;BCmO</v>
      </c>
      <c r="H555" s="245" t="str">
        <f>H512</f>
        <v>BmO</v>
      </c>
      <c r="I555" s="244"/>
      <c r="J555" s="171"/>
      <c r="K555" s="171"/>
      <c r="L555" s="228"/>
      <c r="M555" s="227"/>
      <c r="N555" s="206"/>
    </row>
    <row r="556" spans="1:14" ht="19" thickTop="1" x14ac:dyDescent="0.3">
      <c r="A556" s="287"/>
      <c r="B556" s="171"/>
      <c r="C556" s="233"/>
      <c r="D556" s="243" t="str">
        <f>D513</f>
        <v>OFFRE TOTALE AVEC LES GÂTERIES ET LES CAFÉS GÂTERIES</v>
      </c>
      <c r="E556" s="242"/>
      <c r="F556" s="242"/>
      <c r="G556" s="241"/>
      <c r="H556" s="240"/>
      <c r="I556" s="239"/>
      <c r="J556" s="171"/>
      <c r="K556" s="171"/>
      <c r="L556" s="228"/>
      <c r="M556" s="227"/>
      <c r="N556" s="206"/>
    </row>
    <row r="557" spans="1:14" ht="19" x14ac:dyDescent="0.35">
      <c r="A557" s="287"/>
      <c r="B557" s="171"/>
      <c r="C557" s="233"/>
      <c r="D557" s="238" t="str">
        <f>D514</f>
        <v>CmO—PmO—F&amp;B cost moyen offert—Marge brute</v>
      </c>
      <c r="E557" s="237">
        <f>+(E525+E526+E527+E528+E529+E530+E531+E532+E533+E534+E535+E536+E540+E541+E542+E543+E544+E545+E546+E547+E548+E549+E550+E551)/B551</f>
        <v>2.1649999999999996</v>
      </c>
      <c r="F557" s="237">
        <f>+(F525+F526+F527+F528+F529+F530+F531+F532+F533+F534+F535+F536+F540+F541+F542+F543+F544+F545+F546+F547+F548+F549+F550+F551)/B551</f>
        <v>7.1749999999999998</v>
      </c>
      <c r="G557" s="236">
        <f>E557/F557</f>
        <v>0.30174216027874562</v>
      </c>
      <c r="H557" s="235">
        <f>F557-E557</f>
        <v>5.01</v>
      </c>
      <c r="I557" s="234"/>
      <c r="J557" s="171"/>
      <c r="K557" s="171"/>
      <c r="L557" s="228">
        <f>+L537+L552</f>
        <v>2.4</v>
      </c>
      <c r="M557" s="227">
        <f>'% Occupation'!P19</f>
        <v>5060</v>
      </c>
      <c r="N557" s="206"/>
    </row>
    <row r="558" spans="1:14" ht="18" x14ac:dyDescent="0.3">
      <c r="A558" s="287"/>
      <c r="B558" s="171"/>
      <c r="C558" s="233"/>
      <c r="D558" s="171"/>
      <c r="E558" s="232"/>
      <c r="F558" s="232"/>
      <c r="G558" s="231"/>
      <c r="H558" s="230"/>
      <c r="I558" s="229"/>
      <c r="J558" s="171"/>
      <c r="K558" s="171"/>
      <c r="L558" s="228"/>
      <c r="M558" s="227"/>
      <c r="N558" s="206"/>
    </row>
    <row r="559" spans="1:14" ht="19" thickBot="1" x14ac:dyDescent="0.35">
      <c r="A559" s="287"/>
      <c r="B559" s="171"/>
      <c r="C559" s="226"/>
      <c r="D559" s="225"/>
      <c r="E559" s="224"/>
      <c r="F559" s="224"/>
      <c r="G559" s="223"/>
      <c r="H559" s="222"/>
      <c r="I559" s="221"/>
      <c r="J559" s="171"/>
      <c r="K559" s="171"/>
      <c r="L559" s="220"/>
      <c r="M559" s="219"/>
      <c r="N559" s="206"/>
    </row>
    <row r="560" spans="1:14" ht="19" thickTop="1" x14ac:dyDescent="0.3">
      <c r="A560" s="287"/>
      <c r="B560" s="171"/>
      <c r="C560" s="171"/>
      <c r="D560" s="243"/>
      <c r="E560" s="232"/>
      <c r="F560" s="232"/>
      <c r="G560" s="231"/>
      <c r="H560" s="230"/>
      <c r="I560" s="230"/>
      <c r="J560" s="171"/>
      <c r="K560" s="171"/>
      <c r="L560" s="286"/>
      <c r="M560" s="285"/>
      <c r="N560" s="206"/>
    </row>
    <row r="561" spans="2:14" ht="23" x14ac:dyDescent="0.3">
      <c r="D561" s="284" t="s">
        <v>80</v>
      </c>
      <c r="F561" s="280"/>
      <c r="L561" s="209"/>
      <c r="M561" s="207"/>
      <c r="N561" s="206"/>
    </row>
    <row r="562" spans="2:14" ht="24" thickBot="1" x14ac:dyDescent="0.35">
      <c r="D562" s="282"/>
      <c r="L562" s="209"/>
      <c r="M562" s="207"/>
      <c r="N562" s="206"/>
    </row>
    <row r="563" spans="2:14" ht="23" customHeight="1" thickTop="1" x14ac:dyDescent="0.25">
      <c r="D563" s="282"/>
      <c r="E563" s="1335" t="str">
        <f>E477</f>
        <v>Coûts des ressources alimentaires pour chaque produit offert (voir recettes standardisées)</v>
      </c>
      <c r="F563" s="1335" t="str">
        <f>F477</f>
        <v>Prix de vente par produit offert</v>
      </c>
      <c r="G563" s="1335" t="str">
        <f>G477</f>
        <v xml:space="preserve">« Food &amp; Beverage Cost » </v>
      </c>
      <c r="H563" s="1335" t="str">
        <f>H477</f>
        <v>Marge brute gagnée sur la vente de chaque produit offert</v>
      </c>
      <c r="I563" s="283"/>
      <c r="L563" s="1329" t="s">
        <v>79</v>
      </c>
      <c r="M563" s="1329" t="s">
        <v>78</v>
      </c>
      <c r="N563" s="206"/>
    </row>
    <row r="564" spans="2:14" ht="22" x14ac:dyDescent="0.25">
      <c r="D564" s="282"/>
      <c r="E564" s="1336"/>
      <c r="F564" s="1338"/>
      <c r="G564" s="1338"/>
      <c r="H564" s="1338"/>
      <c r="I564" s="281"/>
      <c r="L564" s="1330"/>
      <c r="M564" s="1340"/>
      <c r="N564" s="206"/>
    </row>
    <row r="565" spans="2:14" ht="14" customHeight="1" thickBot="1" x14ac:dyDescent="0.25">
      <c r="E565" s="1337"/>
      <c r="F565" s="1339"/>
      <c r="G565" s="1339"/>
      <c r="H565" s="1339"/>
      <c r="I565" s="281"/>
      <c r="L565" s="1331"/>
      <c r="M565" s="1341"/>
      <c r="N565" s="206"/>
    </row>
    <row r="566" spans="2:14" ht="20" thickTop="1" thickBot="1" x14ac:dyDescent="0.35">
      <c r="B566" s="138" t="s">
        <v>1</v>
      </c>
      <c r="E566" s="280"/>
      <c r="F566" s="280"/>
      <c r="G566" s="279"/>
      <c r="L566" s="209"/>
      <c r="M566" s="207"/>
      <c r="N566" s="206"/>
    </row>
    <row r="567" spans="2:14" ht="19" thickTop="1" x14ac:dyDescent="0.3">
      <c r="B567" s="171"/>
      <c r="C567" s="171"/>
      <c r="D567" s="238" t="str">
        <f t="shared" ref="D567:D580" si="125">D481</f>
        <v>Les Petite Gâteries</v>
      </c>
      <c r="E567" s="261"/>
      <c r="F567" s="261"/>
      <c r="G567" s="241"/>
      <c r="H567" s="171"/>
      <c r="I567" s="171"/>
      <c r="J567" s="171"/>
      <c r="K567" s="171"/>
      <c r="L567" s="278"/>
      <c r="M567" s="277"/>
      <c r="N567" s="206"/>
    </row>
    <row r="568" spans="2:14" ht="18" x14ac:dyDescent="0.3">
      <c r="B568" s="171">
        <f t="shared" ref="B568:C579" si="126">B482</f>
        <v>1</v>
      </c>
      <c r="C568" s="171">
        <f t="shared" si="126"/>
        <v>1</v>
      </c>
      <c r="D568" s="171" t="str">
        <f t="shared" si="125"/>
        <v>Petite Gâterie 1</v>
      </c>
      <c r="E568" s="265">
        <f>(E9+E52+E95+E138+E181+E224+E267+E310+E353+E396+E439+E482+E525)/13</f>
        <v>1.2100000000000004</v>
      </c>
      <c r="F568" s="273">
        <f t="shared" ref="F568:F579" si="127">(F9+F52+F95+F138+F181+F224+F267+F310+F353+F396+F439+F482)/12</f>
        <v>3.2999999999999994</v>
      </c>
      <c r="G568" s="263">
        <f t="shared" ref="G568:G580" si="128">E568/F568</f>
        <v>0.36666666666666686</v>
      </c>
      <c r="H568" s="262">
        <f t="shared" ref="H568:H580" si="129">F568-E568</f>
        <v>2.089999999999999</v>
      </c>
      <c r="I568" s="261">
        <f>F568</f>
        <v>3.2999999999999994</v>
      </c>
      <c r="J568" s="1342">
        <f>3/12</f>
        <v>0.25</v>
      </c>
      <c r="K568" s="266"/>
      <c r="L568" s="276"/>
      <c r="M568" s="227"/>
      <c r="N568" s="206"/>
    </row>
    <row r="569" spans="2:14" ht="18" x14ac:dyDescent="0.3">
      <c r="B569" s="171">
        <f t="shared" si="126"/>
        <v>2</v>
      </c>
      <c r="C569" s="171">
        <f t="shared" si="126"/>
        <v>2</v>
      </c>
      <c r="D569" s="171" t="str">
        <f t="shared" si="125"/>
        <v>Petite Gâterie 2</v>
      </c>
      <c r="E569" s="265">
        <f t="shared" ref="E569:E579" si="130">(E10+E53+E96+E139+E182+E225+E268+E311+E354+E397+E440+E483)/12</f>
        <v>1.3100000000000003</v>
      </c>
      <c r="F569" s="273">
        <f t="shared" si="127"/>
        <v>3.7999999999999994</v>
      </c>
      <c r="G569" s="263">
        <f t="shared" si="128"/>
        <v>0.34473684210526329</v>
      </c>
      <c r="H569" s="262">
        <f t="shared" si="129"/>
        <v>2.4899999999999993</v>
      </c>
      <c r="I569" s="261"/>
      <c r="J569" s="1333"/>
      <c r="K569" s="260"/>
      <c r="L569" s="228"/>
      <c r="M569" s="227"/>
      <c r="N569" s="206"/>
    </row>
    <row r="570" spans="2:14" ht="19" thickBot="1" x14ac:dyDescent="0.35">
      <c r="B570" s="272">
        <f t="shared" si="126"/>
        <v>3</v>
      </c>
      <c r="C570" s="272">
        <f t="shared" si="126"/>
        <v>3</v>
      </c>
      <c r="D570" s="272" t="str">
        <f t="shared" si="125"/>
        <v>Petite Gâterie 3</v>
      </c>
      <c r="E570" s="271">
        <f t="shared" si="130"/>
        <v>1.3499999999999999</v>
      </c>
      <c r="F570" s="275">
        <f t="shared" si="127"/>
        <v>4</v>
      </c>
      <c r="G570" s="269">
        <f t="shared" si="128"/>
        <v>0.33749999999999997</v>
      </c>
      <c r="H570" s="268">
        <f t="shared" si="129"/>
        <v>2.6500000000000004</v>
      </c>
      <c r="I570" s="267">
        <f>+I568+1.073333</f>
        <v>4.3733329999999997</v>
      </c>
      <c r="J570" s="1334"/>
      <c r="K570" s="260"/>
      <c r="L570" s="228"/>
      <c r="M570" s="227"/>
      <c r="N570" s="206"/>
    </row>
    <row r="571" spans="2:14" ht="18" x14ac:dyDescent="0.3">
      <c r="B571" s="171">
        <f t="shared" si="126"/>
        <v>4</v>
      </c>
      <c r="C571" s="171">
        <f t="shared" si="126"/>
        <v>4</v>
      </c>
      <c r="D571" s="171" t="str">
        <f t="shared" si="125"/>
        <v>Petite Gâterie 4</v>
      </c>
      <c r="E571" s="265">
        <f t="shared" si="130"/>
        <v>1.4000000000000001</v>
      </c>
      <c r="F571" s="273">
        <f t="shared" si="127"/>
        <v>4.5</v>
      </c>
      <c r="G571" s="263">
        <f t="shared" si="128"/>
        <v>0.31111111111111112</v>
      </c>
      <c r="H571" s="262">
        <f t="shared" si="129"/>
        <v>3.0999999999999996</v>
      </c>
      <c r="I571" s="261">
        <f>+I570+0.01</f>
        <v>4.3833329999999995</v>
      </c>
      <c r="J571" s="1332">
        <f>7/12</f>
        <v>0.58333333333333337</v>
      </c>
      <c r="K571" s="266"/>
      <c r="L571" s="228"/>
      <c r="M571" s="227"/>
      <c r="N571" s="206"/>
    </row>
    <row r="572" spans="2:14" ht="18" x14ac:dyDescent="0.3">
      <c r="B572" s="171">
        <f t="shared" si="126"/>
        <v>5</v>
      </c>
      <c r="C572" s="171">
        <f t="shared" si="126"/>
        <v>5</v>
      </c>
      <c r="D572" s="171" t="str">
        <f t="shared" si="125"/>
        <v>Petite Gâterie 5</v>
      </c>
      <c r="E572" s="265">
        <f t="shared" si="130"/>
        <v>1.24</v>
      </c>
      <c r="F572" s="273">
        <f t="shared" si="127"/>
        <v>4.6000000000000005</v>
      </c>
      <c r="G572" s="263">
        <f t="shared" si="128"/>
        <v>0.26956521739130429</v>
      </c>
      <c r="H572" s="262">
        <f t="shared" si="129"/>
        <v>3.3600000000000003</v>
      </c>
      <c r="I572" s="261"/>
      <c r="J572" s="1333"/>
      <c r="K572" s="260"/>
      <c r="L572" s="228"/>
      <c r="M572" s="227"/>
      <c r="N572" s="206"/>
    </row>
    <row r="573" spans="2:14" ht="18" x14ac:dyDescent="0.3">
      <c r="B573" s="171">
        <f t="shared" si="126"/>
        <v>6</v>
      </c>
      <c r="C573" s="171">
        <f t="shared" si="126"/>
        <v>6</v>
      </c>
      <c r="D573" s="171" t="str">
        <f t="shared" si="125"/>
        <v>Petite Gâterie 6</v>
      </c>
      <c r="E573" s="265">
        <f t="shared" si="130"/>
        <v>1.3900000000000003</v>
      </c>
      <c r="F573" s="273">
        <f t="shared" si="127"/>
        <v>4.7000000000000011</v>
      </c>
      <c r="G573" s="263">
        <f t="shared" si="128"/>
        <v>0.29574468085106381</v>
      </c>
      <c r="H573" s="262">
        <f t="shared" si="129"/>
        <v>3.3100000000000005</v>
      </c>
      <c r="I573" s="261"/>
      <c r="J573" s="1333"/>
      <c r="K573" s="260"/>
      <c r="L573" s="228"/>
      <c r="M573" s="227"/>
      <c r="N573" s="206"/>
    </row>
    <row r="574" spans="2:14" ht="18" x14ac:dyDescent="0.3">
      <c r="B574" s="171">
        <f t="shared" si="126"/>
        <v>7</v>
      </c>
      <c r="C574" s="171">
        <f t="shared" si="126"/>
        <v>7</v>
      </c>
      <c r="D574" s="171" t="str">
        <f t="shared" si="125"/>
        <v>Petite Gâterie 7</v>
      </c>
      <c r="E574" s="265">
        <f t="shared" si="130"/>
        <v>1.51</v>
      </c>
      <c r="F574" s="273">
        <f t="shared" si="127"/>
        <v>4.7999999999999989</v>
      </c>
      <c r="G574" s="263">
        <f t="shared" si="128"/>
        <v>0.31458333333333338</v>
      </c>
      <c r="H574" s="262">
        <f t="shared" si="129"/>
        <v>3.2899999999999991</v>
      </c>
      <c r="I574" s="261"/>
      <c r="J574" s="1333"/>
      <c r="K574" s="260"/>
      <c r="L574" s="228"/>
      <c r="M574" s="227"/>
      <c r="N574" s="206"/>
    </row>
    <row r="575" spans="2:14" ht="18" x14ac:dyDescent="0.3">
      <c r="B575" s="171">
        <f t="shared" si="126"/>
        <v>8</v>
      </c>
      <c r="C575" s="171">
        <f t="shared" si="126"/>
        <v>8</v>
      </c>
      <c r="D575" s="171" t="str">
        <f t="shared" si="125"/>
        <v>Petite Gâterie 8</v>
      </c>
      <c r="E575" s="265">
        <f t="shared" si="130"/>
        <v>1.53</v>
      </c>
      <c r="F575" s="273">
        <f t="shared" si="127"/>
        <v>4.8999999999999995</v>
      </c>
      <c r="G575" s="263">
        <f t="shared" si="128"/>
        <v>0.3122448979591837</v>
      </c>
      <c r="H575" s="262">
        <f t="shared" si="129"/>
        <v>3.3699999999999992</v>
      </c>
      <c r="I575" s="261"/>
      <c r="J575" s="1333"/>
      <c r="K575" s="260"/>
      <c r="L575" s="228"/>
      <c r="M575" s="227"/>
      <c r="N575" s="206"/>
    </row>
    <row r="576" spans="2:14" ht="18" x14ac:dyDescent="0.3">
      <c r="B576" s="171">
        <f t="shared" si="126"/>
        <v>9</v>
      </c>
      <c r="C576" s="171">
        <f t="shared" si="126"/>
        <v>9</v>
      </c>
      <c r="D576" s="171" t="str">
        <f t="shared" si="125"/>
        <v>Petite Gâterie 9</v>
      </c>
      <c r="E576" s="265">
        <f t="shared" si="130"/>
        <v>1.5500000000000005</v>
      </c>
      <c r="F576" s="273">
        <f t="shared" si="127"/>
        <v>5</v>
      </c>
      <c r="G576" s="263">
        <f t="shared" si="128"/>
        <v>0.31000000000000011</v>
      </c>
      <c r="H576" s="262">
        <f t="shared" si="129"/>
        <v>3.4499999999999993</v>
      </c>
      <c r="I576" s="261"/>
      <c r="J576" s="1333"/>
      <c r="K576" s="260"/>
      <c r="L576" s="228"/>
      <c r="M576" s="227"/>
      <c r="N576" s="206"/>
    </row>
    <row r="577" spans="2:14" ht="19" thickBot="1" x14ac:dyDescent="0.35">
      <c r="B577" s="272">
        <f t="shared" si="126"/>
        <v>10</v>
      </c>
      <c r="C577" s="272">
        <f t="shared" si="126"/>
        <v>10</v>
      </c>
      <c r="D577" s="272" t="str">
        <f t="shared" si="125"/>
        <v>Petite Gâterie 10</v>
      </c>
      <c r="E577" s="271">
        <f t="shared" si="130"/>
        <v>1.59</v>
      </c>
      <c r="F577" s="275">
        <f t="shared" si="127"/>
        <v>5.2000000000000011</v>
      </c>
      <c r="G577" s="269">
        <f t="shared" si="128"/>
        <v>0.30576923076923074</v>
      </c>
      <c r="H577" s="268">
        <f t="shared" si="129"/>
        <v>3.6100000000000012</v>
      </c>
      <c r="I577" s="267">
        <f>+I570+1.073333</f>
        <v>5.4466659999999996</v>
      </c>
      <c r="J577" s="1334"/>
      <c r="K577" s="260"/>
      <c r="L577" s="228"/>
      <c r="M577" s="227"/>
      <c r="N577" s="206"/>
    </row>
    <row r="578" spans="2:14" ht="18" x14ac:dyDescent="0.3">
      <c r="B578" s="171">
        <f t="shared" si="126"/>
        <v>11</v>
      </c>
      <c r="C578" s="171">
        <f t="shared" si="126"/>
        <v>11</v>
      </c>
      <c r="D578" s="171" t="str">
        <f t="shared" si="125"/>
        <v>Petite Gâterie 11</v>
      </c>
      <c r="E578" s="265">
        <f t="shared" si="130"/>
        <v>1.8299999999999994</v>
      </c>
      <c r="F578" s="273">
        <f t="shared" si="127"/>
        <v>6.3999999999999995</v>
      </c>
      <c r="G578" s="263">
        <f t="shared" si="128"/>
        <v>0.28593749999999996</v>
      </c>
      <c r="H578" s="262">
        <f t="shared" si="129"/>
        <v>4.57</v>
      </c>
      <c r="I578" s="261">
        <f>+I577+0.01</f>
        <v>5.4566659999999994</v>
      </c>
      <c r="J578" s="1332">
        <f>2/12</f>
        <v>0.16666666666666666</v>
      </c>
      <c r="K578" s="266"/>
      <c r="L578" s="228"/>
      <c r="M578" s="227"/>
      <c r="N578" s="206"/>
    </row>
    <row r="579" spans="2:14" ht="18" x14ac:dyDescent="0.3">
      <c r="B579" s="171">
        <f t="shared" si="126"/>
        <v>12</v>
      </c>
      <c r="C579" s="171">
        <f t="shared" si="126"/>
        <v>12</v>
      </c>
      <c r="D579" s="171" t="str">
        <f t="shared" si="125"/>
        <v>Petite Gâterie 12</v>
      </c>
      <c r="E579" s="265">
        <f t="shared" si="130"/>
        <v>1.8700000000000008</v>
      </c>
      <c r="F579" s="273">
        <f t="shared" si="127"/>
        <v>6.5999999999999988</v>
      </c>
      <c r="G579" s="263">
        <f t="shared" si="128"/>
        <v>0.28333333333333349</v>
      </c>
      <c r="H579" s="262">
        <f t="shared" si="129"/>
        <v>4.7299999999999978</v>
      </c>
      <c r="I579" s="261">
        <f>F579</f>
        <v>6.5999999999999988</v>
      </c>
      <c r="J579" s="1333"/>
      <c r="K579" s="260"/>
      <c r="L579" s="228"/>
      <c r="M579" s="227"/>
      <c r="N579" s="206"/>
    </row>
    <row r="580" spans="2:14" ht="19" x14ac:dyDescent="0.35">
      <c r="B580" s="171"/>
      <c r="C580" s="171"/>
      <c r="D580" s="238" t="str">
        <f t="shared" si="125"/>
        <v>CmO—PmO—Food Cost—BmO</v>
      </c>
      <c r="E580" s="259">
        <f>SUM(E568:E579)/C579</f>
        <v>1.4816666666666667</v>
      </c>
      <c r="F580" s="237">
        <f>SUM(F568:F579)/C579</f>
        <v>4.8166666666666664</v>
      </c>
      <c r="G580" s="274">
        <f t="shared" si="128"/>
        <v>0.30761245674740484</v>
      </c>
      <c r="H580" s="257">
        <f t="shared" si="129"/>
        <v>3.335</v>
      </c>
      <c r="I580" s="256"/>
      <c r="J580" s="171"/>
      <c r="K580" s="171"/>
      <c r="L580" s="255">
        <f>+(L21+L64+L107+L150+L193+L236+L279+L322+L365+L408+L451+L494+L537)/13</f>
        <v>1.0846153846153845</v>
      </c>
      <c r="M580" s="227" t="str">
        <f>$M$21</f>
        <v xml:space="preserve"> </v>
      </c>
      <c r="N580" s="206"/>
    </row>
    <row r="581" spans="2:14" ht="18" x14ac:dyDescent="0.3">
      <c r="B581" s="171" t="s">
        <v>1</v>
      </c>
      <c r="C581" s="171"/>
      <c r="D581" s="171"/>
      <c r="E581" s="242"/>
      <c r="F581" s="242"/>
      <c r="G581" s="263"/>
      <c r="H581" s="240"/>
      <c r="I581" s="261"/>
      <c r="J581" s="171"/>
      <c r="K581" s="171"/>
      <c r="L581" s="228"/>
      <c r="M581" s="227"/>
      <c r="N581" s="206"/>
    </row>
    <row r="582" spans="2:14" ht="18" x14ac:dyDescent="0.3">
      <c r="B582" s="171"/>
      <c r="C582" s="171"/>
      <c r="D582" s="238" t="str">
        <f t="shared" ref="D582:D595" si="131">D496</f>
        <v>Les Boissons  Gâteries</v>
      </c>
      <c r="E582" s="242"/>
      <c r="F582" s="242"/>
      <c r="G582" s="263"/>
      <c r="H582" s="240"/>
      <c r="I582" s="261"/>
      <c r="J582" s="171"/>
      <c r="K582" s="171"/>
      <c r="L582" s="228"/>
      <c r="M582" s="227"/>
      <c r="N582" s="206"/>
    </row>
    <row r="583" spans="2:14" ht="18" x14ac:dyDescent="0.3">
      <c r="B583" s="171">
        <f t="shared" ref="B583:C594" si="132">B497</f>
        <v>13</v>
      </c>
      <c r="C583" s="171">
        <f t="shared" si="132"/>
        <v>1</v>
      </c>
      <c r="D583" s="171" t="str">
        <f t="shared" si="131"/>
        <v>Boisson spécial numéro 1</v>
      </c>
      <c r="E583" s="265">
        <f t="shared" ref="E583:F594" si="133">(E24+E67+E110+E153+E196+E239+E282+E325+E368+E411+E454+E497)/12</f>
        <v>2.2800000000000002</v>
      </c>
      <c r="F583" s="273">
        <f t="shared" si="133"/>
        <v>6.5999999999999988</v>
      </c>
      <c r="G583" s="263">
        <f t="shared" ref="G583:G595" si="134">E583/F583</f>
        <v>0.34545454545454557</v>
      </c>
      <c r="H583" s="262">
        <f t="shared" ref="H583:H595" si="135">F583-E583</f>
        <v>4.3199999999999985</v>
      </c>
      <c r="I583" s="261">
        <f>F583</f>
        <v>6.5999999999999988</v>
      </c>
      <c r="J583" s="1342">
        <f>3/12</f>
        <v>0.25</v>
      </c>
      <c r="K583" s="266"/>
      <c r="L583" s="228"/>
      <c r="M583" s="227"/>
      <c r="N583" s="206"/>
    </row>
    <row r="584" spans="2:14" ht="18" x14ac:dyDescent="0.3">
      <c r="B584" s="171">
        <f t="shared" si="132"/>
        <v>14</v>
      </c>
      <c r="C584" s="171">
        <f t="shared" si="132"/>
        <v>2</v>
      </c>
      <c r="D584" s="171" t="str">
        <f t="shared" si="131"/>
        <v>Boisson spécial numéro 2</v>
      </c>
      <c r="E584" s="265">
        <f t="shared" si="133"/>
        <v>2.66</v>
      </c>
      <c r="F584" s="264">
        <f t="shared" si="133"/>
        <v>7.5999999999999988</v>
      </c>
      <c r="G584" s="263">
        <f t="shared" si="134"/>
        <v>0.35000000000000009</v>
      </c>
      <c r="H584" s="262">
        <f t="shared" si="135"/>
        <v>4.9399999999999986</v>
      </c>
      <c r="I584" s="261"/>
      <c r="J584" s="1333"/>
      <c r="K584" s="260"/>
      <c r="L584" s="228"/>
      <c r="M584" s="227"/>
      <c r="N584" s="206"/>
    </row>
    <row r="585" spans="2:14" ht="19" thickBot="1" x14ac:dyDescent="0.35">
      <c r="B585" s="272">
        <f t="shared" si="132"/>
        <v>15</v>
      </c>
      <c r="C585" s="272">
        <f t="shared" si="132"/>
        <v>3</v>
      </c>
      <c r="D585" s="272" t="str">
        <f t="shared" si="131"/>
        <v>Boisson spécial numéro 3</v>
      </c>
      <c r="E585" s="271">
        <f t="shared" si="133"/>
        <v>2.7400000000000007</v>
      </c>
      <c r="F585" s="270">
        <f t="shared" si="133"/>
        <v>8</v>
      </c>
      <c r="G585" s="269">
        <f t="shared" si="134"/>
        <v>0.34250000000000008</v>
      </c>
      <c r="H585" s="268">
        <f t="shared" si="135"/>
        <v>5.26</v>
      </c>
      <c r="I585" s="267">
        <f>+I583+2.15</f>
        <v>8.7499999999999982</v>
      </c>
      <c r="J585" s="1334"/>
      <c r="K585" s="260"/>
      <c r="L585" s="228"/>
      <c r="M585" s="227"/>
      <c r="N585" s="206"/>
    </row>
    <row r="586" spans="2:14" ht="18" x14ac:dyDescent="0.3">
      <c r="B586" s="171">
        <f t="shared" si="132"/>
        <v>16</v>
      </c>
      <c r="C586" s="171">
        <f t="shared" si="132"/>
        <v>4</v>
      </c>
      <c r="D586" s="171" t="str">
        <f t="shared" si="131"/>
        <v>Boisson spécial numéro 4</v>
      </c>
      <c r="E586" s="265">
        <f t="shared" si="133"/>
        <v>2.7199999999999993</v>
      </c>
      <c r="F586" s="273">
        <f t="shared" si="133"/>
        <v>9</v>
      </c>
      <c r="G586" s="263">
        <f t="shared" si="134"/>
        <v>0.30222222222222217</v>
      </c>
      <c r="H586" s="262">
        <f t="shared" si="135"/>
        <v>6.2800000000000011</v>
      </c>
      <c r="I586" s="261">
        <f>+I585+0.01</f>
        <v>8.759999999999998</v>
      </c>
      <c r="J586" s="1342">
        <f>7/12</f>
        <v>0.58333333333333337</v>
      </c>
      <c r="K586" s="266"/>
      <c r="L586" s="228"/>
      <c r="M586" s="227"/>
      <c r="N586" s="206"/>
    </row>
    <row r="587" spans="2:14" ht="18" x14ac:dyDescent="0.3">
      <c r="B587" s="171">
        <f t="shared" si="132"/>
        <v>17</v>
      </c>
      <c r="C587" s="171">
        <f t="shared" si="132"/>
        <v>5</v>
      </c>
      <c r="D587" s="171" t="str">
        <f t="shared" si="131"/>
        <v>Boisson spécial numéro 5</v>
      </c>
      <c r="E587" s="265">
        <f t="shared" si="133"/>
        <v>2.7599999999999993</v>
      </c>
      <c r="F587" s="264">
        <f t="shared" si="133"/>
        <v>9.2000000000000011</v>
      </c>
      <c r="G587" s="263">
        <f t="shared" si="134"/>
        <v>0.29999999999999988</v>
      </c>
      <c r="H587" s="262">
        <f t="shared" si="135"/>
        <v>6.4400000000000013</v>
      </c>
      <c r="I587" s="261"/>
      <c r="J587" s="1333"/>
      <c r="K587" s="260"/>
      <c r="L587" s="228"/>
      <c r="M587" s="227"/>
      <c r="N587" s="206"/>
    </row>
    <row r="588" spans="2:14" ht="18" x14ac:dyDescent="0.3">
      <c r="B588" s="171">
        <f t="shared" si="132"/>
        <v>18</v>
      </c>
      <c r="C588" s="171">
        <f t="shared" si="132"/>
        <v>6</v>
      </c>
      <c r="D588" s="171" t="str">
        <f t="shared" si="131"/>
        <v>Boisson spécial numéro 6</v>
      </c>
      <c r="E588" s="265">
        <f t="shared" si="133"/>
        <v>2.8000000000000003</v>
      </c>
      <c r="F588" s="264">
        <f t="shared" si="133"/>
        <v>9.4000000000000021</v>
      </c>
      <c r="G588" s="263">
        <f t="shared" si="134"/>
        <v>0.2978723404255319</v>
      </c>
      <c r="H588" s="262">
        <f t="shared" si="135"/>
        <v>6.6000000000000014</v>
      </c>
      <c r="I588" s="261"/>
      <c r="J588" s="1333"/>
      <c r="K588" s="260"/>
      <c r="L588" s="228"/>
      <c r="M588" s="227"/>
      <c r="N588" s="206"/>
    </row>
    <row r="589" spans="2:14" ht="18" x14ac:dyDescent="0.3">
      <c r="B589" s="171">
        <f t="shared" si="132"/>
        <v>19</v>
      </c>
      <c r="C589" s="171">
        <f t="shared" si="132"/>
        <v>7</v>
      </c>
      <c r="D589" s="171" t="str">
        <f t="shared" si="131"/>
        <v>Boisson spécial numéro 7</v>
      </c>
      <c r="E589" s="265">
        <f t="shared" si="133"/>
        <v>2.82</v>
      </c>
      <c r="F589" s="264">
        <f t="shared" si="133"/>
        <v>9.5999999999999979</v>
      </c>
      <c r="G589" s="263">
        <f t="shared" si="134"/>
        <v>0.29375000000000007</v>
      </c>
      <c r="H589" s="262">
        <f t="shared" si="135"/>
        <v>6.7799999999999976</v>
      </c>
      <c r="I589" s="261"/>
      <c r="J589" s="1333"/>
      <c r="K589" s="260"/>
      <c r="L589" s="228"/>
      <c r="M589" s="227"/>
      <c r="N589" s="206"/>
    </row>
    <row r="590" spans="2:14" ht="18" x14ac:dyDescent="0.3">
      <c r="B590" s="171">
        <f t="shared" si="132"/>
        <v>20</v>
      </c>
      <c r="C590" s="171">
        <f t="shared" si="132"/>
        <v>8</v>
      </c>
      <c r="D590" s="171" t="str">
        <f t="shared" si="131"/>
        <v>Boisson spécial numéro 8</v>
      </c>
      <c r="E590" s="265">
        <f t="shared" si="133"/>
        <v>2.86</v>
      </c>
      <c r="F590" s="264">
        <f t="shared" si="133"/>
        <v>9.7999999999999989</v>
      </c>
      <c r="G590" s="263">
        <f t="shared" si="134"/>
        <v>0.29183673469387755</v>
      </c>
      <c r="H590" s="262">
        <f t="shared" si="135"/>
        <v>6.9399999999999995</v>
      </c>
      <c r="I590" s="261"/>
      <c r="J590" s="1333"/>
      <c r="K590" s="260"/>
      <c r="L590" s="228"/>
      <c r="M590" s="227"/>
      <c r="N590" s="206"/>
    </row>
    <row r="591" spans="2:14" ht="18" x14ac:dyDescent="0.3">
      <c r="B591" s="171">
        <f t="shared" si="132"/>
        <v>21</v>
      </c>
      <c r="C591" s="171">
        <f t="shared" si="132"/>
        <v>9</v>
      </c>
      <c r="D591" s="171" t="str">
        <f t="shared" si="131"/>
        <v>Boisson spécial numéro 9</v>
      </c>
      <c r="E591" s="265">
        <f t="shared" si="133"/>
        <v>2.899999999999999</v>
      </c>
      <c r="F591" s="264">
        <f t="shared" si="133"/>
        <v>10</v>
      </c>
      <c r="G591" s="263">
        <f t="shared" si="134"/>
        <v>0.28999999999999992</v>
      </c>
      <c r="H591" s="262">
        <f t="shared" si="135"/>
        <v>7.1000000000000014</v>
      </c>
      <c r="I591" s="261"/>
      <c r="J591" s="1333"/>
      <c r="K591" s="260"/>
      <c r="L591" s="228"/>
      <c r="M591" s="227"/>
      <c r="N591" s="206"/>
    </row>
    <row r="592" spans="2:14" ht="19" thickBot="1" x14ac:dyDescent="0.35">
      <c r="B592" s="272">
        <f t="shared" si="132"/>
        <v>22</v>
      </c>
      <c r="C592" s="272">
        <f t="shared" si="132"/>
        <v>10</v>
      </c>
      <c r="D592" s="272" t="str">
        <f t="shared" si="131"/>
        <v>Boisson spécial numéro 10</v>
      </c>
      <c r="E592" s="271">
        <f t="shared" si="133"/>
        <v>2.98</v>
      </c>
      <c r="F592" s="270">
        <f t="shared" si="133"/>
        <v>10.400000000000002</v>
      </c>
      <c r="G592" s="269">
        <f t="shared" si="134"/>
        <v>0.28653846153846146</v>
      </c>
      <c r="H592" s="268">
        <f t="shared" si="135"/>
        <v>7.4200000000000017</v>
      </c>
      <c r="I592" s="267">
        <f>+I585+2.15</f>
        <v>10.899999999999999</v>
      </c>
      <c r="J592" s="1334"/>
      <c r="K592" s="260"/>
      <c r="L592" s="228"/>
      <c r="M592" s="227"/>
      <c r="N592" s="206"/>
    </row>
    <row r="593" spans="2:14" ht="18" x14ac:dyDescent="0.3">
      <c r="B593" s="171">
        <f t="shared" si="132"/>
        <v>23</v>
      </c>
      <c r="C593" s="171">
        <f t="shared" si="132"/>
        <v>11</v>
      </c>
      <c r="D593" s="171" t="str">
        <f t="shared" si="131"/>
        <v>Boisson spécial numéro 11</v>
      </c>
      <c r="E593" s="265">
        <f t="shared" si="133"/>
        <v>3.18</v>
      </c>
      <c r="F593" s="264">
        <f t="shared" si="133"/>
        <v>11.599999999999996</v>
      </c>
      <c r="G593" s="263">
        <f t="shared" si="134"/>
        <v>0.27413793103448286</v>
      </c>
      <c r="H593" s="262">
        <f t="shared" si="135"/>
        <v>8.4199999999999964</v>
      </c>
      <c r="I593" s="261">
        <f>+I592+0.01</f>
        <v>10.909999999999998</v>
      </c>
      <c r="J593" s="1332">
        <f>2/12</f>
        <v>0.16666666666666666</v>
      </c>
      <c r="K593" s="266"/>
      <c r="L593" s="228"/>
      <c r="M593" s="227"/>
      <c r="N593" s="206"/>
    </row>
    <row r="594" spans="2:14" ht="18" x14ac:dyDescent="0.3">
      <c r="B594" s="171">
        <f t="shared" si="132"/>
        <v>24</v>
      </c>
      <c r="C594" s="171">
        <f t="shared" si="132"/>
        <v>12</v>
      </c>
      <c r="D594" s="171" t="str">
        <f t="shared" si="131"/>
        <v>Boisson spécial numéro 12</v>
      </c>
      <c r="E594" s="265">
        <f t="shared" si="133"/>
        <v>3.4799999999999991</v>
      </c>
      <c r="F594" s="264">
        <f t="shared" si="133"/>
        <v>13.199999999999998</v>
      </c>
      <c r="G594" s="263">
        <f t="shared" si="134"/>
        <v>0.26363636363636361</v>
      </c>
      <c r="H594" s="262">
        <f t="shared" si="135"/>
        <v>9.7199999999999989</v>
      </c>
      <c r="I594" s="261">
        <f>F594</f>
        <v>13.199999999999998</v>
      </c>
      <c r="J594" s="1333"/>
      <c r="K594" s="260"/>
      <c r="L594" s="228"/>
      <c r="M594" s="227"/>
      <c r="N594" s="206"/>
    </row>
    <row r="595" spans="2:14" ht="19" x14ac:dyDescent="0.35">
      <c r="B595" s="171"/>
      <c r="C595" s="171"/>
      <c r="D595" s="238" t="str">
        <f t="shared" si="131"/>
        <v>CmO—PmO—Beverage Cost—Marge brute</v>
      </c>
      <c r="E595" s="259">
        <f>SUM(E583:E594)/C594</f>
        <v>2.8483333333333332</v>
      </c>
      <c r="F595" s="237">
        <f>SUM(F583:F594)/C594</f>
        <v>9.5333333333333332</v>
      </c>
      <c r="G595" s="258">
        <f t="shared" si="134"/>
        <v>0.29877622377622376</v>
      </c>
      <c r="H595" s="257">
        <f t="shared" si="135"/>
        <v>6.6850000000000005</v>
      </c>
      <c r="I595" s="256"/>
      <c r="J595" s="171"/>
      <c r="K595" s="171"/>
      <c r="L595" s="255">
        <f>+(L36+L79+L122+L165+L208+L251+L294+L337+L380+L423+L466+L509+L552)/13</f>
        <v>1.0846153846153845</v>
      </c>
      <c r="M595" s="227" t="str">
        <f>$M$21</f>
        <v xml:space="preserve"> </v>
      </c>
      <c r="N595" s="206"/>
    </row>
    <row r="596" spans="2:14" ht="19" thickBot="1" x14ac:dyDescent="0.35">
      <c r="B596" s="171"/>
      <c r="C596" s="171"/>
      <c r="D596" s="171"/>
      <c r="E596" s="242"/>
      <c r="F596" s="242"/>
      <c r="G596" s="241"/>
      <c r="H596" s="240"/>
      <c r="I596" s="171"/>
      <c r="J596" s="171"/>
      <c r="K596" s="254" t="s">
        <v>1</v>
      </c>
      <c r="L596" s="228"/>
      <c r="M596" s="227"/>
      <c r="N596" s="206"/>
    </row>
    <row r="597" spans="2:14" ht="21" thickTop="1" thickBot="1" x14ac:dyDescent="0.4">
      <c r="B597" s="171"/>
      <c r="C597" s="253"/>
      <c r="D597" s="252"/>
      <c r="E597" s="251"/>
      <c r="F597" s="251"/>
      <c r="G597" s="250"/>
      <c r="H597" s="249"/>
      <c r="I597" s="248"/>
      <c r="J597" s="171"/>
      <c r="K597" s="171"/>
      <c r="L597" s="228"/>
      <c r="M597" s="227"/>
      <c r="N597" s="206"/>
    </row>
    <row r="598" spans="2:14" ht="20" thickTop="1" thickBot="1" x14ac:dyDescent="0.35">
      <c r="B598" s="171"/>
      <c r="C598" s="233"/>
      <c r="D598" s="238"/>
      <c r="E598" s="247" t="str">
        <f>E512</f>
        <v>CmO</v>
      </c>
      <c r="F598" s="247" t="str">
        <f>F512</f>
        <v>PmO</v>
      </c>
      <c r="G598" s="246" t="str">
        <f>G512</f>
        <v>F&amp;BCmO</v>
      </c>
      <c r="H598" s="245" t="str">
        <f>H512</f>
        <v>BmO</v>
      </c>
      <c r="I598" s="244"/>
      <c r="J598" s="171"/>
      <c r="K598" s="171"/>
      <c r="L598" s="228"/>
      <c r="M598" s="227"/>
      <c r="N598" s="206"/>
    </row>
    <row r="599" spans="2:14" ht="19" thickTop="1" x14ac:dyDescent="0.3">
      <c r="B599" s="171"/>
      <c r="C599" s="233"/>
      <c r="D599" s="243" t="str">
        <f>D513</f>
        <v>OFFRE TOTALE AVEC LES GÂTERIES ET LES CAFÉS GÂTERIES</v>
      </c>
      <c r="E599" s="242"/>
      <c r="F599" s="242"/>
      <c r="G599" s="241"/>
      <c r="H599" s="240"/>
      <c r="I599" s="239"/>
      <c r="J599" s="171"/>
      <c r="K599" s="171"/>
      <c r="L599" s="228"/>
      <c r="M599" s="227"/>
      <c r="N599" s="206"/>
    </row>
    <row r="600" spans="2:14" ht="19" x14ac:dyDescent="0.35">
      <c r="B600" s="171"/>
      <c r="C600" s="233"/>
      <c r="D600" s="238" t="str">
        <f>D514</f>
        <v>CmO—PmO—F&amp;B cost moyen offert—Marge brute</v>
      </c>
      <c r="E600" s="237">
        <f>+(E568+E569+E570+E571+E572+E573+E574+E575+E576+E577+E578+E579+E583+E584+E585+E586+E587+E588+E589+E590+E591+E592+E593+E594)/B594</f>
        <v>2.1649999999999996</v>
      </c>
      <c r="F600" s="237">
        <f>+(F568+F569+F570+F571+F572+F573+F574+F575+F576+F577+F578+F579+F583+F584+F585+F586+F587+F588+F589+F590+F591+F592+F593+F594)/B594</f>
        <v>7.1749999999999998</v>
      </c>
      <c r="G600" s="236">
        <f>E600/F600</f>
        <v>0.30174216027874562</v>
      </c>
      <c r="H600" s="235">
        <f>F600-E600</f>
        <v>5.01</v>
      </c>
      <c r="I600" s="234"/>
      <c r="J600" s="171"/>
      <c r="K600" s="171"/>
      <c r="L600" s="228">
        <f>+L580+L595</f>
        <v>2.1692307692307691</v>
      </c>
      <c r="M600" s="227">
        <f>'% Occupation'!Q19</f>
        <v>54651</v>
      </c>
      <c r="N600" s="206"/>
    </row>
    <row r="601" spans="2:14" ht="18" x14ac:dyDescent="0.3">
      <c r="B601" s="171"/>
      <c r="C601" s="233"/>
      <c r="D601" s="171"/>
      <c r="E601" s="232"/>
      <c r="F601" s="232"/>
      <c r="G601" s="231"/>
      <c r="H601" s="230"/>
      <c r="I601" s="229"/>
      <c r="J601" s="171"/>
      <c r="K601" s="171"/>
      <c r="L601" s="228"/>
      <c r="M601" s="227"/>
      <c r="N601" s="206"/>
    </row>
    <row r="602" spans="2:14" ht="19" thickBot="1" x14ac:dyDescent="0.35">
      <c r="B602" s="171"/>
      <c r="C602" s="226"/>
      <c r="D602" s="225"/>
      <c r="E602" s="224"/>
      <c r="F602" s="224"/>
      <c r="G602" s="223"/>
      <c r="H602" s="222"/>
      <c r="I602" s="221"/>
      <c r="J602" s="171"/>
      <c r="K602" s="171"/>
      <c r="L602" s="220"/>
      <c r="M602" s="219"/>
      <c r="N602" s="206"/>
    </row>
    <row r="603" spans="2:14" ht="19" thickTop="1" x14ac:dyDescent="0.3">
      <c r="L603" s="209"/>
      <c r="M603" s="207"/>
      <c r="N603" s="206"/>
    </row>
    <row r="604" spans="2:14" ht="18" x14ac:dyDescent="0.3">
      <c r="L604" s="209"/>
      <c r="M604" s="207"/>
      <c r="N604" s="206"/>
    </row>
    <row r="605" spans="2:14" ht="18" x14ac:dyDescent="0.3">
      <c r="L605" s="209"/>
      <c r="M605" s="207"/>
      <c r="N605" s="206"/>
    </row>
    <row r="606" spans="2:14" ht="30" x14ac:dyDescent="0.3">
      <c r="D606" s="216" t="s">
        <v>77</v>
      </c>
      <c r="E606" s="216" t="s">
        <v>60</v>
      </c>
      <c r="F606" s="216" t="s">
        <v>52</v>
      </c>
      <c r="G606" s="216" t="s">
        <v>53</v>
      </c>
      <c r="L606" s="209"/>
      <c r="M606" s="207"/>
      <c r="N606" s="206"/>
    </row>
    <row r="607" spans="2:14" ht="27" thickBot="1" x14ac:dyDescent="0.35">
      <c r="D607" s="211"/>
      <c r="E607" s="211"/>
      <c r="F607" s="211"/>
      <c r="G607" s="211"/>
      <c r="L607" s="209"/>
      <c r="M607" s="207"/>
      <c r="N607" s="206"/>
    </row>
    <row r="608" spans="2:14" ht="28" thickTop="1" thickBot="1" x14ac:dyDescent="0.35">
      <c r="D608" s="215">
        <f>+E608*(F608*G608)</f>
        <v>285509.43576923071</v>
      </c>
      <c r="E608" s="214">
        <f>M600</f>
        <v>54651</v>
      </c>
      <c r="F608" s="218">
        <f>L580</f>
        <v>1.0846153846153845</v>
      </c>
      <c r="G608" s="212">
        <f>F580</f>
        <v>4.8166666666666664</v>
      </c>
      <c r="L608" s="217" t="s">
        <v>1</v>
      </c>
      <c r="M608" s="207"/>
      <c r="N608" s="206"/>
    </row>
    <row r="609" spans="4:14" ht="28" thickTop="1" thickBot="1" x14ac:dyDescent="0.35">
      <c r="D609" s="211"/>
      <c r="E609" s="210" t="s">
        <v>67</v>
      </c>
      <c r="F609" s="1349">
        <f>+F608*G608</f>
        <v>5.2242307692307683</v>
      </c>
      <c r="G609" s="1350"/>
      <c r="L609" s="209"/>
      <c r="M609" s="207"/>
      <c r="N609" s="206"/>
    </row>
    <row r="610" spans="4:14" ht="19" thickTop="1" x14ac:dyDescent="0.3">
      <c r="L610" s="209"/>
      <c r="M610" s="207"/>
      <c r="N610" s="206"/>
    </row>
    <row r="611" spans="4:14" ht="30" x14ac:dyDescent="0.3">
      <c r="D611" s="216" t="s">
        <v>76</v>
      </c>
      <c r="E611" s="216" t="s">
        <v>60</v>
      </c>
      <c r="F611" s="216" t="s">
        <v>52</v>
      </c>
      <c r="G611" s="216" t="s">
        <v>53</v>
      </c>
      <c r="L611" s="209"/>
      <c r="M611" s="207"/>
      <c r="N611" s="206"/>
    </row>
    <row r="612" spans="4:14" ht="27" thickBot="1" x14ac:dyDescent="0.35">
      <c r="D612" s="211"/>
      <c r="E612" s="211"/>
      <c r="F612" s="211"/>
      <c r="G612" s="211"/>
      <c r="L612" s="209"/>
      <c r="M612" s="207"/>
      <c r="N612" s="206"/>
    </row>
    <row r="613" spans="4:14" ht="28" thickTop="1" thickBot="1" x14ac:dyDescent="0.35">
      <c r="D613" s="215">
        <f>+E613*(F613*G613)</f>
        <v>565091.34</v>
      </c>
      <c r="E613" s="214">
        <f>M600</f>
        <v>54651</v>
      </c>
      <c r="F613" s="218">
        <f>L595</f>
        <v>1.0846153846153845</v>
      </c>
      <c r="G613" s="212">
        <f>F595</f>
        <v>9.5333333333333332</v>
      </c>
      <c r="L613" s="217" t="s">
        <v>1</v>
      </c>
      <c r="M613" s="207"/>
      <c r="N613" s="206"/>
    </row>
    <row r="614" spans="4:14" ht="28" thickTop="1" thickBot="1" x14ac:dyDescent="0.35">
      <c r="D614" s="211"/>
      <c r="E614" s="210" t="s">
        <v>67</v>
      </c>
      <c r="F614" s="1349">
        <f>+F613*G613</f>
        <v>10.34</v>
      </c>
      <c r="G614" s="1350"/>
      <c r="L614" s="209"/>
      <c r="M614" s="207"/>
      <c r="N614" s="206"/>
    </row>
    <row r="615" spans="4:14" ht="19" thickTop="1" x14ac:dyDescent="0.3">
      <c r="L615" s="209"/>
      <c r="M615" s="207"/>
      <c r="N615" s="206"/>
    </row>
    <row r="616" spans="4:14" ht="30" x14ac:dyDescent="0.3">
      <c r="D616" s="216" t="s">
        <v>405</v>
      </c>
      <c r="E616" s="216" t="s">
        <v>60</v>
      </c>
      <c r="F616" s="216" t="s">
        <v>52</v>
      </c>
      <c r="G616" s="216" t="s">
        <v>53</v>
      </c>
      <c r="L616" s="209"/>
      <c r="M616" s="207"/>
      <c r="N616" s="206"/>
    </row>
    <row r="617" spans="4:14" ht="27" thickBot="1" x14ac:dyDescent="0.35">
      <c r="D617" s="211"/>
      <c r="E617" s="211"/>
      <c r="F617" s="211"/>
      <c r="G617" s="211"/>
      <c r="L617" s="209"/>
      <c r="M617" s="207"/>
      <c r="N617" s="206"/>
    </row>
    <row r="618" spans="4:14" ht="28" thickTop="1" thickBot="1" x14ac:dyDescent="0.35">
      <c r="D618" s="215">
        <f>+D608+D613</f>
        <v>850600.77576923068</v>
      </c>
      <c r="E618" s="214">
        <f>M600</f>
        <v>54651</v>
      </c>
      <c r="F618" s="213">
        <f>L600</f>
        <v>2.1692307692307691</v>
      </c>
      <c r="G618" s="212">
        <f>D618/E618/F618</f>
        <v>7.1749999999999998</v>
      </c>
      <c r="H618" s="138" t="s">
        <v>1</v>
      </c>
      <c r="L618" s="209" t="s">
        <v>1</v>
      </c>
      <c r="M618" s="207"/>
      <c r="N618" s="206"/>
    </row>
    <row r="619" spans="4:14" ht="28" thickTop="1" thickBot="1" x14ac:dyDescent="0.35">
      <c r="D619" s="211"/>
      <c r="E619" s="210" t="s">
        <v>67</v>
      </c>
      <c r="F619" s="1349">
        <f>G618*F618</f>
        <v>15.564230769230768</v>
      </c>
      <c r="G619" s="1350"/>
      <c r="L619" s="209"/>
      <c r="M619" s="207"/>
      <c r="N619" s="206"/>
    </row>
    <row r="620" spans="4:14" ht="19" thickTop="1" x14ac:dyDescent="0.3">
      <c r="L620" s="208"/>
      <c r="M620" s="207"/>
      <c r="N620" s="206"/>
    </row>
    <row r="621" spans="4:14" ht="16" x14ac:dyDescent="0.2">
      <c r="N621" s="206"/>
    </row>
    <row r="622" spans="4:14" ht="16" x14ac:dyDescent="0.2">
      <c r="N622" s="206"/>
    </row>
    <row r="623" spans="4:14" ht="16" x14ac:dyDescent="0.2">
      <c r="N623" s="206"/>
    </row>
    <row r="624" spans="4:14" ht="16" x14ac:dyDescent="0.2">
      <c r="N624" s="206"/>
    </row>
    <row r="625" spans="14:14" ht="16" x14ac:dyDescent="0.2">
      <c r="N625" s="206"/>
    </row>
    <row r="626" spans="14:14" ht="16" x14ac:dyDescent="0.2">
      <c r="N626" s="206"/>
    </row>
    <row r="627" spans="14:14" ht="16" x14ac:dyDescent="0.2">
      <c r="N627" s="206"/>
    </row>
    <row r="628" spans="14:14" ht="16" x14ac:dyDescent="0.2">
      <c r="N628" s="206"/>
    </row>
    <row r="629" spans="14:14" ht="16" x14ac:dyDescent="0.2">
      <c r="N629" s="206"/>
    </row>
    <row r="630" spans="14:14" ht="16" x14ac:dyDescent="0.2">
      <c r="N630" s="206"/>
    </row>
    <row r="631" spans="14:14" ht="16" x14ac:dyDescent="0.2">
      <c r="N631" s="206"/>
    </row>
    <row r="632" spans="14:14" ht="16" x14ac:dyDescent="0.2">
      <c r="N632" s="206"/>
    </row>
    <row r="633" spans="14:14" ht="16" x14ac:dyDescent="0.2">
      <c r="N633" s="206"/>
    </row>
    <row r="634" spans="14:14" ht="16" x14ac:dyDescent="0.2">
      <c r="N634" s="206"/>
    </row>
    <row r="635" spans="14:14" ht="16" x14ac:dyDescent="0.2">
      <c r="N635" s="206"/>
    </row>
    <row r="636" spans="14:14" ht="16" x14ac:dyDescent="0.2">
      <c r="N636" s="206"/>
    </row>
    <row r="637" spans="14:14" ht="16" x14ac:dyDescent="0.2">
      <c r="N637" s="206"/>
    </row>
    <row r="638" spans="14:14" ht="16" x14ac:dyDescent="0.2">
      <c r="N638" s="206"/>
    </row>
    <row r="639" spans="14:14" ht="16" x14ac:dyDescent="0.2">
      <c r="N639" s="206"/>
    </row>
    <row r="640" spans="14:14" ht="16" x14ac:dyDescent="0.2">
      <c r="N640" s="206"/>
    </row>
    <row r="641" spans="14:14" ht="16" x14ac:dyDescent="0.2">
      <c r="N641" s="206"/>
    </row>
    <row r="642" spans="14:14" ht="16" x14ac:dyDescent="0.2">
      <c r="N642" s="206"/>
    </row>
  </sheetData>
  <mergeCells count="119">
    <mergeCell ref="E520:E522"/>
    <mergeCell ref="F520:F522"/>
    <mergeCell ref="G520:G522"/>
    <mergeCell ref="H520:H522"/>
    <mergeCell ref="J593:J594"/>
    <mergeCell ref="F609:G609"/>
    <mergeCell ref="E563:E565"/>
    <mergeCell ref="F563:F565"/>
    <mergeCell ref="G563:G565"/>
    <mergeCell ref="H563:H565"/>
    <mergeCell ref="L477:L479"/>
    <mergeCell ref="M477:M479"/>
    <mergeCell ref="F614:G614"/>
    <mergeCell ref="F619:G619"/>
    <mergeCell ref="J568:J570"/>
    <mergeCell ref="J571:J577"/>
    <mergeCell ref="J578:J579"/>
    <mergeCell ref="J583:J585"/>
    <mergeCell ref="J586:J592"/>
    <mergeCell ref="L563:L565"/>
    <mergeCell ref="M563:M565"/>
    <mergeCell ref="G348:G350"/>
    <mergeCell ref="H348:H350"/>
    <mergeCell ref="L348:L350"/>
    <mergeCell ref="M348:M350"/>
    <mergeCell ref="J411:J413"/>
    <mergeCell ref="J414:J420"/>
    <mergeCell ref="J421:J422"/>
    <mergeCell ref="E434:E436"/>
    <mergeCell ref="F434:F436"/>
    <mergeCell ref="G434:G436"/>
    <mergeCell ref="H434:H436"/>
    <mergeCell ref="L434:L436"/>
    <mergeCell ref="M434:M436"/>
    <mergeCell ref="E391:E393"/>
    <mergeCell ref="F391:F393"/>
    <mergeCell ref="G391:G393"/>
    <mergeCell ref="H391:H393"/>
    <mergeCell ref="L391:L393"/>
    <mergeCell ref="M391:M393"/>
    <mergeCell ref="J396:J398"/>
    <mergeCell ref="J399:J405"/>
    <mergeCell ref="J406:J407"/>
    <mergeCell ref="L262:L264"/>
    <mergeCell ref="J285:J291"/>
    <mergeCell ref="J292:J293"/>
    <mergeCell ref="E305:E307"/>
    <mergeCell ref="F305:F307"/>
    <mergeCell ref="G305:G307"/>
    <mergeCell ref="H305:H307"/>
    <mergeCell ref="L305:L307"/>
    <mergeCell ref="M262:M264"/>
    <mergeCell ref="J267:J269"/>
    <mergeCell ref="J270:J276"/>
    <mergeCell ref="J277:J278"/>
    <mergeCell ref="J282:J284"/>
    <mergeCell ref="M305:M307"/>
    <mergeCell ref="A260:A516"/>
    <mergeCell ref="E262:E264"/>
    <mergeCell ref="F262:F264"/>
    <mergeCell ref="G262:G264"/>
    <mergeCell ref="H262:H264"/>
    <mergeCell ref="E176:E178"/>
    <mergeCell ref="F176:F178"/>
    <mergeCell ref="G176:G178"/>
    <mergeCell ref="H176:H178"/>
    <mergeCell ref="A1:A258"/>
    <mergeCell ref="E4:E6"/>
    <mergeCell ref="F4:F6"/>
    <mergeCell ref="G4:G6"/>
    <mergeCell ref="H4:H6"/>
    <mergeCell ref="E219:E221"/>
    <mergeCell ref="F219:F221"/>
    <mergeCell ref="G219:G221"/>
    <mergeCell ref="H219:H221"/>
    <mergeCell ref="E477:E479"/>
    <mergeCell ref="F477:F479"/>
    <mergeCell ref="G477:G479"/>
    <mergeCell ref="H477:H479"/>
    <mergeCell ref="E348:E350"/>
    <mergeCell ref="F348:F350"/>
    <mergeCell ref="L219:L221"/>
    <mergeCell ref="M219:M221"/>
    <mergeCell ref="J153:J155"/>
    <mergeCell ref="J156:J162"/>
    <mergeCell ref="J163:J164"/>
    <mergeCell ref="L47:L49"/>
    <mergeCell ref="M47:M49"/>
    <mergeCell ref="E90:E92"/>
    <mergeCell ref="F90:F92"/>
    <mergeCell ref="G90:G92"/>
    <mergeCell ref="H90:H92"/>
    <mergeCell ref="L90:L92"/>
    <mergeCell ref="L176:L178"/>
    <mergeCell ref="M176:M178"/>
    <mergeCell ref="L4:L6"/>
    <mergeCell ref="J27:J33"/>
    <mergeCell ref="J34:J35"/>
    <mergeCell ref="E47:E49"/>
    <mergeCell ref="F47:F49"/>
    <mergeCell ref="L520:L522"/>
    <mergeCell ref="M520:M522"/>
    <mergeCell ref="M4:M6"/>
    <mergeCell ref="J9:J11"/>
    <mergeCell ref="J12:J18"/>
    <mergeCell ref="J19:J20"/>
    <mergeCell ref="J24:J26"/>
    <mergeCell ref="J138:J140"/>
    <mergeCell ref="J141:J147"/>
    <mergeCell ref="J148:J149"/>
    <mergeCell ref="M90:M92"/>
    <mergeCell ref="E133:E135"/>
    <mergeCell ref="F133:F135"/>
    <mergeCell ref="G133:G135"/>
    <mergeCell ref="H133:H135"/>
    <mergeCell ref="L133:L135"/>
    <mergeCell ref="M133:M135"/>
    <mergeCell ref="G47:G49"/>
    <mergeCell ref="H47:H49"/>
  </mergeCells>
  <pageMargins left="0.78740157499999996" right="0.78740157499999996" top="0.984251969" bottom="0.984251969" header="0.5" footer="0.5"/>
  <pageSetup orientation="portrait" horizontalDpi="4294967292" verticalDpi="4294967292"/>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D0CA3-05A4-6349-B4BF-47BE3C75540C}">
  <sheetPr codeName="Feuil5">
    <tabColor theme="1"/>
  </sheetPr>
  <dimension ref="A1:S122"/>
  <sheetViews>
    <sheetView zoomScale="190" zoomScaleNormal="190" zoomScalePageLayoutView="125" workbookViewId="0">
      <selection activeCell="A4" sqref="A4"/>
    </sheetView>
  </sheetViews>
  <sheetFormatPr baseColWidth="10" defaultColWidth="10.6640625" defaultRowHeight="13" x14ac:dyDescent="0.15"/>
  <cols>
    <col min="1" max="1" width="10.6640625" style="138"/>
    <col min="2" max="2" width="3.6640625" style="138" customWidth="1"/>
    <col min="3" max="3" width="55.1640625" style="138" bestFit="1" customWidth="1"/>
    <col min="4" max="4" width="16.1640625" style="138" customWidth="1"/>
    <col min="5" max="6" width="12.1640625" style="138" customWidth="1"/>
    <col min="7" max="7" width="16.1640625" style="138" customWidth="1"/>
    <col min="8" max="8" width="4.33203125" style="138" customWidth="1"/>
    <col min="9" max="9" width="3.83203125" style="138" customWidth="1"/>
    <col min="10" max="10" width="40.1640625" style="138" customWidth="1"/>
    <col min="11" max="11" width="18.83203125" style="138" customWidth="1"/>
    <col min="12" max="12" width="2.6640625" style="138" customWidth="1"/>
    <col min="13" max="13" width="2.5" style="138" customWidth="1"/>
    <col min="14" max="14" width="1.5" style="138" customWidth="1"/>
    <col min="15" max="15" width="7" style="138" customWidth="1"/>
    <col min="16" max="17" width="1.6640625" style="138" customWidth="1"/>
    <col min="18" max="18" width="4.6640625" style="138" customWidth="1"/>
    <col min="19" max="16384" width="10.6640625" style="138"/>
  </cols>
  <sheetData>
    <row r="1" spans="1:12" x14ac:dyDescent="0.15">
      <c r="K1" s="366"/>
    </row>
    <row r="2" spans="1:12" ht="22" x14ac:dyDescent="0.25">
      <c r="C2" s="284" t="s">
        <v>154</v>
      </c>
      <c r="K2" s="366"/>
    </row>
    <row r="3" spans="1:12" ht="23" thickBot="1" x14ac:dyDescent="0.3">
      <c r="C3" s="282"/>
      <c r="K3" s="366"/>
    </row>
    <row r="4" spans="1:12" ht="23" thickTop="1" x14ac:dyDescent="0.25">
      <c r="C4" s="282"/>
      <c r="D4" s="1351" t="s">
        <v>155</v>
      </c>
      <c r="E4" s="1351" t="s">
        <v>156</v>
      </c>
      <c r="F4" s="1351" t="s">
        <v>157</v>
      </c>
      <c r="G4" s="1351" t="s">
        <v>158</v>
      </c>
      <c r="H4" s="392"/>
      <c r="K4" s="366"/>
    </row>
    <row r="5" spans="1:12" ht="22" x14ac:dyDescent="0.25">
      <c r="C5" s="282"/>
      <c r="D5" s="1352"/>
      <c r="E5" s="1354"/>
      <c r="F5" s="1354"/>
      <c r="G5" s="1354"/>
      <c r="H5" s="281"/>
      <c r="K5" s="366"/>
    </row>
    <row r="6" spans="1:12" ht="17" customHeight="1" thickBot="1" x14ac:dyDescent="0.2">
      <c r="D6" s="1353"/>
      <c r="E6" s="1355"/>
      <c r="F6" s="1355"/>
      <c r="G6" s="1355"/>
      <c r="H6" s="281"/>
      <c r="K6" s="366"/>
    </row>
    <row r="7" spans="1:12" ht="17" customHeight="1" thickTop="1" x14ac:dyDescent="0.15">
      <c r="D7" s="393"/>
      <c r="E7" s="281"/>
      <c r="F7" s="281"/>
      <c r="G7" s="281"/>
      <c r="H7" s="281"/>
      <c r="K7" s="366"/>
    </row>
    <row r="8" spans="1:12" ht="18" x14ac:dyDescent="0.2">
      <c r="C8" s="683" t="s">
        <v>159</v>
      </c>
      <c r="D8" s="395" t="s">
        <v>1</v>
      </c>
      <c r="E8" s="395" t="s">
        <v>1</v>
      </c>
      <c r="F8" s="395" t="s">
        <v>1</v>
      </c>
      <c r="G8" s="395" t="s">
        <v>1</v>
      </c>
      <c r="H8" s="395"/>
      <c r="J8" s="190"/>
      <c r="K8" s="366"/>
    </row>
    <row r="9" spans="1:12" ht="18" x14ac:dyDescent="0.2">
      <c r="C9" s="394"/>
      <c r="D9" s="395"/>
      <c r="E9" s="395"/>
      <c r="F9" s="395"/>
      <c r="G9" s="395"/>
      <c r="H9" s="395"/>
      <c r="K9" s="366"/>
    </row>
    <row r="10" spans="1:12" x14ac:dyDescent="0.15">
      <c r="A10" s="138">
        <v>1</v>
      </c>
      <c r="B10" s="138">
        <v>1</v>
      </c>
      <c r="C10" s="138" t="s">
        <v>173</v>
      </c>
      <c r="D10" s="436">
        <v>6.5</v>
      </c>
      <c r="E10" s="436">
        <v>13</v>
      </c>
      <c r="F10" s="279">
        <f>+D10/E10</f>
        <v>0.5</v>
      </c>
      <c r="G10" s="396">
        <f>+E10-D10</f>
        <v>6.5</v>
      </c>
      <c r="H10" s="396"/>
      <c r="J10" s="190"/>
      <c r="K10" s="397"/>
    </row>
    <row r="11" spans="1:12" x14ac:dyDescent="0.15">
      <c r="A11" s="138">
        <v>2</v>
      </c>
      <c r="B11" s="138">
        <v>2</v>
      </c>
      <c r="C11" s="398" t="s">
        <v>171</v>
      </c>
      <c r="D11" s="436">
        <v>40</v>
      </c>
      <c r="E11" s="436">
        <v>80</v>
      </c>
      <c r="F11" s="279">
        <f t="shared" ref="F11:F19" si="0">+D11/E11</f>
        <v>0.5</v>
      </c>
      <c r="G11" s="396">
        <f t="shared" ref="G11:G19" si="1">+E11-D11</f>
        <v>40</v>
      </c>
      <c r="H11" s="396"/>
      <c r="J11" s="190" t="s">
        <v>1</v>
      </c>
      <c r="K11" s="397"/>
    </row>
    <row r="12" spans="1:12" x14ac:dyDescent="0.15">
      <c r="A12" s="138">
        <v>3</v>
      </c>
      <c r="B12" s="138">
        <v>3</v>
      </c>
      <c r="C12" s="138" t="s">
        <v>170</v>
      </c>
      <c r="D12" s="436">
        <v>40</v>
      </c>
      <c r="E12" s="436">
        <v>80</v>
      </c>
      <c r="F12" s="279">
        <f t="shared" si="0"/>
        <v>0.5</v>
      </c>
      <c r="G12" s="396">
        <f t="shared" si="1"/>
        <v>40</v>
      </c>
      <c r="H12" s="396"/>
      <c r="J12" s="190"/>
      <c r="K12" s="399"/>
    </row>
    <row r="13" spans="1:12" x14ac:dyDescent="0.15">
      <c r="A13" s="138">
        <v>4</v>
      </c>
      <c r="B13" s="138">
        <v>4</v>
      </c>
      <c r="C13" s="138" t="s">
        <v>169</v>
      </c>
      <c r="D13" s="436">
        <v>5</v>
      </c>
      <c r="E13" s="436">
        <v>10</v>
      </c>
      <c r="F13" s="279">
        <f t="shared" si="0"/>
        <v>0.5</v>
      </c>
      <c r="G13" s="396">
        <f t="shared" si="1"/>
        <v>5</v>
      </c>
      <c r="H13" s="396"/>
      <c r="J13" s="190"/>
      <c r="K13" s="397"/>
    </row>
    <row r="14" spans="1:12" x14ac:dyDescent="0.15">
      <c r="A14" s="138">
        <v>5</v>
      </c>
      <c r="B14" s="138">
        <v>5</v>
      </c>
      <c r="C14" s="138" t="s">
        <v>168</v>
      </c>
      <c r="D14" s="436">
        <v>19</v>
      </c>
      <c r="E14" s="436">
        <v>38</v>
      </c>
      <c r="F14" s="279">
        <f t="shared" si="0"/>
        <v>0.5</v>
      </c>
      <c r="G14" s="396">
        <f t="shared" si="1"/>
        <v>19</v>
      </c>
      <c r="H14" s="396"/>
      <c r="J14" s="190"/>
      <c r="K14" s="400"/>
      <c r="L14" s="395"/>
    </row>
    <row r="15" spans="1:12" x14ac:dyDescent="0.15">
      <c r="A15" s="138">
        <v>6</v>
      </c>
      <c r="B15" s="138">
        <v>6</v>
      </c>
      <c r="C15" s="138" t="s">
        <v>167</v>
      </c>
      <c r="D15" s="436">
        <v>9</v>
      </c>
      <c r="E15" s="436">
        <v>18</v>
      </c>
      <c r="F15" s="279">
        <f t="shared" si="0"/>
        <v>0.5</v>
      </c>
      <c r="G15" s="396">
        <f t="shared" si="1"/>
        <v>9</v>
      </c>
      <c r="H15" s="396"/>
      <c r="K15" s="366"/>
    </row>
    <row r="16" spans="1:12" x14ac:dyDescent="0.15">
      <c r="A16" s="138">
        <v>7</v>
      </c>
      <c r="B16" s="138">
        <v>7</v>
      </c>
      <c r="C16" s="398" t="s">
        <v>166</v>
      </c>
      <c r="D16" s="436">
        <v>14</v>
      </c>
      <c r="E16" s="436">
        <v>28</v>
      </c>
      <c r="F16" s="279">
        <f t="shared" si="0"/>
        <v>0.5</v>
      </c>
      <c r="G16" s="396">
        <f t="shared" si="1"/>
        <v>14</v>
      </c>
      <c r="H16" s="396"/>
      <c r="K16" s="366"/>
    </row>
    <row r="17" spans="1:16" x14ac:dyDescent="0.15">
      <c r="A17" s="138">
        <v>8</v>
      </c>
      <c r="B17" s="138">
        <v>8</v>
      </c>
      <c r="C17" s="138" t="s">
        <v>165</v>
      </c>
      <c r="D17" s="436">
        <v>6</v>
      </c>
      <c r="E17" s="436">
        <v>12</v>
      </c>
      <c r="F17" s="279">
        <f t="shared" si="0"/>
        <v>0.5</v>
      </c>
      <c r="G17" s="396">
        <f t="shared" si="1"/>
        <v>6</v>
      </c>
      <c r="H17" s="396"/>
      <c r="K17" s="366"/>
    </row>
    <row r="18" spans="1:16" x14ac:dyDescent="0.15">
      <c r="A18" s="138">
        <v>9</v>
      </c>
      <c r="B18" s="138">
        <v>9</v>
      </c>
      <c r="C18" s="398" t="s">
        <v>164</v>
      </c>
      <c r="D18" s="436">
        <v>7.5</v>
      </c>
      <c r="E18" s="436">
        <v>15</v>
      </c>
      <c r="F18" s="279">
        <f t="shared" si="0"/>
        <v>0.5</v>
      </c>
      <c r="G18" s="396">
        <f t="shared" si="1"/>
        <v>7.5</v>
      </c>
      <c r="H18" s="396"/>
      <c r="K18" s="366"/>
    </row>
    <row r="19" spans="1:16" x14ac:dyDescent="0.15">
      <c r="A19" s="138">
        <v>10</v>
      </c>
      <c r="B19" s="138">
        <v>10</v>
      </c>
      <c r="C19" s="138" t="s">
        <v>172</v>
      </c>
      <c r="D19" s="436">
        <v>1.5</v>
      </c>
      <c r="E19" s="436">
        <v>3</v>
      </c>
      <c r="F19" s="279">
        <f t="shared" si="0"/>
        <v>0.5</v>
      </c>
      <c r="G19" s="396">
        <f t="shared" si="1"/>
        <v>1.5</v>
      </c>
      <c r="H19" s="396"/>
      <c r="K19" s="366"/>
    </row>
    <row r="20" spans="1:16" x14ac:dyDescent="0.15">
      <c r="D20" s="396"/>
      <c r="E20" s="396"/>
      <c r="F20" s="279"/>
      <c r="G20" s="396"/>
      <c r="H20" s="396"/>
      <c r="K20" s="366"/>
    </row>
    <row r="21" spans="1:16" ht="16" x14ac:dyDescent="0.3">
      <c r="C21" s="190" t="s">
        <v>160</v>
      </c>
      <c r="D21" s="401">
        <f>+(SUM(D10:D19))/B19</f>
        <v>14.85</v>
      </c>
      <c r="E21" s="401">
        <f>+(SUM(E10:E19))/B19</f>
        <v>29.7</v>
      </c>
      <c r="F21" s="402">
        <f>D21/E21</f>
        <v>0.5</v>
      </c>
      <c r="G21" s="403">
        <f>E21-D21</f>
        <v>14.85</v>
      </c>
      <c r="H21" s="403"/>
      <c r="K21" s="366"/>
    </row>
    <row r="22" spans="1:16" x14ac:dyDescent="0.15">
      <c r="E22" s="396"/>
      <c r="K22" s="366"/>
    </row>
    <row r="23" spans="1:16" x14ac:dyDescent="0.15">
      <c r="A23" s="291"/>
      <c r="B23" s="291"/>
      <c r="C23" s="291"/>
      <c r="D23" s="291"/>
      <c r="E23" s="291"/>
      <c r="F23" s="291"/>
      <c r="G23" s="291"/>
      <c r="H23" s="291"/>
      <c r="I23" s="291"/>
      <c r="J23" s="291"/>
      <c r="K23" s="291"/>
      <c r="L23" s="291"/>
      <c r="M23" s="291"/>
      <c r="N23" s="291"/>
      <c r="O23" s="291"/>
    </row>
    <row r="24" spans="1:16" ht="19" thickBot="1" x14ac:dyDescent="0.35">
      <c r="C24" s="190"/>
      <c r="D24" s="403"/>
      <c r="E24" s="403"/>
      <c r="F24" s="402"/>
      <c r="G24" s="403"/>
      <c r="H24" s="403"/>
      <c r="J24" s="190" t="s">
        <v>1</v>
      </c>
      <c r="K24" s="399" t="s">
        <v>1</v>
      </c>
      <c r="L24" s="291"/>
      <c r="M24" s="291"/>
      <c r="N24" s="291"/>
      <c r="O24" s="291"/>
      <c r="P24" s="171"/>
    </row>
    <row r="25" spans="1:16" ht="18" thickTop="1" thickBot="1" x14ac:dyDescent="0.35">
      <c r="B25" s="404"/>
      <c r="C25" s="405"/>
      <c r="D25" s="406"/>
      <c r="E25" s="406"/>
      <c r="F25" s="407"/>
      <c r="G25" s="406"/>
      <c r="H25" s="408"/>
      <c r="L25" s="291"/>
      <c r="M25" s="291"/>
      <c r="N25" s="291"/>
      <c r="O25" s="291"/>
    </row>
    <row r="26" spans="1:16" ht="15" thickTop="1" thickBot="1" x14ac:dyDescent="0.2">
      <c r="B26" s="370"/>
      <c r="C26" s="190"/>
      <c r="D26" s="409" t="s">
        <v>56</v>
      </c>
      <c r="E26" s="409" t="s">
        <v>53</v>
      </c>
      <c r="F26" s="410" t="s">
        <v>157</v>
      </c>
      <c r="G26" s="411" t="s">
        <v>161</v>
      </c>
      <c r="H26" s="412"/>
      <c r="L26" s="291"/>
      <c r="M26" s="291"/>
      <c r="N26" s="291"/>
      <c r="O26" s="291"/>
    </row>
    <row r="27" spans="1:16" ht="19" thickTop="1" x14ac:dyDescent="0.2">
      <c r="B27" s="370"/>
      <c r="C27" s="413" t="s">
        <v>162</v>
      </c>
      <c r="D27" s="396"/>
      <c r="E27" s="396"/>
      <c r="F27" s="279"/>
      <c r="H27" s="414"/>
      <c r="J27" s="291"/>
      <c r="K27" s="291"/>
      <c r="L27" s="291"/>
      <c r="M27" s="291"/>
      <c r="N27" s="291"/>
      <c r="O27" s="291"/>
    </row>
    <row r="28" spans="1:16" ht="19" x14ac:dyDescent="0.35">
      <c r="B28" s="370"/>
      <c r="C28" s="190" t="s">
        <v>163</v>
      </c>
      <c r="D28" s="415">
        <f>+D21</f>
        <v>14.85</v>
      </c>
      <c r="E28" s="416">
        <f>+E21</f>
        <v>29.7</v>
      </c>
      <c r="F28" s="417">
        <f>+F21</f>
        <v>0.5</v>
      </c>
      <c r="G28" s="415">
        <f>+G21</f>
        <v>14.85</v>
      </c>
      <c r="H28" s="418"/>
      <c r="J28" s="291"/>
      <c r="K28" s="291"/>
      <c r="L28" s="291"/>
      <c r="M28" s="291"/>
      <c r="N28" s="291"/>
      <c r="O28" s="291"/>
    </row>
    <row r="29" spans="1:16" ht="17" thickBot="1" x14ac:dyDescent="0.25">
      <c r="B29" s="419"/>
      <c r="C29" s="420"/>
      <c r="D29" s="421"/>
      <c r="E29" s="421"/>
      <c r="F29" s="223"/>
      <c r="G29" s="222"/>
      <c r="H29" s="221"/>
      <c r="J29" s="291"/>
      <c r="K29" s="291"/>
      <c r="L29" s="291"/>
      <c r="M29" s="291"/>
      <c r="N29" s="291"/>
      <c r="O29" s="291"/>
    </row>
    <row r="30" spans="1:16" ht="17" thickTop="1" x14ac:dyDescent="0.2">
      <c r="C30" s="291"/>
      <c r="D30" s="291"/>
      <c r="E30" s="291"/>
      <c r="F30" s="291"/>
      <c r="G30" s="291"/>
      <c r="H30" s="230"/>
      <c r="J30" s="291"/>
      <c r="K30" s="291"/>
      <c r="L30" s="291"/>
      <c r="M30" s="291"/>
      <c r="N30" s="291"/>
      <c r="O30" s="291"/>
    </row>
    <row r="31" spans="1:16" ht="19" x14ac:dyDescent="0.35">
      <c r="C31" s="291"/>
      <c r="D31" s="291"/>
      <c r="E31" s="291"/>
      <c r="F31" s="291"/>
      <c r="G31" s="291"/>
      <c r="H31" s="415"/>
      <c r="J31" s="291"/>
      <c r="K31" s="291"/>
      <c r="L31" s="291"/>
      <c r="M31" s="291"/>
      <c r="N31" s="291"/>
      <c r="O31" s="291"/>
    </row>
    <row r="32" spans="1:16" x14ac:dyDescent="0.15">
      <c r="J32" s="291"/>
      <c r="K32" s="291"/>
      <c r="L32" s="291"/>
      <c r="M32" s="291"/>
      <c r="N32" s="291"/>
      <c r="O32" s="291"/>
    </row>
    <row r="33" spans="1:15" x14ac:dyDescent="0.15">
      <c r="E33" s="138" t="s">
        <v>1</v>
      </c>
      <c r="J33" s="291"/>
      <c r="K33" s="291"/>
      <c r="L33" s="291"/>
      <c r="M33" s="291"/>
      <c r="N33" s="291"/>
      <c r="O33" s="291"/>
    </row>
    <row r="34" spans="1:15" x14ac:dyDescent="0.15">
      <c r="D34" s="396"/>
      <c r="E34" s="396"/>
      <c r="J34" s="291"/>
      <c r="K34" s="291"/>
      <c r="L34" s="291"/>
      <c r="M34" s="291"/>
      <c r="N34" s="291"/>
      <c r="O34" s="291"/>
    </row>
    <row r="35" spans="1:15" x14ac:dyDescent="0.15">
      <c r="D35" s="396"/>
      <c r="E35" s="396"/>
      <c r="J35" s="291"/>
      <c r="K35" s="291"/>
      <c r="L35" s="291"/>
      <c r="M35" s="291"/>
      <c r="N35" s="291"/>
      <c r="O35" s="291"/>
    </row>
    <row r="36" spans="1:15" x14ac:dyDescent="0.15">
      <c r="D36" s="396"/>
      <c r="J36" s="291"/>
      <c r="K36" s="291"/>
      <c r="L36" s="291"/>
      <c r="M36" s="291"/>
      <c r="N36" s="291"/>
      <c r="O36" s="291"/>
    </row>
    <row r="37" spans="1:15" x14ac:dyDescent="0.15">
      <c r="D37" s="396"/>
      <c r="J37" s="291"/>
      <c r="K37" s="291"/>
      <c r="L37" s="291"/>
      <c r="M37" s="291"/>
      <c r="N37" s="291"/>
      <c r="O37" s="291"/>
    </row>
    <row r="38" spans="1:15" x14ac:dyDescent="0.15">
      <c r="A38" s="291"/>
      <c r="B38" s="291"/>
      <c r="C38" s="291"/>
      <c r="D38" s="291"/>
      <c r="E38" s="291"/>
      <c r="F38" s="291"/>
      <c r="G38" s="291"/>
      <c r="H38" s="291"/>
      <c r="I38" s="291"/>
      <c r="J38" s="291"/>
      <c r="K38" s="291"/>
      <c r="L38" s="291"/>
      <c r="M38" s="291"/>
      <c r="N38" s="291"/>
      <c r="O38" s="291"/>
    </row>
    <row r="39" spans="1:15" x14ac:dyDescent="0.15">
      <c r="A39" s="291"/>
      <c r="B39" s="291"/>
      <c r="C39" s="291"/>
      <c r="D39" s="291"/>
      <c r="E39" s="291"/>
      <c r="F39" s="291"/>
      <c r="G39" s="291"/>
      <c r="H39" s="291"/>
      <c r="I39" s="291"/>
      <c r="J39" s="291"/>
      <c r="K39" s="291"/>
      <c r="L39" s="291"/>
      <c r="M39" s="291"/>
      <c r="N39" s="291"/>
      <c r="O39" s="291"/>
    </row>
    <row r="40" spans="1:15" x14ac:dyDescent="0.15">
      <c r="A40" s="291"/>
      <c r="B40" s="291"/>
      <c r="C40" s="291"/>
      <c r="D40" s="291"/>
      <c r="E40" s="291"/>
      <c r="F40" s="291"/>
      <c r="G40" s="291"/>
      <c r="H40" s="291"/>
      <c r="I40" s="291"/>
      <c r="J40" s="291"/>
      <c r="K40" s="291"/>
      <c r="L40" s="291"/>
      <c r="M40" s="291"/>
      <c r="N40" s="291"/>
      <c r="O40" s="291"/>
    </row>
    <row r="41" spans="1:15" x14ac:dyDescent="0.15">
      <c r="A41" s="291"/>
      <c r="B41" s="291"/>
      <c r="C41" s="291"/>
      <c r="D41" s="291"/>
      <c r="E41" s="291"/>
      <c r="F41" s="291"/>
      <c r="G41" s="291"/>
      <c r="H41" s="291"/>
      <c r="I41" s="291"/>
      <c r="J41" s="291"/>
      <c r="K41" s="291"/>
      <c r="L41" s="291"/>
      <c r="M41" s="291"/>
      <c r="N41" s="291"/>
      <c r="O41" s="291"/>
    </row>
    <row r="42" spans="1:15" x14ac:dyDescent="0.15">
      <c r="A42" s="291"/>
      <c r="B42" s="291"/>
      <c r="C42" s="291"/>
      <c r="D42" s="291"/>
      <c r="E42" s="291"/>
      <c r="F42" s="291"/>
      <c r="G42" s="291"/>
      <c r="H42" s="291"/>
      <c r="I42" s="291"/>
      <c r="J42" s="291"/>
      <c r="K42" s="291"/>
      <c r="L42" s="291"/>
      <c r="M42" s="291"/>
      <c r="N42" s="291"/>
      <c r="O42" s="291"/>
    </row>
    <row r="43" spans="1:15" x14ac:dyDescent="0.15">
      <c r="A43" s="291"/>
      <c r="B43" s="291"/>
      <c r="C43" s="291"/>
      <c r="D43" s="291"/>
      <c r="E43" s="291"/>
      <c r="F43" s="291"/>
      <c r="G43" s="291"/>
      <c r="H43" s="291"/>
      <c r="I43" s="291"/>
      <c r="J43" s="291"/>
      <c r="K43" s="291"/>
      <c r="L43" s="291"/>
      <c r="M43" s="291"/>
      <c r="N43" s="291"/>
      <c r="O43" s="291"/>
    </row>
    <row r="44" spans="1:15" x14ac:dyDescent="0.15">
      <c r="A44" s="291"/>
      <c r="B44" s="291"/>
      <c r="C44" s="291"/>
      <c r="D44" s="291"/>
      <c r="E44" s="291"/>
      <c r="F44" s="291"/>
      <c r="G44" s="291"/>
      <c r="H44" s="291"/>
      <c r="I44" s="291"/>
      <c r="J44" s="291"/>
      <c r="K44" s="291"/>
      <c r="L44" s="291"/>
      <c r="M44" s="291"/>
      <c r="N44" s="291"/>
      <c r="O44" s="291"/>
    </row>
    <row r="45" spans="1:15" x14ac:dyDescent="0.15">
      <c r="A45" s="291"/>
      <c r="B45" s="291"/>
      <c r="C45" s="291"/>
      <c r="D45" s="291"/>
      <c r="E45" s="291"/>
      <c r="F45" s="291"/>
      <c r="G45" s="291"/>
      <c r="H45" s="291"/>
      <c r="I45" s="291"/>
      <c r="J45" s="291"/>
      <c r="K45" s="291"/>
      <c r="L45" s="291"/>
      <c r="M45" s="291"/>
      <c r="N45" s="291"/>
      <c r="O45" s="291"/>
    </row>
    <row r="46" spans="1:15" x14ac:dyDescent="0.15">
      <c r="A46" s="291"/>
      <c r="B46" s="291"/>
      <c r="C46" s="291"/>
      <c r="D46" s="291"/>
      <c r="E46" s="291"/>
      <c r="F46" s="291"/>
      <c r="G46" s="291"/>
      <c r="H46" s="291"/>
      <c r="I46" s="291"/>
      <c r="J46" s="291"/>
      <c r="K46" s="291"/>
      <c r="L46" s="291"/>
      <c r="M46" s="291"/>
      <c r="N46" s="291"/>
      <c r="O46" s="291"/>
    </row>
    <row r="47" spans="1:15" x14ac:dyDescent="0.15">
      <c r="A47" s="291"/>
      <c r="B47" s="291"/>
      <c r="C47" s="291"/>
      <c r="D47" s="291"/>
      <c r="E47" s="291"/>
      <c r="F47" s="291"/>
      <c r="G47" s="291"/>
      <c r="H47" s="291"/>
      <c r="I47" s="291"/>
      <c r="J47" s="291"/>
      <c r="K47" s="291"/>
      <c r="L47" s="291"/>
      <c r="M47" s="291"/>
      <c r="N47" s="291"/>
      <c r="O47" s="291"/>
    </row>
    <row r="48" spans="1:15" x14ac:dyDescent="0.15">
      <c r="A48" s="291"/>
      <c r="B48" s="291"/>
      <c r="C48" s="291"/>
      <c r="D48" s="291"/>
      <c r="E48" s="291"/>
      <c r="F48" s="291"/>
      <c r="G48" s="291"/>
      <c r="H48" s="291"/>
      <c r="I48" s="291"/>
      <c r="J48" s="291"/>
      <c r="K48" s="291"/>
      <c r="L48" s="291"/>
      <c r="M48" s="291"/>
      <c r="N48" s="291"/>
      <c r="O48" s="291"/>
    </row>
    <row r="49" spans="1:15" x14ac:dyDescent="0.15">
      <c r="A49" s="291"/>
      <c r="B49" s="291"/>
      <c r="C49" s="291"/>
      <c r="D49" s="291"/>
      <c r="E49" s="291"/>
      <c r="F49" s="291"/>
      <c r="G49" s="291"/>
      <c r="H49" s="291"/>
      <c r="I49" s="291"/>
      <c r="J49" s="291"/>
      <c r="K49" s="291"/>
      <c r="L49" s="291"/>
      <c r="M49" s="291"/>
      <c r="N49" s="291"/>
      <c r="O49" s="291"/>
    </row>
    <row r="50" spans="1:15" x14ac:dyDescent="0.15">
      <c r="A50" s="291"/>
      <c r="B50" s="291"/>
      <c r="C50" s="291"/>
      <c r="D50" s="291"/>
      <c r="E50" s="291"/>
      <c r="F50" s="291"/>
      <c r="G50" s="291"/>
      <c r="H50" s="291"/>
      <c r="I50" s="291"/>
      <c r="J50" s="291"/>
      <c r="K50" s="291"/>
      <c r="L50" s="291"/>
      <c r="M50" s="291"/>
      <c r="N50" s="291"/>
      <c r="O50" s="291"/>
    </row>
    <row r="51" spans="1:15" x14ac:dyDescent="0.15">
      <c r="A51" s="291"/>
      <c r="B51" s="291"/>
      <c r="C51" s="291"/>
      <c r="D51" s="291"/>
      <c r="E51" s="291"/>
      <c r="F51" s="291"/>
      <c r="G51" s="291"/>
      <c r="H51" s="291"/>
      <c r="I51" s="291"/>
      <c r="J51" s="291"/>
      <c r="K51" s="291"/>
      <c r="L51" s="291"/>
      <c r="M51" s="291"/>
      <c r="N51" s="291"/>
      <c r="O51" s="291"/>
    </row>
    <row r="52" spans="1:15" x14ac:dyDescent="0.15">
      <c r="A52" s="291"/>
      <c r="B52" s="291"/>
      <c r="C52" s="291"/>
      <c r="D52" s="291"/>
      <c r="E52" s="291"/>
      <c r="F52" s="291"/>
      <c r="G52" s="291"/>
      <c r="H52" s="291"/>
      <c r="I52" s="291"/>
      <c r="J52" s="291"/>
      <c r="K52" s="291"/>
      <c r="L52" s="291"/>
      <c r="M52" s="291"/>
      <c r="N52" s="291"/>
      <c r="O52" s="291"/>
    </row>
    <row r="53" spans="1:15" x14ac:dyDescent="0.15">
      <c r="A53" s="291"/>
      <c r="B53" s="291"/>
      <c r="C53" s="291"/>
      <c r="D53" s="291"/>
      <c r="E53" s="291"/>
      <c r="F53" s="291"/>
      <c r="G53" s="291"/>
      <c r="H53" s="291"/>
      <c r="I53" s="291"/>
      <c r="J53" s="291"/>
      <c r="K53" s="291"/>
      <c r="L53" s="291"/>
      <c r="M53" s="291"/>
      <c r="N53" s="291"/>
      <c r="O53" s="291"/>
    </row>
    <row r="54" spans="1:15" x14ac:dyDescent="0.15">
      <c r="A54" s="291"/>
      <c r="B54" s="291"/>
      <c r="C54" s="291"/>
      <c r="D54" s="291"/>
      <c r="E54" s="291"/>
      <c r="F54" s="291"/>
      <c r="G54" s="291"/>
      <c r="H54" s="291"/>
      <c r="I54" s="291"/>
      <c r="J54" s="291"/>
      <c r="K54" s="291"/>
      <c r="L54" s="291"/>
      <c r="M54" s="291"/>
      <c r="N54" s="291"/>
      <c r="O54" s="291"/>
    </row>
    <row r="55" spans="1:15" x14ac:dyDescent="0.15">
      <c r="A55" s="291"/>
      <c r="B55" s="291"/>
      <c r="C55" s="291"/>
      <c r="D55" s="291"/>
      <c r="E55" s="291"/>
      <c r="F55" s="291"/>
      <c r="G55" s="291"/>
      <c r="H55" s="291"/>
      <c r="I55" s="291"/>
      <c r="J55" s="291"/>
      <c r="K55" s="291"/>
      <c r="L55" s="291"/>
      <c r="M55" s="291"/>
      <c r="N55" s="291"/>
      <c r="O55" s="291"/>
    </row>
    <row r="56" spans="1:15" x14ac:dyDescent="0.15">
      <c r="A56" s="291"/>
      <c r="B56" s="291"/>
      <c r="C56" s="291"/>
      <c r="D56" s="291"/>
      <c r="E56" s="291"/>
      <c r="F56" s="291"/>
      <c r="G56" s="291"/>
      <c r="H56" s="291"/>
      <c r="I56" s="291"/>
      <c r="J56" s="291"/>
      <c r="K56" s="291"/>
      <c r="L56" s="291"/>
      <c r="M56" s="291"/>
      <c r="N56" s="291"/>
      <c r="O56" s="291"/>
    </row>
    <row r="57" spans="1:15" x14ac:dyDescent="0.15">
      <c r="A57" s="291"/>
      <c r="B57" s="291"/>
      <c r="C57" s="291"/>
      <c r="D57" s="291"/>
      <c r="E57" s="291"/>
      <c r="F57" s="291"/>
      <c r="G57" s="291"/>
      <c r="H57" s="291"/>
      <c r="I57" s="291"/>
      <c r="J57" s="291"/>
      <c r="K57" s="291"/>
      <c r="L57" s="291"/>
      <c r="M57" s="291"/>
      <c r="N57" s="291"/>
      <c r="O57" s="291"/>
    </row>
    <row r="58" spans="1:15" x14ac:dyDescent="0.15">
      <c r="A58" s="291"/>
      <c r="B58" s="291"/>
      <c r="C58" s="291"/>
      <c r="D58" s="291"/>
      <c r="E58" s="291"/>
      <c r="F58" s="291"/>
      <c r="G58" s="291"/>
      <c r="H58" s="291"/>
      <c r="I58" s="291"/>
      <c r="J58" s="291"/>
      <c r="K58" s="291"/>
      <c r="L58" s="291"/>
      <c r="M58" s="291"/>
      <c r="N58" s="291"/>
      <c r="O58" s="291"/>
    </row>
    <row r="59" spans="1:15" x14ac:dyDescent="0.15">
      <c r="A59" s="291"/>
      <c r="B59" s="291"/>
      <c r="C59" s="291"/>
      <c r="D59" s="291"/>
      <c r="E59" s="291"/>
      <c r="F59" s="291"/>
      <c r="G59" s="291"/>
      <c r="H59" s="291"/>
      <c r="I59" s="291"/>
      <c r="J59" s="291"/>
      <c r="K59" s="291"/>
      <c r="L59" s="291"/>
      <c r="M59" s="291"/>
      <c r="N59" s="291"/>
      <c r="O59" s="291"/>
    </row>
    <row r="60" spans="1:15" x14ac:dyDescent="0.15">
      <c r="A60" s="291"/>
      <c r="B60" s="291"/>
      <c r="C60" s="291"/>
      <c r="D60" s="291"/>
      <c r="E60" s="291"/>
      <c r="F60" s="291"/>
      <c r="G60" s="291"/>
      <c r="H60" s="291"/>
      <c r="I60" s="291"/>
      <c r="J60" s="291"/>
      <c r="K60" s="291"/>
      <c r="L60" s="291"/>
      <c r="M60" s="291"/>
      <c r="N60" s="291"/>
      <c r="O60" s="291"/>
    </row>
    <row r="61" spans="1:15" x14ac:dyDescent="0.15">
      <c r="A61" s="291"/>
      <c r="B61" s="291"/>
      <c r="C61" s="291"/>
      <c r="D61" s="291"/>
      <c r="E61" s="291"/>
      <c r="F61" s="291"/>
      <c r="G61" s="291"/>
      <c r="H61" s="291"/>
      <c r="I61" s="291"/>
      <c r="J61" s="291"/>
      <c r="K61" s="291"/>
      <c r="L61" s="291"/>
      <c r="M61" s="291"/>
      <c r="N61" s="291"/>
      <c r="O61" s="291"/>
    </row>
    <row r="62" spans="1:15" x14ac:dyDescent="0.15">
      <c r="A62" s="291"/>
      <c r="B62" s="291"/>
      <c r="C62" s="291"/>
      <c r="D62" s="291"/>
      <c r="E62" s="291"/>
      <c r="F62" s="291"/>
      <c r="G62" s="291"/>
      <c r="H62" s="291"/>
      <c r="I62" s="291"/>
      <c r="J62" s="291"/>
      <c r="K62" s="291"/>
      <c r="L62" s="291"/>
      <c r="M62" s="291"/>
      <c r="N62" s="291"/>
      <c r="O62" s="291"/>
    </row>
    <row r="63" spans="1:15" x14ac:dyDescent="0.15">
      <c r="A63" s="291"/>
      <c r="B63" s="291"/>
      <c r="C63" s="291"/>
      <c r="D63" s="291"/>
      <c r="E63" s="291"/>
      <c r="F63" s="291"/>
      <c r="G63" s="291"/>
      <c r="H63" s="291"/>
      <c r="I63" s="291"/>
      <c r="J63" s="291"/>
      <c r="K63" s="291"/>
      <c r="L63" s="291"/>
      <c r="M63" s="291"/>
      <c r="N63" s="291"/>
      <c r="O63" s="291"/>
    </row>
    <row r="64" spans="1:15" x14ac:dyDescent="0.15">
      <c r="A64" s="291"/>
      <c r="B64" s="291"/>
      <c r="C64" s="291"/>
      <c r="D64" s="291"/>
      <c r="E64" s="291"/>
      <c r="F64" s="291"/>
      <c r="G64" s="291"/>
      <c r="H64" s="291"/>
      <c r="I64" s="291"/>
      <c r="J64" s="291"/>
      <c r="K64" s="291"/>
      <c r="L64" s="291"/>
      <c r="M64" s="291"/>
      <c r="N64" s="291"/>
      <c r="O64" s="291"/>
    </row>
    <row r="65" spans="1:15" x14ac:dyDescent="0.15">
      <c r="A65" s="291"/>
      <c r="B65" s="291"/>
      <c r="C65" s="291"/>
      <c r="D65" s="291"/>
      <c r="E65" s="291"/>
      <c r="F65" s="291"/>
      <c r="G65" s="291"/>
      <c r="H65" s="291"/>
      <c r="I65" s="291"/>
      <c r="J65" s="291"/>
      <c r="K65" s="291"/>
      <c r="L65" s="291"/>
      <c r="M65" s="291"/>
      <c r="N65" s="291"/>
      <c r="O65" s="291"/>
    </row>
    <row r="66" spans="1:15" x14ac:dyDescent="0.15">
      <c r="A66" s="291"/>
      <c r="B66" s="291"/>
      <c r="C66" s="291"/>
      <c r="D66" s="291"/>
      <c r="E66" s="291"/>
      <c r="F66" s="291"/>
      <c r="G66" s="291"/>
      <c r="H66" s="291"/>
      <c r="I66" s="291"/>
      <c r="J66" s="291"/>
      <c r="K66" s="291"/>
      <c r="L66" s="291"/>
      <c r="M66" s="291"/>
      <c r="N66" s="291"/>
      <c r="O66" s="291"/>
    </row>
    <row r="67" spans="1:15" x14ac:dyDescent="0.15">
      <c r="A67" s="291"/>
      <c r="B67" s="291"/>
      <c r="C67" s="291"/>
      <c r="D67" s="291"/>
      <c r="E67" s="291"/>
      <c r="F67" s="291"/>
      <c r="G67" s="291"/>
      <c r="H67" s="291"/>
      <c r="I67" s="291"/>
      <c r="J67" s="291"/>
      <c r="K67" s="291"/>
      <c r="L67" s="291"/>
      <c r="M67" s="291"/>
      <c r="N67" s="291"/>
      <c r="O67" s="291"/>
    </row>
    <row r="68" spans="1:15" x14ac:dyDescent="0.15">
      <c r="A68" s="291"/>
      <c r="B68" s="291"/>
      <c r="C68" s="291"/>
      <c r="D68" s="291"/>
      <c r="E68" s="291"/>
      <c r="F68" s="291"/>
      <c r="G68" s="291"/>
      <c r="H68" s="291"/>
      <c r="I68" s="291"/>
      <c r="J68" s="291"/>
      <c r="K68" s="291"/>
      <c r="L68" s="291"/>
      <c r="M68" s="291"/>
      <c r="N68" s="291"/>
      <c r="O68" s="291"/>
    </row>
    <row r="69" spans="1:15" x14ac:dyDescent="0.15">
      <c r="A69" s="291"/>
      <c r="B69" s="291"/>
      <c r="C69" s="291"/>
      <c r="D69" s="291"/>
      <c r="E69" s="291"/>
      <c r="F69" s="291"/>
      <c r="G69" s="291"/>
      <c r="H69" s="291"/>
      <c r="I69" s="291"/>
      <c r="J69" s="291"/>
      <c r="K69" s="291"/>
      <c r="L69" s="291"/>
      <c r="M69" s="291"/>
      <c r="N69" s="291"/>
      <c r="O69" s="291"/>
    </row>
    <row r="70" spans="1:15" x14ac:dyDescent="0.15">
      <c r="A70" s="291"/>
      <c r="B70" s="291"/>
      <c r="C70" s="291"/>
      <c r="D70" s="291"/>
      <c r="E70" s="291"/>
      <c r="F70" s="291"/>
      <c r="G70" s="291"/>
      <c r="H70" s="291"/>
      <c r="I70" s="291"/>
      <c r="J70" s="291"/>
      <c r="K70" s="291"/>
      <c r="L70" s="291"/>
      <c r="M70" s="291"/>
      <c r="N70" s="291"/>
      <c r="O70" s="291"/>
    </row>
    <row r="71" spans="1:15" x14ac:dyDescent="0.15">
      <c r="A71" s="291"/>
      <c r="B71" s="291"/>
      <c r="C71" s="291"/>
      <c r="D71" s="291"/>
      <c r="E71" s="291"/>
      <c r="F71" s="291"/>
      <c r="G71" s="291"/>
      <c r="H71" s="291"/>
      <c r="I71" s="291"/>
      <c r="J71" s="291"/>
      <c r="K71" s="291"/>
      <c r="L71" s="291"/>
      <c r="M71" s="291"/>
      <c r="N71" s="291"/>
      <c r="O71" s="291"/>
    </row>
    <row r="72" spans="1:15" x14ac:dyDescent="0.15">
      <c r="A72" s="291"/>
      <c r="B72" s="291"/>
      <c r="C72" s="291"/>
      <c r="D72" s="291"/>
      <c r="E72" s="291"/>
      <c r="F72" s="291"/>
      <c r="G72" s="291"/>
      <c r="H72" s="291"/>
      <c r="I72" s="291"/>
      <c r="J72" s="291"/>
      <c r="K72" s="291"/>
      <c r="L72" s="291"/>
      <c r="M72" s="291"/>
      <c r="N72" s="291"/>
      <c r="O72" s="291"/>
    </row>
    <row r="73" spans="1:15" x14ac:dyDescent="0.15">
      <c r="A73" s="291"/>
      <c r="B73" s="291"/>
      <c r="C73" s="291"/>
      <c r="D73" s="291"/>
      <c r="E73" s="291"/>
      <c r="F73" s="291"/>
      <c r="G73" s="291"/>
      <c r="H73" s="291"/>
      <c r="I73" s="291"/>
      <c r="J73" s="291"/>
      <c r="K73" s="291"/>
      <c r="L73" s="291"/>
      <c r="M73" s="291"/>
      <c r="N73" s="291"/>
      <c r="O73" s="291"/>
    </row>
    <row r="74" spans="1:15" x14ac:dyDescent="0.15">
      <c r="A74" s="291"/>
      <c r="B74" s="291"/>
      <c r="C74" s="291"/>
      <c r="D74" s="291"/>
      <c r="E74" s="291"/>
      <c r="F74" s="291"/>
      <c r="G74" s="291"/>
      <c r="H74" s="291"/>
      <c r="I74" s="291"/>
      <c r="J74" s="291"/>
      <c r="K74" s="291"/>
      <c r="L74" s="291"/>
      <c r="M74" s="291"/>
      <c r="N74" s="291"/>
      <c r="O74" s="291"/>
    </row>
    <row r="75" spans="1:15" x14ac:dyDescent="0.15">
      <c r="A75" s="291"/>
      <c r="B75" s="291"/>
      <c r="C75" s="291"/>
      <c r="D75" s="291"/>
      <c r="E75" s="291"/>
      <c r="F75" s="291"/>
      <c r="G75" s="291"/>
      <c r="H75" s="291"/>
      <c r="I75" s="291"/>
      <c r="J75" s="291"/>
      <c r="K75" s="291"/>
      <c r="L75" s="291"/>
      <c r="M75" s="291"/>
      <c r="N75" s="291"/>
      <c r="O75" s="291"/>
    </row>
    <row r="76" spans="1:15" x14ac:dyDescent="0.15">
      <c r="A76" s="291"/>
      <c r="B76" s="291"/>
      <c r="C76" s="291"/>
      <c r="D76" s="291"/>
      <c r="E76" s="291"/>
      <c r="F76" s="291"/>
      <c r="G76" s="291"/>
      <c r="H76" s="291"/>
      <c r="I76" s="291"/>
      <c r="J76" s="291"/>
      <c r="K76" s="291"/>
      <c r="L76" s="291"/>
      <c r="M76" s="291"/>
      <c r="N76" s="291"/>
      <c r="O76" s="291"/>
    </row>
    <row r="77" spans="1:15" x14ac:dyDescent="0.15">
      <c r="A77" s="291"/>
      <c r="B77" s="291"/>
      <c r="C77" s="291"/>
      <c r="D77" s="291"/>
      <c r="E77" s="291"/>
      <c r="F77" s="291"/>
      <c r="G77" s="291"/>
      <c r="H77" s="291"/>
      <c r="I77" s="291"/>
      <c r="J77" s="291"/>
      <c r="K77" s="291"/>
      <c r="L77" s="291"/>
      <c r="M77" s="291"/>
      <c r="N77" s="291"/>
      <c r="O77" s="291"/>
    </row>
    <row r="78" spans="1:15" x14ac:dyDescent="0.15">
      <c r="A78" s="291"/>
      <c r="B78" s="291"/>
      <c r="C78" s="291"/>
      <c r="D78" s="291"/>
      <c r="E78" s="291"/>
      <c r="F78" s="291"/>
      <c r="G78" s="291"/>
      <c r="H78" s="291"/>
      <c r="I78" s="291"/>
      <c r="J78" s="291"/>
      <c r="K78" s="291"/>
      <c r="L78" s="291"/>
      <c r="M78" s="291"/>
      <c r="N78" s="291"/>
      <c r="O78" s="291"/>
    </row>
    <row r="79" spans="1:15" x14ac:dyDescent="0.15">
      <c r="A79" s="291"/>
      <c r="B79" s="291"/>
      <c r="C79" s="291"/>
      <c r="D79" s="291"/>
      <c r="E79" s="291"/>
      <c r="F79" s="291"/>
      <c r="G79" s="291"/>
      <c r="H79" s="291"/>
      <c r="I79" s="291"/>
      <c r="J79" s="291"/>
      <c r="K79" s="291"/>
      <c r="L79" s="291"/>
      <c r="M79" s="291"/>
      <c r="N79" s="291"/>
      <c r="O79" s="291"/>
    </row>
    <row r="80" spans="1:15" x14ac:dyDescent="0.15">
      <c r="A80" s="291"/>
      <c r="B80" s="291"/>
      <c r="C80" s="291"/>
      <c r="D80" s="291"/>
      <c r="E80" s="291"/>
      <c r="F80" s="291"/>
      <c r="G80" s="291"/>
      <c r="H80" s="291"/>
      <c r="I80" s="291"/>
      <c r="J80" s="291"/>
      <c r="K80" s="291"/>
      <c r="L80" s="291"/>
      <c r="M80" s="291"/>
      <c r="N80" s="291"/>
      <c r="O80" s="291"/>
    </row>
    <row r="81" spans="1:19" x14ac:dyDescent="0.15">
      <c r="A81" s="291"/>
      <c r="B81" s="291"/>
      <c r="C81" s="291"/>
      <c r="D81" s="291"/>
      <c r="E81" s="291"/>
      <c r="F81" s="291"/>
      <c r="G81" s="291"/>
      <c r="H81" s="291"/>
      <c r="I81" s="291"/>
      <c r="J81" s="291"/>
      <c r="K81" s="291"/>
      <c r="L81" s="291"/>
      <c r="M81" s="291"/>
      <c r="N81" s="291"/>
      <c r="O81" s="291"/>
    </row>
    <row r="82" spans="1:19" x14ac:dyDescent="0.15">
      <c r="A82" s="291"/>
      <c r="B82" s="291"/>
      <c r="C82" s="291"/>
      <c r="D82" s="291"/>
      <c r="E82" s="291"/>
      <c r="F82" s="291"/>
      <c r="G82" s="291"/>
      <c r="H82" s="291"/>
      <c r="I82" s="291"/>
      <c r="J82" s="291"/>
      <c r="K82" s="291"/>
      <c r="L82" s="291"/>
      <c r="M82" s="291"/>
      <c r="N82" s="291"/>
      <c r="O82" s="291"/>
    </row>
    <row r="83" spans="1:19" x14ac:dyDescent="0.15">
      <c r="A83" s="291"/>
      <c r="B83" s="291"/>
      <c r="C83" s="291"/>
      <c r="D83" s="291"/>
      <c r="E83" s="291"/>
      <c r="F83" s="291"/>
      <c r="G83" s="291"/>
      <c r="H83" s="291"/>
      <c r="I83" s="291"/>
      <c r="J83" s="291"/>
      <c r="K83" s="291"/>
      <c r="L83" s="291"/>
      <c r="M83" s="291"/>
      <c r="N83" s="291"/>
      <c r="O83" s="291"/>
    </row>
    <row r="84" spans="1:19" x14ac:dyDescent="0.15">
      <c r="A84" s="291"/>
      <c r="B84" s="291"/>
      <c r="C84" s="291"/>
      <c r="D84" s="291"/>
      <c r="E84" s="291"/>
      <c r="F84" s="291"/>
      <c r="G84" s="291"/>
      <c r="H84" s="291"/>
      <c r="I84" s="291"/>
      <c r="J84" s="291"/>
      <c r="K84" s="291"/>
      <c r="L84" s="291"/>
      <c r="M84" s="291"/>
      <c r="N84" s="291"/>
      <c r="O84" s="291"/>
    </row>
    <row r="85" spans="1:19" x14ac:dyDescent="0.15">
      <c r="A85" s="291"/>
      <c r="B85" s="291"/>
      <c r="C85" s="291"/>
      <c r="D85" s="291"/>
      <c r="E85" s="291"/>
      <c r="F85" s="291"/>
      <c r="G85" s="291"/>
      <c r="H85" s="291"/>
      <c r="I85" s="291"/>
      <c r="J85" s="291"/>
      <c r="K85" s="291"/>
      <c r="L85" s="291"/>
      <c r="M85" s="291"/>
      <c r="N85" s="291"/>
      <c r="O85" s="291"/>
    </row>
    <row r="86" spans="1:19" x14ac:dyDescent="0.15">
      <c r="A86" s="291"/>
      <c r="B86" s="291"/>
      <c r="C86" s="291"/>
      <c r="D86" s="291"/>
      <c r="E86" s="291"/>
      <c r="F86" s="291"/>
      <c r="G86" s="291"/>
      <c r="H86" s="291"/>
      <c r="I86" s="291"/>
      <c r="J86" s="291"/>
      <c r="K86" s="291"/>
      <c r="L86" s="291"/>
      <c r="M86" s="291"/>
      <c r="N86" s="291"/>
      <c r="O86" s="291"/>
    </row>
    <row r="87" spans="1:19" x14ac:dyDescent="0.15">
      <c r="A87" s="291"/>
      <c r="B87" s="291"/>
      <c r="C87" s="291"/>
      <c r="D87" s="291"/>
      <c r="E87" s="291"/>
      <c r="F87" s="291"/>
      <c r="G87" s="291"/>
      <c r="H87" s="291"/>
      <c r="I87" s="291"/>
      <c r="J87" s="291"/>
      <c r="K87" s="291"/>
      <c r="L87" s="291"/>
      <c r="M87" s="291"/>
      <c r="N87" s="291"/>
      <c r="O87" s="291"/>
    </row>
    <row r="88" spans="1:19" x14ac:dyDescent="0.15">
      <c r="A88" s="291"/>
      <c r="B88" s="291"/>
      <c r="C88" s="291"/>
      <c r="D88" s="291"/>
      <c r="E88" s="291"/>
      <c r="F88" s="291"/>
      <c r="G88" s="291"/>
      <c r="H88" s="291"/>
      <c r="I88" s="291"/>
      <c r="J88" s="291"/>
      <c r="K88" s="291"/>
      <c r="L88" s="291"/>
      <c r="M88" s="291"/>
      <c r="N88" s="291"/>
      <c r="O88" s="291"/>
    </row>
    <row r="89" spans="1:19" x14ac:dyDescent="0.15">
      <c r="A89" s="291"/>
      <c r="B89" s="291"/>
      <c r="C89" s="291"/>
      <c r="D89" s="291"/>
      <c r="E89" s="291"/>
      <c r="F89" s="291"/>
      <c r="G89" s="291"/>
      <c r="H89" s="291"/>
      <c r="I89" s="291"/>
      <c r="J89" s="291"/>
      <c r="K89" s="291"/>
      <c r="L89" s="291"/>
      <c r="M89" s="291"/>
      <c r="N89" s="291"/>
      <c r="O89" s="291"/>
    </row>
    <row r="90" spans="1:19" x14ac:dyDescent="0.15">
      <c r="A90" s="291"/>
      <c r="B90" s="291"/>
      <c r="C90" s="291"/>
      <c r="D90" s="291"/>
      <c r="E90" s="291"/>
      <c r="F90" s="291"/>
      <c r="G90" s="291"/>
      <c r="H90" s="291"/>
      <c r="I90" s="291"/>
      <c r="J90" s="291"/>
      <c r="K90" s="291"/>
      <c r="L90" s="291"/>
      <c r="M90" s="291"/>
      <c r="N90" s="291"/>
      <c r="O90" s="291"/>
      <c r="R90" s="422"/>
    </row>
    <row r="91" spans="1:19" x14ac:dyDescent="0.15">
      <c r="A91" s="291"/>
      <c r="B91" s="291"/>
      <c r="C91" s="291"/>
      <c r="D91" s="291"/>
      <c r="E91" s="291"/>
      <c r="F91" s="291"/>
      <c r="G91" s="291"/>
      <c r="H91" s="291"/>
      <c r="I91" s="291"/>
      <c r="J91" s="291"/>
      <c r="K91" s="291"/>
      <c r="L91" s="291"/>
      <c r="M91" s="291"/>
      <c r="N91" s="291"/>
      <c r="O91" s="291"/>
      <c r="P91" s="291"/>
      <c r="Q91" s="291"/>
      <c r="R91" s="291"/>
      <c r="S91" s="291"/>
    </row>
    <row r="92" spans="1:19" x14ac:dyDescent="0.15">
      <c r="A92" s="291"/>
      <c r="B92" s="291"/>
      <c r="C92" s="291"/>
      <c r="D92" s="291"/>
      <c r="E92" s="291"/>
      <c r="F92" s="291"/>
      <c r="G92" s="291"/>
      <c r="H92" s="291"/>
      <c r="I92" s="291"/>
      <c r="J92" s="291"/>
      <c r="K92" s="291"/>
      <c r="L92" s="291"/>
      <c r="M92" s="291"/>
      <c r="N92" s="291"/>
      <c r="O92" s="291"/>
      <c r="P92" s="291"/>
      <c r="Q92" s="291"/>
      <c r="R92" s="291"/>
      <c r="S92" s="291"/>
    </row>
    <row r="93" spans="1:19" x14ac:dyDescent="0.15">
      <c r="A93" s="291"/>
      <c r="B93" s="291"/>
      <c r="C93" s="291"/>
      <c r="D93" s="291"/>
      <c r="E93" s="291"/>
      <c r="F93" s="291"/>
      <c r="G93" s="291"/>
      <c r="H93" s="291"/>
      <c r="I93" s="291"/>
      <c r="J93" s="291"/>
      <c r="K93" s="291"/>
      <c r="L93" s="291"/>
      <c r="M93" s="291"/>
      <c r="N93" s="291"/>
      <c r="O93" s="291"/>
      <c r="P93" s="291"/>
      <c r="Q93" s="291"/>
      <c r="R93" s="291"/>
      <c r="S93" s="291"/>
    </row>
    <row r="94" spans="1:19" x14ac:dyDescent="0.15">
      <c r="A94" s="291"/>
      <c r="B94" s="291"/>
      <c r="C94" s="291"/>
      <c r="D94" s="291"/>
      <c r="E94" s="291"/>
      <c r="F94" s="291"/>
      <c r="G94" s="291"/>
      <c r="H94" s="291"/>
      <c r="I94" s="291"/>
      <c r="J94" s="291"/>
      <c r="K94" s="291"/>
      <c r="L94" s="291"/>
      <c r="M94" s="291"/>
      <c r="N94" s="291"/>
      <c r="O94" s="291"/>
      <c r="P94" s="291"/>
      <c r="Q94" s="291"/>
      <c r="R94" s="291"/>
      <c r="S94" s="291"/>
    </row>
    <row r="95" spans="1:19" x14ac:dyDescent="0.15">
      <c r="L95" s="291"/>
      <c r="M95" s="291"/>
      <c r="N95" s="291"/>
      <c r="O95" s="291"/>
      <c r="P95" s="291"/>
      <c r="Q95" s="291"/>
      <c r="R95" s="291"/>
      <c r="S95" s="291"/>
    </row>
    <row r="96" spans="1:19" x14ac:dyDescent="0.15">
      <c r="L96" s="291"/>
      <c r="M96" s="291"/>
      <c r="N96" s="291"/>
      <c r="O96" s="291"/>
      <c r="P96" s="291"/>
      <c r="Q96" s="291"/>
      <c r="R96" s="291"/>
      <c r="S96" s="291"/>
    </row>
    <row r="97" spans="4:19" x14ac:dyDescent="0.15">
      <c r="L97" s="291"/>
      <c r="M97" s="291"/>
      <c r="N97" s="291"/>
      <c r="O97" s="291"/>
      <c r="P97" s="291"/>
      <c r="Q97" s="291"/>
      <c r="R97" s="291"/>
      <c r="S97" s="291"/>
    </row>
    <row r="98" spans="4:19" x14ac:dyDescent="0.15">
      <c r="L98" s="291"/>
      <c r="M98" s="291"/>
      <c r="N98" s="291"/>
      <c r="O98" s="291"/>
      <c r="P98" s="291"/>
      <c r="Q98" s="291"/>
      <c r="R98" s="291"/>
      <c r="S98" s="291"/>
    </row>
    <row r="99" spans="4:19" x14ac:dyDescent="0.15">
      <c r="L99" s="291"/>
      <c r="M99" s="291"/>
      <c r="N99" s="291"/>
      <c r="O99" s="291"/>
      <c r="P99" s="291"/>
      <c r="Q99" s="291"/>
      <c r="R99" s="291"/>
      <c r="S99" s="291"/>
    </row>
    <row r="100" spans="4:19" x14ac:dyDescent="0.15">
      <c r="L100" s="291"/>
      <c r="M100" s="291"/>
      <c r="N100" s="291"/>
      <c r="O100" s="291"/>
      <c r="P100" s="291"/>
      <c r="Q100" s="291"/>
      <c r="R100" s="291"/>
      <c r="S100" s="291"/>
    </row>
    <row r="101" spans="4:19" x14ac:dyDescent="0.15">
      <c r="L101" s="291"/>
      <c r="M101" s="291"/>
      <c r="N101" s="291"/>
      <c r="O101" s="291"/>
      <c r="P101" s="291"/>
      <c r="Q101" s="291"/>
      <c r="R101" s="291"/>
      <c r="S101" s="291"/>
    </row>
    <row r="102" spans="4:19" x14ac:dyDescent="0.15">
      <c r="L102" s="291"/>
      <c r="M102" s="291"/>
      <c r="N102" s="291"/>
      <c r="O102" s="291"/>
      <c r="P102" s="291"/>
      <c r="Q102" s="291"/>
      <c r="R102" s="291"/>
      <c r="S102" s="291"/>
    </row>
    <row r="103" spans="4:19" x14ac:dyDescent="0.15">
      <c r="L103" s="291"/>
      <c r="M103" s="291"/>
      <c r="N103" s="291"/>
      <c r="O103" s="291"/>
      <c r="P103" s="291"/>
      <c r="Q103" s="291"/>
      <c r="R103" s="291"/>
      <c r="S103" s="291"/>
    </row>
    <row r="104" spans="4:19" x14ac:dyDescent="0.15">
      <c r="L104" s="291"/>
      <c r="M104" s="291"/>
      <c r="N104" s="291"/>
      <c r="O104" s="291"/>
      <c r="P104" s="291"/>
      <c r="Q104" s="291"/>
      <c r="R104" s="291"/>
      <c r="S104" s="291"/>
    </row>
    <row r="105" spans="4:19" x14ac:dyDescent="0.15">
      <c r="L105" s="291"/>
      <c r="M105" s="291"/>
      <c r="N105" s="291"/>
      <c r="O105" s="291"/>
      <c r="P105" s="291"/>
      <c r="Q105" s="291"/>
      <c r="R105" s="291"/>
      <c r="S105" s="291"/>
    </row>
    <row r="106" spans="4:19" x14ac:dyDescent="0.15">
      <c r="L106" s="291"/>
      <c r="M106" s="291"/>
      <c r="N106" s="291"/>
      <c r="O106" s="291"/>
      <c r="P106" s="291"/>
      <c r="Q106" s="291"/>
      <c r="R106" s="291"/>
      <c r="S106" s="291"/>
    </row>
    <row r="109" spans="4:19" x14ac:dyDescent="0.15">
      <c r="D109" s="396"/>
    </row>
    <row r="110" spans="4:19" x14ac:dyDescent="0.15">
      <c r="D110" s="396"/>
    </row>
    <row r="111" spans="4:19" x14ac:dyDescent="0.15">
      <c r="D111" s="396"/>
    </row>
    <row r="112" spans="4:19" x14ac:dyDescent="0.15">
      <c r="D112" s="396"/>
    </row>
    <row r="113" spans="4:4" x14ac:dyDescent="0.15">
      <c r="D113" s="396"/>
    </row>
    <row r="114" spans="4:4" x14ac:dyDescent="0.15">
      <c r="D114" s="396"/>
    </row>
    <row r="115" spans="4:4" x14ac:dyDescent="0.15">
      <c r="D115" s="396"/>
    </row>
    <row r="116" spans="4:4" x14ac:dyDescent="0.15">
      <c r="D116" s="396"/>
    </row>
    <row r="117" spans="4:4" x14ac:dyDescent="0.15">
      <c r="D117" s="396"/>
    </row>
    <row r="118" spans="4:4" x14ac:dyDescent="0.15">
      <c r="D118" s="396"/>
    </row>
    <row r="119" spans="4:4" x14ac:dyDescent="0.15">
      <c r="D119" s="396"/>
    </row>
    <row r="120" spans="4:4" x14ac:dyDescent="0.15">
      <c r="D120" s="396"/>
    </row>
    <row r="121" spans="4:4" x14ac:dyDescent="0.15">
      <c r="D121" s="396"/>
    </row>
    <row r="122" spans="4:4" x14ac:dyDescent="0.15">
      <c r="D122" s="396"/>
    </row>
  </sheetData>
  <sheetProtection algorithmName="SHA-512" hashValue="FAmKYCMvUePpqfCCjtDyz6XXABJIK1yesqbjE+l3KfqmJRtgDB1+uUW2NWrwPc7NEqyghPYV0FjruOYYKaxjpQ==" saltValue="02W78MMuUmftxNPmy4dBjA==" spinCount="100000" sheet="1" objects="1" scenarios="1"/>
  <mergeCells count="4">
    <mergeCell ref="D4:D6"/>
    <mergeCell ref="E4:E6"/>
    <mergeCell ref="F4:F6"/>
    <mergeCell ref="G4:G6"/>
  </mergeCells>
  <pageMargins left="0.75" right="0.75" top="1" bottom="1" header="0.5" footer="0.5"/>
  <pageSetup orientation="portrait" horizontalDpi="4294967292" verticalDpi="4294967292"/>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6B4D0-2A15-5848-AB60-35EB2C190346}">
  <sheetPr codeName="Feuil6">
    <tabColor theme="1"/>
  </sheetPr>
  <dimension ref="A1:CF131"/>
  <sheetViews>
    <sheetView zoomScale="150" workbookViewId="0">
      <pane xSplit="3" ySplit="3" topLeftCell="D4" activePane="bottomRight" state="frozen"/>
      <selection pane="topRight" activeCell="D1" sqref="D1"/>
      <selection pane="bottomLeft" activeCell="A4" sqref="A4"/>
      <selection pane="bottomRight" activeCell="A4" sqref="A4"/>
    </sheetView>
  </sheetViews>
  <sheetFormatPr baseColWidth="10" defaultRowHeight="13" x14ac:dyDescent="0.15"/>
  <cols>
    <col min="1" max="1" width="3.6640625" style="138" customWidth="1"/>
    <col min="2" max="2" width="7.33203125" style="138" bestFit="1" customWidth="1"/>
    <col min="3" max="3" width="3.5" style="138" bestFit="1" customWidth="1"/>
    <col min="4" max="4" width="8.5" style="138" bestFit="1" customWidth="1"/>
    <col min="5" max="5" width="29.33203125" style="138" customWidth="1"/>
    <col min="6" max="6" width="2.5" style="138" bestFit="1" customWidth="1"/>
    <col min="7" max="7" width="32.83203125" style="138" bestFit="1" customWidth="1"/>
    <col min="8" max="8" width="2.33203125" style="138" bestFit="1" customWidth="1"/>
    <col min="9" max="9" width="2" style="138" bestFit="1" customWidth="1"/>
    <col min="10" max="10" width="9.83203125" style="138" customWidth="1"/>
    <col min="11" max="11" width="2.33203125" style="138" bestFit="1" customWidth="1"/>
    <col min="12" max="12" width="9.83203125" style="138" bestFit="1" customWidth="1"/>
    <col min="13" max="13" width="2" style="138" bestFit="1" customWidth="1"/>
    <col min="14" max="14" width="8.5" style="138" bestFit="1" customWidth="1"/>
    <col min="15" max="15" width="3.5" style="138" bestFit="1" customWidth="1"/>
    <col min="16" max="16" width="8.5" style="138" customWidth="1"/>
    <col min="17" max="17" width="24.5" style="138" bestFit="1" customWidth="1"/>
    <col min="18" max="18" width="2.5" style="138" bestFit="1" customWidth="1"/>
    <col min="19" max="19" width="26.33203125" style="138" bestFit="1" customWidth="1"/>
    <col min="20" max="20" width="2.33203125" style="138" bestFit="1" customWidth="1"/>
    <col min="21" max="21" width="2" style="138" bestFit="1" customWidth="1"/>
    <col min="22" max="22" width="10.83203125" style="138"/>
    <col min="23" max="23" width="2.33203125" style="138" bestFit="1" customWidth="1"/>
    <col min="24" max="24" width="11.83203125" style="138" bestFit="1" customWidth="1"/>
    <col min="25" max="25" width="2" style="138" bestFit="1" customWidth="1"/>
    <col min="26" max="26" width="8.5" style="138" bestFit="1" customWidth="1"/>
    <col min="27" max="27" width="3.5" style="138" bestFit="1" customWidth="1"/>
    <col min="28" max="28" width="8.5" style="138" bestFit="1" customWidth="1"/>
    <col min="29" max="29" width="24.5" style="138" bestFit="1" customWidth="1"/>
    <col min="30" max="30" width="2.5" style="138" bestFit="1" customWidth="1"/>
    <col min="31" max="31" width="26.33203125" style="138" bestFit="1" customWidth="1"/>
    <col min="32" max="32" width="2.33203125" style="138" bestFit="1" customWidth="1"/>
    <col min="33" max="33" width="2" style="138" bestFit="1" customWidth="1"/>
    <col min="34" max="34" width="10.83203125" style="138"/>
    <col min="35" max="35" width="2.33203125" style="138" bestFit="1" customWidth="1"/>
    <col min="36" max="36" width="10.83203125" style="138"/>
    <col min="37" max="37" width="2" style="138" bestFit="1" customWidth="1"/>
    <col min="38" max="38" width="8.5" style="138" bestFit="1" customWidth="1"/>
    <col min="39" max="39" width="3.5" style="138" bestFit="1" customWidth="1"/>
    <col min="40" max="40" width="8.5" style="138" bestFit="1" customWidth="1"/>
    <col min="41" max="41" width="24.5" style="138" bestFit="1" customWidth="1"/>
    <col min="42" max="42" width="2.5" style="138" bestFit="1" customWidth="1"/>
    <col min="43" max="43" width="26.33203125" style="138" bestFit="1" customWidth="1"/>
    <col min="44" max="44" width="2.33203125" style="138" bestFit="1" customWidth="1"/>
    <col min="45" max="45" width="2" style="138" bestFit="1" customWidth="1"/>
    <col min="46" max="46" width="10.83203125" style="138"/>
    <col min="47" max="47" width="2.33203125" style="138" bestFit="1" customWidth="1"/>
    <col min="48" max="48" width="10.83203125" style="138"/>
    <col min="49" max="49" width="2" style="138" bestFit="1" customWidth="1"/>
    <col min="50" max="50" width="8.5" style="138" bestFit="1" customWidth="1"/>
    <col min="51" max="51" width="2.6640625" style="138" customWidth="1"/>
    <col min="52" max="52" width="8.5" style="138" bestFit="1" customWidth="1"/>
    <col min="53" max="53" width="22.83203125" style="138" bestFit="1" customWidth="1"/>
    <col min="54" max="54" width="2.5" style="138" bestFit="1" customWidth="1"/>
    <col min="55" max="55" width="26.83203125" style="138" bestFit="1" customWidth="1"/>
    <col min="56" max="56" width="2.33203125" style="138" bestFit="1" customWidth="1"/>
    <col min="57" max="57" width="2" style="138" bestFit="1" customWidth="1"/>
    <col min="58" max="58" width="10.83203125" style="138"/>
    <col min="59" max="59" width="2.33203125" style="138" bestFit="1" customWidth="1"/>
    <col min="60" max="60" width="10.83203125" style="138"/>
    <col min="61" max="61" width="2" style="138" bestFit="1" customWidth="1"/>
    <col min="62" max="62" width="8.5" style="138" bestFit="1" customWidth="1"/>
    <col min="63" max="63" width="2" style="138" customWidth="1"/>
    <col min="64" max="64" width="8.5" style="138" bestFit="1" customWidth="1"/>
    <col min="65" max="65" width="21" style="138" bestFit="1" customWidth="1"/>
    <col min="66" max="66" width="2.5" style="138" bestFit="1" customWidth="1"/>
    <col min="67" max="67" width="26.83203125" style="138" bestFit="1" customWidth="1"/>
    <col min="68" max="68" width="2.33203125" style="138" bestFit="1" customWidth="1"/>
    <col min="69" max="69" width="2" style="138" bestFit="1" customWidth="1"/>
    <col min="70" max="70" width="10.83203125" style="138"/>
    <col min="71" max="71" width="2.33203125" style="138" bestFit="1" customWidth="1"/>
    <col min="72" max="72" width="10.83203125" style="138"/>
    <col min="73" max="73" width="2" style="138" bestFit="1" customWidth="1"/>
    <col min="74" max="74" width="8.5" style="138" bestFit="1" customWidth="1"/>
    <col min="75" max="16384" width="10.83203125" style="138"/>
  </cols>
  <sheetData>
    <row r="1" spans="2:74" ht="5" customHeight="1" thickBot="1" x14ac:dyDescent="0.2"/>
    <row r="2" spans="2:74" ht="14" customHeight="1" thickTop="1" x14ac:dyDescent="0.15">
      <c r="D2" s="1356" t="s">
        <v>131</v>
      </c>
      <c r="E2" s="1357"/>
      <c r="F2" s="1357"/>
      <c r="G2" s="1357"/>
      <c r="H2" s="1357"/>
      <c r="I2" s="1357"/>
      <c r="J2" s="1357"/>
      <c r="K2" s="1357"/>
      <c r="L2" s="1357"/>
      <c r="M2" s="1357"/>
      <c r="N2" s="1358"/>
      <c r="P2" s="1356" t="s">
        <v>132</v>
      </c>
      <c r="Q2" s="1357"/>
      <c r="R2" s="1357"/>
      <c r="S2" s="1357"/>
      <c r="T2" s="1357"/>
      <c r="U2" s="1357"/>
      <c r="V2" s="1357"/>
      <c r="W2" s="1357"/>
      <c r="X2" s="1357"/>
      <c r="Y2" s="1357"/>
      <c r="Z2" s="1358"/>
      <c r="AB2" s="1356" t="s">
        <v>133</v>
      </c>
      <c r="AC2" s="1357"/>
      <c r="AD2" s="1357"/>
      <c r="AE2" s="1357"/>
      <c r="AF2" s="1357"/>
      <c r="AG2" s="1357"/>
      <c r="AH2" s="1357"/>
      <c r="AI2" s="1357"/>
      <c r="AJ2" s="1357"/>
      <c r="AK2" s="1357"/>
      <c r="AL2" s="1358"/>
      <c r="AN2" s="1356" t="s">
        <v>134</v>
      </c>
      <c r="AO2" s="1357"/>
      <c r="AP2" s="1357"/>
      <c r="AQ2" s="1357"/>
      <c r="AR2" s="1357"/>
      <c r="AS2" s="1357"/>
      <c r="AT2" s="1357"/>
      <c r="AU2" s="1357"/>
      <c r="AV2" s="1357"/>
      <c r="AW2" s="1357"/>
      <c r="AX2" s="1358"/>
      <c r="AZ2" s="1356" t="s">
        <v>135</v>
      </c>
      <c r="BA2" s="1357"/>
      <c r="BB2" s="1357"/>
      <c r="BC2" s="1357"/>
      <c r="BD2" s="1357"/>
      <c r="BE2" s="1357"/>
      <c r="BF2" s="1357"/>
      <c r="BG2" s="1357"/>
      <c r="BH2" s="1357"/>
      <c r="BI2" s="1357"/>
      <c r="BJ2" s="1358"/>
      <c r="BL2" s="1356" t="s">
        <v>136</v>
      </c>
      <c r="BM2" s="1357"/>
      <c r="BN2" s="1357"/>
      <c r="BO2" s="1357"/>
      <c r="BP2" s="1357"/>
      <c r="BQ2" s="1357"/>
      <c r="BR2" s="1357"/>
      <c r="BS2" s="1357"/>
      <c r="BT2" s="1357"/>
      <c r="BU2" s="1357"/>
      <c r="BV2" s="1358"/>
    </row>
    <row r="3" spans="2:74" ht="14" customHeight="1" thickBot="1" x14ac:dyDescent="0.2">
      <c r="C3" s="139"/>
      <c r="D3" s="1359"/>
      <c r="E3" s="1360"/>
      <c r="F3" s="1360"/>
      <c r="G3" s="1360"/>
      <c r="H3" s="1360"/>
      <c r="I3" s="1360"/>
      <c r="J3" s="1360"/>
      <c r="K3" s="1360"/>
      <c r="L3" s="1360"/>
      <c r="M3" s="1360"/>
      <c r="N3" s="1361"/>
      <c r="P3" s="1359"/>
      <c r="Q3" s="1360"/>
      <c r="R3" s="1360"/>
      <c r="S3" s="1360"/>
      <c r="T3" s="1360"/>
      <c r="U3" s="1360"/>
      <c r="V3" s="1360"/>
      <c r="W3" s="1360"/>
      <c r="X3" s="1360"/>
      <c r="Y3" s="1360"/>
      <c r="Z3" s="1361"/>
      <c r="AB3" s="1359"/>
      <c r="AC3" s="1360"/>
      <c r="AD3" s="1360"/>
      <c r="AE3" s="1360"/>
      <c r="AF3" s="1360"/>
      <c r="AG3" s="1360"/>
      <c r="AH3" s="1360"/>
      <c r="AI3" s="1360"/>
      <c r="AJ3" s="1360"/>
      <c r="AK3" s="1360"/>
      <c r="AL3" s="1361"/>
      <c r="AN3" s="1359"/>
      <c r="AO3" s="1360"/>
      <c r="AP3" s="1360"/>
      <c r="AQ3" s="1360"/>
      <c r="AR3" s="1360"/>
      <c r="AS3" s="1360"/>
      <c r="AT3" s="1360"/>
      <c r="AU3" s="1360"/>
      <c r="AV3" s="1360"/>
      <c r="AW3" s="1360"/>
      <c r="AX3" s="1361"/>
      <c r="AZ3" s="1359"/>
      <c r="BA3" s="1360"/>
      <c r="BB3" s="1360"/>
      <c r="BC3" s="1360"/>
      <c r="BD3" s="1360"/>
      <c r="BE3" s="1360"/>
      <c r="BF3" s="1360"/>
      <c r="BG3" s="1360"/>
      <c r="BH3" s="1360"/>
      <c r="BI3" s="1360"/>
      <c r="BJ3" s="1361"/>
      <c r="BL3" s="1359"/>
      <c r="BM3" s="1360"/>
      <c r="BN3" s="1360"/>
      <c r="BO3" s="1360"/>
      <c r="BP3" s="1360"/>
      <c r="BQ3" s="1360"/>
      <c r="BR3" s="1360"/>
      <c r="BS3" s="1360"/>
      <c r="BT3" s="1360"/>
      <c r="BU3" s="1360"/>
      <c r="BV3" s="1361"/>
    </row>
    <row r="4" spans="2:74" ht="10" customHeight="1" thickTop="1" thickBot="1" x14ac:dyDescent="0.2">
      <c r="C4" s="139"/>
    </row>
    <row r="5" spans="2:74" ht="17" thickTop="1" x14ac:dyDescent="0.2">
      <c r="B5" s="1388" t="s">
        <v>1</v>
      </c>
      <c r="C5" s="1377">
        <v>1</v>
      </c>
      <c r="D5" s="1371" t="s">
        <v>45</v>
      </c>
      <c r="E5" s="140"/>
      <c r="F5" s="140"/>
      <c r="G5" s="199" t="str">
        <f>'Achalandage journalier'!D5</f>
        <v>Pér.01</v>
      </c>
      <c r="H5" s="140"/>
      <c r="I5" s="140"/>
      <c r="J5" s="140"/>
      <c r="K5" s="140"/>
      <c r="L5" s="140"/>
      <c r="M5" s="140"/>
      <c r="N5" s="1368" t="s">
        <v>46</v>
      </c>
      <c r="O5" s="1378"/>
      <c r="P5" s="1371" t="s">
        <v>45</v>
      </c>
      <c r="Q5" s="140"/>
      <c r="R5" s="140"/>
      <c r="S5" s="199" t="str">
        <f>G5</f>
        <v>Pér.01</v>
      </c>
      <c r="T5" s="140"/>
      <c r="U5" s="140"/>
      <c r="V5" s="140"/>
      <c r="W5" s="140"/>
      <c r="X5" s="140"/>
      <c r="Y5" s="140"/>
      <c r="Z5" s="1368" t="s">
        <v>46</v>
      </c>
      <c r="AA5" s="1378"/>
      <c r="AB5" s="1371" t="s">
        <v>45</v>
      </c>
      <c r="AC5" s="140"/>
      <c r="AD5" s="140"/>
      <c r="AE5" s="199" t="str">
        <f>S5</f>
        <v>Pér.01</v>
      </c>
      <c r="AF5" s="140"/>
      <c r="AG5" s="140"/>
      <c r="AH5" s="140"/>
      <c r="AI5" s="140"/>
      <c r="AJ5" s="140"/>
      <c r="AK5" s="140"/>
      <c r="AL5" s="1368" t="s">
        <v>46</v>
      </c>
      <c r="AM5" s="1378"/>
      <c r="AN5" s="1371" t="s">
        <v>45</v>
      </c>
      <c r="AO5" s="140"/>
      <c r="AP5" s="140"/>
      <c r="AQ5" s="199" t="str">
        <f>AE5</f>
        <v>Pér.01</v>
      </c>
      <c r="AR5" s="140"/>
      <c r="AS5" s="140"/>
      <c r="AT5" s="140"/>
      <c r="AU5" s="140"/>
      <c r="AV5" s="140"/>
      <c r="AW5" s="140"/>
      <c r="AX5" s="1368" t="s">
        <v>46</v>
      </c>
      <c r="AZ5" s="1371" t="s">
        <v>45</v>
      </c>
      <c r="BA5" s="140"/>
      <c r="BB5" s="140"/>
      <c r="BC5" s="199" t="str">
        <f>AQ5</f>
        <v>Pér.01</v>
      </c>
      <c r="BD5" s="140"/>
      <c r="BE5" s="140"/>
      <c r="BF5" s="140"/>
      <c r="BG5" s="140"/>
      <c r="BH5" s="140"/>
      <c r="BI5" s="140"/>
      <c r="BJ5" s="1368" t="s">
        <v>46</v>
      </c>
      <c r="BL5" s="1371" t="s">
        <v>45</v>
      </c>
      <c r="BM5" s="140"/>
      <c r="BN5" s="140"/>
      <c r="BO5" s="199" t="str">
        <f>BC5</f>
        <v>Pér.01</v>
      </c>
      <c r="BP5" s="140"/>
      <c r="BQ5" s="140"/>
      <c r="BR5" s="140"/>
      <c r="BS5" s="140"/>
      <c r="BT5" s="140"/>
      <c r="BU5" s="140"/>
      <c r="BV5" s="1368" t="s">
        <v>46</v>
      </c>
    </row>
    <row r="6" spans="2:74" ht="16" x14ac:dyDescent="0.2">
      <c r="B6" s="1389"/>
      <c r="C6" s="1377"/>
      <c r="D6" s="1372"/>
      <c r="E6" s="141"/>
      <c r="F6" s="141"/>
      <c r="G6" s="141"/>
      <c r="H6" s="141"/>
      <c r="I6" s="141"/>
      <c r="J6" s="141"/>
      <c r="K6" s="141"/>
      <c r="L6" s="141"/>
      <c r="M6" s="141"/>
      <c r="N6" s="1369"/>
      <c r="O6" s="1378"/>
      <c r="P6" s="1372"/>
      <c r="Q6" s="141"/>
      <c r="R6" s="141"/>
      <c r="S6" s="141"/>
      <c r="T6" s="141"/>
      <c r="U6" s="141"/>
      <c r="V6" s="141"/>
      <c r="W6" s="141"/>
      <c r="X6" s="141"/>
      <c r="Y6" s="141"/>
      <c r="Z6" s="1369"/>
      <c r="AA6" s="1378"/>
      <c r="AB6" s="1372"/>
      <c r="AC6" s="141"/>
      <c r="AD6" s="141"/>
      <c r="AE6" s="141"/>
      <c r="AF6" s="141"/>
      <c r="AG6" s="141"/>
      <c r="AH6" s="141"/>
      <c r="AI6" s="141"/>
      <c r="AJ6" s="141"/>
      <c r="AK6" s="141"/>
      <c r="AL6" s="1369"/>
      <c r="AM6" s="1378"/>
      <c r="AN6" s="1372"/>
      <c r="AO6" s="141"/>
      <c r="AP6" s="141"/>
      <c r="AQ6" s="141"/>
      <c r="AR6" s="141"/>
      <c r="AS6" s="141"/>
      <c r="AT6" s="141"/>
      <c r="AU6" s="141"/>
      <c r="AV6" s="141"/>
      <c r="AW6" s="141"/>
      <c r="AX6" s="1369"/>
      <c r="AZ6" s="1372"/>
      <c r="BA6" s="141"/>
      <c r="BB6" s="141"/>
      <c r="BC6" s="141"/>
      <c r="BD6" s="141"/>
      <c r="BE6" s="141"/>
      <c r="BF6" s="141"/>
      <c r="BG6" s="141"/>
      <c r="BH6" s="141"/>
      <c r="BI6" s="141"/>
      <c r="BJ6" s="1369"/>
      <c r="BL6" s="1372"/>
      <c r="BM6" s="141"/>
      <c r="BN6" s="141"/>
      <c r="BO6" s="141"/>
      <c r="BP6" s="141"/>
      <c r="BQ6" s="141"/>
      <c r="BR6" s="141"/>
      <c r="BS6" s="141"/>
      <c r="BT6" s="141"/>
      <c r="BU6" s="141"/>
      <c r="BV6" s="1369"/>
    </row>
    <row r="7" spans="2:74" ht="21" x14ac:dyDescent="0.25">
      <c r="B7" s="1389"/>
      <c r="C7" s="1377"/>
      <c r="D7" s="1372"/>
      <c r="E7" s="142" t="s">
        <v>47</v>
      </c>
      <c r="F7" s="142" t="s">
        <v>48</v>
      </c>
      <c r="G7" s="142" t="s">
        <v>49</v>
      </c>
      <c r="H7" s="142" t="s">
        <v>50</v>
      </c>
      <c r="I7" s="142" t="s">
        <v>51</v>
      </c>
      <c r="J7" s="142" t="s">
        <v>52</v>
      </c>
      <c r="K7" s="142" t="s">
        <v>50</v>
      </c>
      <c r="L7" s="142" t="s">
        <v>53</v>
      </c>
      <c r="M7" s="142" t="s">
        <v>54</v>
      </c>
      <c r="N7" s="1369"/>
      <c r="O7" s="1378"/>
      <c r="P7" s="1372"/>
      <c r="Q7" s="142" t="str">
        <f>E7</f>
        <v>Demande mensuelle</v>
      </c>
      <c r="R7" s="142" t="s">
        <v>48</v>
      </c>
      <c r="S7" s="142" t="str">
        <f>G7</f>
        <v>Achalandage mensuel</v>
      </c>
      <c r="T7" s="142" t="s">
        <v>50</v>
      </c>
      <c r="U7" s="142" t="s">
        <v>51</v>
      </c>
      <c r="V7" s="142" t="str">
        <f>J7</f>
        <v>Um/A</v>
      </c>
      <c r="W7" s="142" t="s">
        <v>50</v>
      </c>
      <c r="X7" s="142" t="str">
        <f>L7</f>
        <v>PmO</v>
      </c>
      <c r="Y7" s="142" t="s">
        <v>54</v>
      </c>
      <c r="Z7" s="1369"/>
      <c r="AA7" s="1378"/>
      <c r="AB7" s="1372"/>
      <c r="AC7" s="142" t="str">
        <f>E7</f>
        <v>Demande mensuelle</v>
      </c>
      <c r="AD7" s="142" t="s">
        <v>48</v>
      </c>
      <c r="AE7" s="142" t="str">
        <f>G7</f>
        <v>Achalandage mensuel</v>
      </c>
      <c r="AF7" s="142" t="s">
        <v>50</v>
      </c>
      <c r="AG7" s="142" t="s">
        <v>51</v>
      </c>
      <c r="AH7" s="142" t="str">
        <f>J7</f>
        <v>Um/A</v>
      </c>
      <c r="AI7" s="142" t="s">
        <v>50</v>
      </c>
      <c r="AJ7" s="142" t="str">
        <f>L7</f>
        <v>PmO</v>
      </c>
      <c r="AK7" s="142" t="s">
        <v>54</v>
      </c>
      <c r="AL7" s="1369"/>
      <c r="AM7" s="1378"/>
      <c r="AN7" s="1372"/>
      <c r="AO7" s="142" t="str">
        <f>E7</f>
        <v>Demande mensuelle</v>
      </c>
      <c r="AP7" s="142" t="s">
        <v>48</v>
      </c>
      <c r="AQ7" s="142" t="str">
        <f>G7</f>
        <v>Achalandage mensuel</v>
      </c>
      <c r="AR7" s="142" t="s">
        <v>50</v>
      </c>
      <c r="AS7" s="142" t="s">
        <v>51</v>
      </c>
      <c r="AT7" s="142" t="str">
        <f>J7</f>
        <v>Um/A</v>
      </c>
      <c r="AU7" s="142" t="s">
        <v>50</v>
      </c>
      <c r="AV7" s="142" t="str">
        <f>L7</f>
        <v>PmO</v>
      </c>
      <c r="AW7" s="142" t="s">
        <v>54</v>
      </c>
      <c r="AX7" s="1369"/>
      <c r="AZ7" s="1372"/>
      <c r="BA7" s="142" t="s">
        <v>55</v>
      </c>
      <c r="BB7" s="142" t="s">
        <v>48</v>
      </c>
      <c r="BC7" s="142" t="str">
        <f>G7</f>
        <v>Achalandage mensuel</v>
      </c>
      <c r="BD7" s="142" t="s">
        <v>50</v>
      </c>
      <c r="BE7" s="142" t="s">
        <v>51</v>
      </c>
      <c r="BF7" s="142" t="str">
        <f>J7</f>
        <v>Um/A</v>
      </c>
      <c r="BG7" s="142" t="s">
        <v>50</v>
      </c>
      <c r="BH7" s="142" t="s">
        <v>56</v>
      </c>
      <c r="BI7" s="142" t="s">
        <v>54</v>
      </c>
      <c r="BJ7" s="1369"/>
      <c r="BL7" s="1372"/>
      <c r="BM7" s="142" t="s">
        <v>57</v>
      </c>
      <c r="BN7" s="142" t="s">
        <v>48</v>
      </c>
      <c r="BO7" s="142" t="str">
        <f>S7</f>
        <v>Achalandage mensuel</v>
      </c>
      <c r="BP7" s="142" t="s">
        <v>50</v>
      </c>
      <c r="BQ7" s="142" t="s">
        <v>51</v>
      </c>
      <c r="BR7" s="142" t="str">
        <f>V7</f>
        <v>Um/A</v>
      </c>
      <c r="BS7" s="142" t="s">
        <v>50</v>
      </c>
      <c r="BT7" s="142" t="s">
        <v>58</v>
      </c>
      <c r="BU7" s="142" t="s">
        <v>54</v>
      </c>
      <c r="BV7" s="1369"/>
    </row>
    <row r="8" spans="2:74" ht="19" x14ac:dyDescent="0.25">
      <c r="B8" s="1389"/>
      <c r="C8" s="1377"/>
      <c r="D8" s="1372"/>
      <c r="E8" s="143" t="s">
        <v>1</v>
      </c>
      <c r="F8" s="144"/>
      <c r="G8" s="143"/>
      <c r="H8" s="144"/>
      <c r="I8" s="144"/>
      <c r="J8" s="144"/>
      <c r="K8" s="144"/>
      <c r="L8" s="144"/>
      <c r="M8" s="144"/>
      <c r="N8" s="1369"/>
      <c r="O8" s="1378"/>
      <c r="P8" s="1372"/>
      <c r="Q8" s="143" t="s">
        <v>1</v>
      </c>
      <c r="R8" s="144"/>
      <c r="S8" s="143"/>
      <c r="T8" s="144"/>
      <c r="U8" s="144"/>
      <c r="V8" s="144"/>
      <c r="W8" s="144"/>
      <c r="X8" s="144"/>
      <c r="Y8" s="144"/>
      <c r="Z8" s="1369"/>
      <c r="AA8" s="1378"/>
      <c r="AB8" s="1372"/>
      <c r="AC8" s="143" t="s">
        <v>1</v>
      </c>
      <c r="AD8" s="144"/>
      <c r="AE8" s="143"/>
      <c r="AF8" s="144"/>
      <c r="AG8" s="144"/>
      <c r="AH8" s="144"/>
      <c r="AI8" s="144"/>
      <c r="AJ8" s="144"/>
      <c r="AK8" s="144"/>
      <c r="AL8" s="1369"/>
      <c r="AM8" s="1378"/>
      <c r="AN8" s="1372"/>
      <c r="AO8" s="143" t="s">
        <v>1</v>
      </c>
      <c r="AP8" s="144"/>
      <c r="AQ8" s="143"/>
      <c r="AR8" s="144"/>
      <c r="AS8" s="144"/>
      <c r="AT8" s="144"/>
      <c r="AU8" s="144"/>
      <c r="AV8" s="144"/>
      <c r="AW8" s="144"/>
      <c r="AX8" s="1369"/>
      <c r="AZ8" s="1372"/>
      <c r="BA8" s="143" t="s">
        <v>1</v>
      </c>
      <c r="BB8" s="144"/>
      <c r="BC8" s="143"/>
      <c r="BD8" s="144"/>
      <c r="BE8" s="144"/>
      <c r="BF8" s="144"/>
      <c r="BG8" s="144"/>
      <c r="BH8" s="144"/>
      <c r="BI8" s="144"/>
      <c r="BJ8" s="1369"/>
      <c r="BL8" s="1372"/>
      <c r="BM8" s="143" t="s">
        <v>1</v>
      </c>
      <c r="BN8" s="144"/>
      <c r="BO8" s="143"/>
      <c r="BP8" s="144"/>
      <c r="BQ8" s="144"/>
      <c r="BR8" s="144"/>
      <c r="BS8" s="144"/>
      <c r="BT8" s="144"/>
      <c r="BU8" s="144"/>
      <c r="BV8" s="1369"/>
    </row>
    <row r="9" spans="2:74" ht="26" x14ac:dyDescent="0.3">
      <c r="B9" s="1389"/>
      <c r="C9" s="1377"/>
      <c r="D9" s="1372"/>
      <c r="E9" s="145" t="s">
        <v>59</v>
      </c>
      <c r="F9" s="146"/>
      <c r="G9" s="145" t="s">
        <v>60</v>
      </c>
      <c r="H9" s="146"/>
      <c r="I9" s="146"/>
      <c r="J9" s="145" t="str">
        <f>+J7</f>
        <v>Um/A</v>
      </c>
      <c r="K9" s="146"/>
      <c r="L9" s="145" t="str">
        <f>+L7</f>
        <v>PmO</v>
      </c>
      <c r="M9" s="146"/>
      <c r="N9" s="1369"/>
      <c r="O9" s="1378"/>
      <c r="P9" s="1372"/>
      <c r="Q9" s="145" t="str">
        <f>E9</f>
        <v>D</v>
      </c>
      <c r="R9" s="146"/>
      <c r="S9" s="145" t="str">
        <f>G9</f>
        <v>A</v>
      </c>
      <c r="T9" s="146"/>
      <c r="U9" s="146"/>
      <c r="V9" s="145" t="str">
        <f>+V7</f>
        <v>Um/A</v>
      </c>
      <c r="W9" s="146"/>
      <c r="X9" s="145" t="str">
        <f>+X7</f>
        <v>PmO</v>
      </c>
      <c r="Y9" s="146"/>
      <c r="Z9" s="1369"/>
      <c r="AA9" s="1378"/>
      <c r="AB9" s="1372"/>
      <c r="AC9" s="145" t="str">
        <f>E9</f>
        <v>D</v>
      </c>
      <c r="AD9" s="146"/>
      <c r="AE9" s="145" t="str">
        <f>G9</f>
        <v>A</v>
      </c>
      <c r="AF9" s="146"/>
      <c r="AG9" s="146"/>
      <c r="AH9" s="145" t="str">
        <f>+AH7</f>
        <v>Um/A</v>
      </c>
      <c r="AI9" s="146"/>
      <c r="AJ9" s="145" t="str">
        <f>+AJ7</f>
        <v>PmO</v>
      </c>
      <c r="AK9" s="146"/>
      <c r="AL9" s="1369"/>
      <c r="AM9" s="1378"/>
      <c r="AN9" s="1372"/>
      <c r="AO9" s="145" t="str">
        <f>E9</f>
        <v>D</v>
      </c>
      <c r="AP9" s="146"/>
      <c r="AQ9" s="145" t="str">
        <f>G9</f>
        <v>A</v>
      </c>
      <c r="AR9" s="146"/>
      <c r="AS9" s="146"/>
      <c r="AT9" s="145" t="str">
        <f>+AT7</f>
        <v>Um/A</v>
      </c>
      <c r="AU9" s="146"/>
      <c r="AV9" s="145" t="str">
        <f>+AV7</f>
        <v>PmO</v>
      </c>
      <c r="AW9" s="146"/>
      <c r="AX9" s="1369"/>
      <c r="AZ9" s="1372"/>
      <c r="BA9" s="145" t="s">
        <v>61</v>
      </c>
      <c r="BB9" s="146"/>
      <c r="BC9" s="145" t="str">
        <f>G9</f>
        <v>A</v>
      </c>
      <c r="BD9" s="146"/>
      <c r="BE9" s="146"/>
      <c r="BF9" s="145" t="str">
        <f>BF7</f>
        <v>Um/A</v>
      </c>
      <c r="BG9" s="146"/>
      <c r="BH9" s="145" t="str">
        <f>BH7</f>
        <v>CmO</v>
      </c>
      <c r="BI9" s="146"/>
      <c r="BJ9" s="1369"/>
      <c r="BL9" s="1372"/>
      <c r="BM9" s="145" t="s">
        <v>62</v>
      </c>
      <c r="BN9" s="146"/>
      <c r="BO9" s="145" t="str">
        <f>S9</f>
        <v>A</v>
      </c>
      <c r="BP9" s="146"/>
      <c r="BQ9" s="146"/>
      <c r="BR9" s="145" t="str">
        <f>BR7</f>
        <v>Um/A</v>
      </c>
      <c r="BS9" s="146"/>
      <c r="BT9" s="145" t="str">
        <f>BT7</f>
        <v>BmO</v>
      </c>
      <c r="BU9" s="146"/>
      <c r="BV9" s="1369"/>
    </row>
    <row r="10" spans="2:74" ht="21" x14ac:dyDescent="0.25">
      <c r="B10" s="1389"/>
      <c r="C10" s="1377"/>
      <c r="D10" s="1372"/>
      <c r="E10" s="147">
        <f>+Q10+AC10+AO10</f>
        <v>27452.2</v>
      </c>
      <c r="F10" s="142" t="s">
        <v>48</v>
      </c>
      <c r="G10" s="148">
        <f>'% Occupation'!D19</f>
        <v>1585</v>
      </c>
      <c r="H10" s="142" t="s">
        <v>50</v>
      </c>
      <c r="I10" s="142" t="s">
        <v>51</v>
      </c>
      <c r="J10" s="149">
        <f>+V10+AH10+AT10</f>
        <v>2.1</v>
      </c>
      <c r="K10" s="142" t="s">
        <v>50</v>
      </c>
      <c r="L10" s="147">
        <f>E10/G10/J10</f>
        <v>8.2476190476190467</v>
      </c>
      <c r="M10" s="142" t="s">
        <v>54</v>
      </c>
      <c r="N10" s="1369"/>
      <c r="O10" s="1378"/>
      <c r="P10" s="1372"/>
      <c r="Q10" s="147">
        <f>+S10*(V10*X10)</f>
        <v>7634.4166666666679</v>
      </c>
      <c r="R10" s="142" t="s">
        <v>48</v>
      </c>
      <c r="S10" s="148">
        <f>G10</f>
        <v>1585</v>
      </c>
      <c r="T10" s="142" t="s">
        <v>50</v>
      </c>
      <c r="U10" s="142" t="s">
        <v>51</v>
      </c>
      <c r="V10" s="296">
        <f>'Calcul CmO et PmO'!L21</f>
        <v>1</v>
      </c>
      <c r="W10" s="142" t="s">
        <v>50</v>
      </c>
      <c r="X10" s="297">
        <f>'Calcul CmO et PmO'!F21</f>
        <v>4.8166666666666673</v>
      </c>
      <c r="Y10" s="142" t="s">
        <v>54</v>
      </c>
      <c r="Z10" s="1369"/>
      <c r="AA10" s="1378"/>
      <c r="AB10" s="1372"/>
      <c r="AC10" s="147">
        <f>+AE10*(AH10*AJ10)</f>
        <v>15110.333333333334</v>
      </c>
      <c r="AD10" s="142" t="s">
        <v>48</v>
      </c>
      <c r="AE10" s="148">
        <f>S10</f>
        <v>1585</v>
      </c>
      <c r="AF10" s="142" t="s">
        <v>50</v>
      </c>
      <c r="AG10" s="142" t="s">
        <v>51</v>
      </c>
      <c r="AH10" s="296">
        <f>'Calcul CmO et PmO'!L36</f>
        <v>1</v>
      </c>
      <c r="AI10" s="299" t="s">
        <v>50</v>
      </c>
      <c r="AJ10" s="297">
        <f>'Calcul CmO et PmO'!F36</f>
        <v>9.5333333333333332</v>
      </c>
      <c r="AK10" s="142" t="s">
        <v>54</v>
      </c>
      <c r="AL10" s="1369"/>
      <c r="AM10" s="1378"/>
      <c r="AN10" s="1372"/>
      <c r="AO10" s="147">
        <f>+AQ10*(AT10*AV10)</f>
        <v>4707.4500000000007</v>
      </c>
      <c r="AP10" s="142" t="s">
        <v>48</v>
      </c>
      <c r="AQ10" s="148">
        <f>AE10</f>
        <v>1585</v>
      </c>
      <c r="AR10" s="142" t="s">
        <v>50</v>
      </c>
      <c r="AS10" s="142" t="s">
        <v>51</v>
      </c>
      <c r="AT10" s="150">
        <v>0.1</v>
      </c>
      <c r="AU10" s="142" t="s">
        <v>50</v>
      </c>
      <c r="AV10" s="297">
        <f>'Calcul CmO, PmO, Etc.'!E28</f>
        <v>29.7</v>
      </c>
      <c r="AW10" s="142" t="s">
        <v>54</v>
      </c>
      <c r="AX10" s="1369"/>
      <c r="AZ10" s="1372"/>
      <c r="BA10" s="147">
        <f>+'État des Résultats'!E16+'État des Résultats'!E21+'État des Résultats'!E34+'État des Résultats'!E38+'État des Résultats'!E39+'État des Résultats'!E43</f>
        <v>33497.086015353852</v>
      </c>
      <c r="BB10" s="142" t="s">
        <v>48</v>
      </c>
      <c r="BC10" s="148">
        <f>G10</f>
        <v>1585</v>
      </c>
      <c r="BD10" s="142" t="s">
        <v>50</v>
      </c>
      <c r="BE10" s="142" t="s">
        <v>51</v>
      </c>
      <c r="BF10" s="149">
        <f>J10</f>
        <v>2.1</v>
      </c>
      <c r="BG10" s="142" t="s">
        <v>50</v>
      </c>
      <c r="BH10" s="197">
        <f>+BA10/BC10/BF10</f>
        <v>10.063718195990342</v>
      </c>
      <c r="BI10" s="142" t="s">
        <v>54</v>
      </c>
      <c r="BJ10" s="1369"/>
      <c r="BL10" s="1372"/>
      <c r="BM10" s="147">
        <f>E10-BA10</f>
        <v>-6044.8860153538517</v>
      </c>
      <c r="BN10" s="142" t="s">
        <v>48</v>
      </c>
      <c r="BO10" s="148">
        <f>S10</f>
        <v>1585</v>
      </c>
      <c r="BP10" s="142" t="s">
        <v>50</v>
      </c>
      <c r="BQ10" s="142" t="s">
        <v>51</v>
      </c>
      <c r="BR10" s="149">
        <f>J10</f>
        <v>2.1</v>
      </c>
      <c r="BS10" s="142" t="s">
        <v>50</v>
      </c>
      <c r="BT10" s="147">
        <f>BM10/BO10/BR10</f>
        <v>-1.8160991483712938</v>
      </c>
      <c r="BU10" s="142" t="s">
        <v>54</v>
      </c>
      <c r="BV10" s="1369"/>
    </row>
    <row r="11" spans="2:74" ht="17" thickBot="1" x14ac:dyDescent="0.25">
      <c r="B11" s="1389"/>
      <c r="C11" s="1377"/>
      <c r="D11" s="1373"/>
      <c r="E11" s="152"/>
      <c r="F11" s="152"/>
      <c r="G11" s="152"/>
      <c r="H11" s="152"/>
      <c r="I11" s="152"/>
      <c r="J11" s="152"/>
      <c r="K11" s="152"/>
      <c r="L11" s="152"/>
      <c r="M11" s="152"/>
      <c r="N11" s="1370"/>
      <c r="O11" s="1378"/>
      <c r="P11" s="1373"/>
      <c r="Q11" s="152"/>
      <c r="R11" s="152"/>
      <c r="S11" s="152"/>
      <c r="T11" s="152"/>
      <c r="U11" s="152"/>
      <c r="V11" s="152"/>
      <c r="W11" s="152"/>
      <c r="X11" s="152"/>
      <c r="Y11" s="152"/>
      <c r="Z11" s="1370"/>
      <c r="AA11" s="1378"/>
      <c r="AB11" s="1373"/>
      <c r="AC11" s="152"/>
      <c r="AD11" s="152"/>
      <c r="AE11" s="152"/>
      <c r="AF11" s="152"/>
      <c r="AG11" s="152"/>
      <c r="AH11" s="301"/>
      <c r="AI11" s="301"/>
      <c r="AJ11" s="301"/>
      <c r="AK11" s="152"/>
      <c r="AL11" s="1370"/>
      <c r="AM11" s="1378"/>
      <c r="AN11" s="1373"/>
      <c r="AO11" s="152"/>
      <c r="AP11" s="152"/>
      <c r="AQ11" s="152"/>
      <c r="AR11" s="152"/>
      <c r="AS11" s="152"/>
      <c r="AT11" s="152"/>
      <c r="AU11" s="152"/>
      <c r="AV11" s="423"/>
      <c r="AW11" s="152"/>
      <c r="AX11" s="1370"/>
      <c r="AZ11" s="1373"/>
      <c r="BA11" s="152"/>
      <c r="BB11" s="152"/>
      <c r="BC11" s="152"/>
      <c r="BD11" s="152"/>
      <c r="BE11" s="152"/>
      <c r="BF11" s="152"/>
      <c r="BG11" s="152"/>
      <c r="BH11" s="152"/>
      <c r="BI11" s="152"/>
      <c r="BJ11" s="1370"/>
      <c r="BL11" s="1373"/>
      <c r="BM11" s="152"/>
      <c r="BN11" s="152"/>
      <c r="BO11" s="152"/>
      <c r="BP11" s="152"/>
      <c r="BQ11" s="152"/>
      <c r="BR11" s="152"/>
      <c r="BS11" s="152"/>
      <c r="BT11" s="152"/>
      <c r="BU11" s="152"/>
      <c r="BV11" s="1370"/>
    </row>
    <row r="12" spans="2:74" ht="5" customHeight="1" thickTop="1" thickBot="1" x14ac:dyDescent="0.2">
      <c r="B12" s="1389"/>
      <c r="C12" s="139"/>
      <c r="AH12" s="302"/>
      <c r="AI12" s="302"/>
      <c r="AJ12" s="302"/>
      <c r="AV12" s="302"/>
    </row>
    <row r="13" spans="2:74" ht="16" customHeight="1" thickTop="1" x14ac:dyDescent="0.2">
      <c r="B13" s="1389"/>
      <c r="C13" s="1377">
        <v>2</v>
      </c>
      <c r="D13" s="1371" t="s">
        <v>45</v>
      </c>
      <c r="E13" s="140"/>
      <c r="F13" s="140"/>
      <c r="G13" s="199" t="str">
        <f>'Achalandage journalier'!E5</f>
        <v>Pér.02</v>
      </c>
      <c r="H13" s="140"/>
      <c r="I13" s="140"/>
      <c r="J13" s="140"/>
      <c r="K13" s="140"/>
      <c r="L13" s="140"/>
      <c r="M13" s="140"/>
      <c r="N13" s="1368" t="s">
        <v>46</v>
      </c>
      <c r="P13" s="1371" t="s">
        <v>45</v>
      </c>
      <c r="Q13" s="140"/>
      <c r="R13" s="140"/>
      <c r="S13" s="199" t="str">
        <f>G13</f>
        <v>Pér.02</v>
      </c>
      <c r="T13" s="140"/>
      <c r="U13" s="140"/>
      <c r="V13" s="140"/>
      <c r="W13" s="140"/>
      <c r="X13" s="140"/>
      <c r="Y13" s="140"/>
      <c r="Z13" s="1368" t="s">
        <v>46</v>
      </c>
      <c r="AB13" s="1371" t="s">
        <v>45</v>
      </c>
      <c r="AC13" s="140"/>
      <c r="AD13" s="140"/>
      <c r="AE13" s="199" t="str">
        <f>S13</f>
        <v>Pér.02</v>
      </c>
      <c r="AF13" s="140"/>
      <c r="AG13" s="140"/>
      <c r="AH13" s="303"/>
      <c r="AI13" s="303"/>
      <c r="AJ13" s="303"/>
      <c r="AK13" s="140"/>
      <c r="AL13" s="1368" t="s">
        <v>46</v>
      </c>
      <c r="AN13" s="1371" t="s">
        <v>45</v>
      </c>
      <c r="AO13" s="140"/>
      <c r="AP13" s="140"/>
      <c r="AQ13" s="199" t="str">
        <f>AE13</f>
        <v>Pér.02</v>
      </c>
      <c r="AR13" s="140"/>
      <c r="AS13" s="140"/>
      <c r="AT13" s="140"/>
      <c r="AU13" s="140"/>
      <c r="AV13" s="424"/>
      <c r="AW13" s="140"/>
      <c r="AX13" s="1368" t="s">
        <v>46</v>
      </c>
      <c r="AZ13" s="1371" t="s">
        <v>45</v>
      </c>
      <c r="BA13" s="140"/>
      <c r="BB13" s="140"/>
      <c r="BC13" s="199" t="str">
        <f>AQ13</f>
        <v>Pér.02</v>
      </c>
      <c r="BD13" s="140"/>
      <c r="BE13" s="140"/>
      <c r="BF13" s="140"/>
      <c r="BG13" s="140"/>
      <c r="BH13" s="140"/>
      <c r="BI13" s="140"/>
      <c r="BJ13" s="1368" t="s">
        <v>46</v>
      </c>
      <c r="BL13" s="1371" t="s">
        <v>45</v>
      </c>
      <c r="BM13" s="140"/>
      <c r="BN13" s="140"/>
      <c r="BO13" s="199" t="str">
        <f>BC13</f>
        <v>Pér.02</v>
      </c>
      <c r="BP13" s="140"/>
      <c r="BQ13" s="140"/>
      <c r="BR13" s="140"/>
      <c r="BS13" s="140"/>
      <c r="BT13" s="140"/>
      <c r="BU13" s="140"/>
      <c r="BV13" s="1368" t="s">
        <v>46</v>
      </c>
    </row>
    <row r="14" spans="2:74" ht="16" x14ac:dyDescent="0.2">
      <c r="B14" s="1389"/>
      <c r="C14" s="1377"/>
      <c r="D14" s="1372"/>
      <c r="E14" s="141"/>
      <c r="F14" s="141"/>
      <c r="G14" s="141"/>
      <c r="H14" s="141"/>
      <c r="I14" s="141"/>
      <c r="J14" s="141"/>
      <c r="K14" s="141"/>
      <c r="L14" s="141"/>
      <c r="M14" s="141"/>
      <c r="N14" s="1369"/>
      <c r="P14" s="1372"/>
      <c r="Q14" s="141"/>
      <c r="R14" s="141"/>
      <c r="S14" s="141"/>
      <c r="T14" s="141"/>
      <c r="U14" s="141"/>
      <c r="V14" s="141"/>
      <c r="W14" s="141"/>
      <c r="X14" s="141"/>
      <c r="Y14" s="141"/>
      <c r="Z14" s="1369"/>
      <c r="AB14" s="1372"/>
      <c r="AC14" s="141"/>
      <c r="AD14" s="141"/>
      <c r="AE14" s="141"/>
      <c r="AF14" s="141"/>
      <c r="AG14" s="141"/>
      <c r="AH14" s="304"/>
      <c r="AI14" s="304"/>
      <c r="AJ14" s="304"/>
      <c r="AK14" s="141"/>
      <c r="AL14" s="1369"/>
      <c r="AN14" s="1372"/>
      <c r="AO14" s="141"/>
      <c r="AP14" s="141"/>
      <c r="AQ14" s="141"/>
      <c r="AR14" s="141"/>
      <c r="AS14" s="141"/>
      <c r="AT14" s="141"/>
      <c r="AU14" s="141"/>
      <c r="AV14" s="425"/>
      <c r="AW14" s="141"/>
      <c r="AX14" s="1369"/>
      <c r="AZ14" s="1372"/>
      <c r="BA14" s="141"/>
      <c r="BB14" s="141"/>
      <c r="BC14" s="141"/>
      <c r="BD14" s="141"/>
      <c r="BE14" s="141"/>
      <c r="BF14" s="141"/>
      <c r="BG14" s="141"/>
      <c r="BH14" s="141"/>
      <c r="BI14" s="141"/>
      <c r="BJ14" s="1369"/>
      <c r="BL14" s="1372"/>
      <c r="BM14" s="141"/>
      <c r="BN14" s="141"/>
      <c r="BO14" s="141"/>
      <c r="BP14" s="141"/>
      <c r="BQ14" s="141"/>
      <c r="BR14" s="141"/>
      <c r="BS14" s="141"/>
      <c r="BT14" s="141"/>
      <c r="BU14" s="141"/>
      <c r="BV14" s="1369"/>
    </row>
    <row r="15" spans="2:74" ht="21" customHeight="1" x14ac:dyDescent="0.25">
      <c r="B15" s="1389"/>
      <c r="C15" s="1377"/>
      <c r="D15" s="1372"/>
      <c r="E15" s="142" t="str">
        <f>+E7</f>
        <v>Demande mensuelle</v>
      </c>
      <c r="F15" s="142" t="s">
        <v>48</v>
      </c>
      <c r="G15" s="142" t="str">
        <f>+G7</f>
        <v>Achalandage mensuel</v>
      </c>
      <c r="H15" s="142" t="s">
        <v>50</v>
      </c>
      <c r="I15" s="142" t="s">
        <v>51</v>
      </c>
      <c r="J15" s="142" t="str">
        <f>J7</f>
        <v>Um/A</v>
      </c>
      <c r="K15" s="142" t="s">
        <v>50</v>
      </c>
      <c r="L15" s="142" t="str">
        <f>L7</f>
        <v>PmO</v>
      </c>
      <c r="M15" s="142" t="s">
        <v>54</v>
      </c>
      <c r="N15" s="1369"/>
      <c r="P15" s="1372"/>
      <c r="Q15" s="142" t="str">
        <f>+Q7</f>
        <v>Demande mensuelle</v>
      </c>
      <c r="R15" s="142" t="s">
        <v>48</v>
      </c>
      <c r="S15" s="142" t="str">
        <f>+S7</f>
        <v>Achalandage mensuel</v>
      </c>
      <c r="T15" s="142" t="s">
        <v>50</v>
      </c>
      <c r="U15" s="142" t="s">
        <v>51</v>
      </c>
      <c r="V15" s="142" t="str">
        <f>V7</f>
        <v>Um/A</v>
      </c>
      <c r="W15" s="142" t="s">
        <v>50</v>
      </c>
      <c r="X15" s="142" t="str">
        <f>X7</f>
        <v>PmO</v>
      </c>
      <c r="Y15" s="142" t="s">
        <v>54</v>
      </c>
      <c r="Z15" s="1369"/>
      <c r="AB15" s="1372"/>
      <c r="AC15" s="142" t="str">
        <f>AC7</f>
        <v>Demande mensuelle</v>
      </c>
      <c r="AD15" s="142" t="s">
        <v>48</v>
      </c>
      <c r="AE15" s="142" t="str">
        <f>AE7</f>
        <v>Achalandage mensuel</v>
      </c>
      <c r="AF15" s="142" t="s">
        <v>50</v>
      </c>
      <c r="AG15" s="142" t="s">
        <v>51</v>
      </c>
      <c r="AH15" s="299" t="str">
        <f>AH7</f>
        <v>Um/A</v>
      </c>
      <c r="AI15" s="299" t="s">
        <v>50</v>
      </c>
      <c r="AJ15" s="299" t="str">
        <f>AJ7</f>
        <v>PmO</v>
      </c>
      <c r="AK15" s="142" t="s">
        <v>54</v>
      </c>
      <c r="AL15" s="1369"/>
      <c r="AN15" s="1372"/>
      <c r="AO15" s="142" t="str">
        <f>AO7</f>
        <v>Demande mensuelle</v>
      </c>
      <c r="AP15" s="142" t="s">
        <v>48</v>
      </c>
      <c r="AQ15" s="142" t="str">
        <f>AQ7</f>
        <v>Achalandage mensuel</v>
      </c>
      <c r="AR15" s="142" t="s">
        <v>50</v>
      </c>
      <c r="AS15" s="142" t="s">
        <v>51</v>
      </c>
      <c r="AT15" s="142" t="str">
        <f>AT7</f>
        <v>Um/A</v>
      </c>
      <c r="AU15" s="142" t="s">
        <v>50</v>
      </c>
      <c r="AV15" s="299" t="str">
        <f>AV7</f>
        <v>PmO</v>
      </c>
      <c r="AW15" s="142" t="s">
        <v>54</v>
      </c>
      <c r="AX15" s="1369"/>
      <c r="AZ15" s="1372"/>
      <c r="BA15" s="142" t="str">
        <f>BA7</f>
        <v>Coût mensuel</v>
      </c>
      <c r="BB15" s="142" t="s">
        <v>48</v>
      </c>
      <c r="BC15" s="142" t="str">
        <f>G15</f>
        <v>Achalandage mensuel</v>
      </c>
      <c r="BD15" s="142" t="s">
        <v>50</v>
      </c>
      <c r="BE15" s="142" t="s">
        <v>51</v>
      </c>
      <c r="BF15" s="142" t="str">
        <f>J15</f>
        <v>Um/A</v>
      </c>
      <c r="BG15" s="142" t="s">
        <v>50</v>
      </c>
      <c r="BH15" s="142" t="str">
        <f>BH7</f>
        <v>CmO</v>
      </c>
      <c r="BI15" s="142" t="s">
        <v>54</v>
      </c>
      <c r="BJ15" s="1369"/>
      <c r="BL15" s="1372"/>
      <c r="BM15" s="142" t="str">
        <f>BM7</f>
        <v>Bénéfice mensuel</v>
      </c>
      <c r="BN15" s="142" t="s">
        <v>48</v>
      </c>
      <c r="BO15" s="142" t="str">
        <f>S15</f>
        <v>Achalandage mensuel</v>
      </c>
      <c r="BP15" s="142" t="s">
        <v>50</v>
      </c>
      <c r="BQ15" s="142" t="s">
        <v>51</v>
      </c>
      <c r="BR15" s="142" t="str">
        <f>V15</f>
        <v>Um/A</v>
      </c>
      <c r="BS15" s="142" t="s">
        <v>50</v>
      </c>
      <c r="BT15" s="142" t="str">
        <f>BT7</f>
        <v>BmO</v>
      </c>
      <c r="BU15" s="142" t="s">
        <v>54</v>
      </c>
      <c r="BV15" s="1369"/>
    </row>
    <row r="16" spans="2:74" ht="19" x14ac:dyDescent="0.25">
      <c r="B16" s="1389"/>
      <c r="C16" s="1377"/>
      <c r="D16" s="1372"/>
      <c r="E16" s="143" t="s">
        <v>1</v>
      </c>
      <c r="F16" s="144"/>
      <c r="G16" s="143"/>
      <c r="H16" s="144"/>
      <c r="I16" s="144"/>
      <c r="J16" s="144"/>
      <c r="K16" s="144"/>
      <c r="L16" s="144"/>
      <c r="M16" s="144"/>
      <c r="N16" s="1369"/>
      <c r="P16" s="1372"/>
      <c r="Q16" s="143" t="s">
        <v>1</v>
      </c>
      <c r="R16" s="144"/>
      <c r="S16" s="143"/>
      <c r="T16" s="144"/>
      <c r="U16" s="144"/>
      <c r="V16" s="144"/>
      <c r="W16" s="144"/>
      <c r="X16" s="144"/>
      <c r="Y16" s="144"/>
      <c r="Z16" s="1369"/>
      <c r="AB16" s="1372"/>
      <c r="AC16" s="143" t="s">
        <v>1</v>
      </c>
      <c r="AD16" s="144"/>
      <c r="AE16" s="143"/>
      <c r="AF16" s="144"/>
      <c r="AG16" s="144"/>
      <c r="AH16" s="305"/>
      <c r="AI16" s="305"/>
      <c r="AJ16" s="305"/>
      <c r="AK16" s="144"/>
      <c r="AL16" s="1369"/>
      <c r="AN16" s="1372"/>
      <c r="AO16" s="143" t="s">
        <v>1</v>
      </c>
      <c r="AP16" s="144"/>
      <c r="AQ16" s="143"/>
      <c r="AR16" s="144"/>
      <c r="AS16" s="144"/>
      <c r="AT16" s="144"/>
      <c r="AU16" s="144"/>
      <c r="AV16" s="305"/>
      <c r="AW16" s="144"/>
      <c r="AX16" s="1369"/>
      <c r="AZ16" s="1372"/>
      <c r="BA16" s="143" t="s">
        <v>1</v>
      </c>
      <c r="BB16" s="144"/>
      <c r="BC16" s="143"/>
      <c r="BD16" s="144"/>
      <c r="BE16" s="144"/>
      <c r="BF16" s="144"/>
      <c r="BG16" s="144"/>
      <c r="BH16" s="144"/>
      <c r="BI16" s="144"/>
      <c r="BJ16" s="1369"/>
      <c r="BL16" s="1372"/>
      <c r="BM16" s="143" t="s">
        <v>1</v>
      </c>
      <c r="BN16" s="144"/>
      <c r="BO16" s="143"/>
      <c r="BP16" s="144"/>
      <c r="BQ16" s="144"/>
      <c r="BR16" s="144"/>
      <c r="BS16" s="144"/>
      <c r="BT16" s="144"/>
      <c r="BU16" s="144"/>
      <c r="BV16" s="1369"/>
    </row>
    <row r="17" spans="2:74" ht="26" customHeight="1" x14ac:dyDescent="0.3">
      <c r="B17" s="1389"/>
      <c r="C17" s="1377"/>
      <c r="D17" s="1372"/>
      <c r="E17" s="145" t="str">
        <f>E9</f>
        <v>D</v>
      </c>
      <c r="F17" s="146"/>
      <c r="G17" s="145" t="str">
        <f>G9</f>
        <v>A</v>
      </c>
      <c r="H17" s="146"/>
      <c r="I17" s="146"/>
      <c r="J17" s="145" t="str">
        <f>+J15</f>
        <v>Um/A</v>
      </c>
      <c r="K17" s="146"/>
      <c r="L17" s="145" t="str">
        <f>+L15</f>
        <v>PmO</v>
      </c>
      <c r="M17" s="146"/>
      <c r="N17" s="1369"/>
      <c r="P17" s="1372"/>
      <c r="Q17" s="145" t="str">
        <f>Q9</f>
        <v>D</v>
      </c>
      <c r="R17" s="146"/>
      <c r="S17" s="145" t="str">
        <f>S9</f>
        <v>A</v>
      </c>
      <c r="T17" s="146"/>
      <c r="U17" s="300"/>
      <c r="V17" s="298" t="str">
        <f>+V15</f>
        <v>Um/A</v>
      </c>
      <c r="W17" s="300"/>
      <c r="X17" s="298" t="str">
        <f>+X15</f>
        <v>PmO</v>
      </c>
      <c r="Y17" s="300"/>
      <c r="Z17" s="1369"/>
      <c r="AB17" s="1372"/>
      <c r="AC17" s="145" t="str">
        <f>AC9</f>
        <v>D</v>
      </c>
      <c r="AD17" s="146"/>
      <c r="AE17" s="145" t="str">
        <f>AE9</f>
        <v>A</v>
      </c>
      <c r="AF17" s="146"/>
      <c r="AG17" s="146"/>
      <c r="AH17" s="298" t="str">
        <f>+AH15</f>
        <v>Um/A</v>
      </c>
      <c r="AI17" s="300"/>
      <c r="AJ17" s="298" t="str">
        <f>+AJ15</f>
        <v>PmO</v>
      </c>
      <c r="AK17" s="146"/>
      <c r="AL17" s="1369"/>
      <c r="AN17" s="1372"/>
      <c r="AO17" s="145" t="str">
        <f>AO9</f>
        <v>D</v>
      </c>
      <c r="AP17" s="146"/>
      <c r="AQ17" s="145" t="str">
        <f>AQ9</f>
        <v>A</v>
      </c>
      <c r="AR17" s="146"/>
      <c r="AS17" s="146"/>
      <c r="AT17" s="145" t="str">
        <f>+AT15</f>
        <v>Um/A</v>
      </c>
      <c r="AU17" s="146"/>
      <c r="AV17" s="298" t="str">
        <f>+AV15</f>
        <v>PmO</v>
      </c>
      <c r="AW17" s="146"/>
      <c r="AX17" s="1369"/>
      <c r="AZ17" s="1372"/>
      <c r="BA17" s="145" t="str">
        <f>BA9</f>
        <v xml:space="preserve">C </v>
      </c>
      <c r="BB17" s="146"/>
      <c r="BC17" s="145" t="str">
        <f>G17</f>
        <v>A</v>
      </c>
      <c r="BD17" s="146"/>
      <c r="BE17" s="146"/>
      <c r="BF17" s="145" t="str">
        <f>BF15</f>
        <v>Um/A</v>
      </c>
      <c r="BG17" s="146"/>
      <c r="BH17" s="145" t="str">
        <f>BH15</f>
        <v>CmO</v>
      </c>
      <c r="BI17" s="146"/>
      <c r="BJ17" s="1369"/>
      <c r="BL17" s="1372"/>
      <c r="BM17" s="145" t="str">
        <f>BM9</f>
        <v xml:space="preserve">B </v>
      </c>
      <c r="BN17" s="146"/>
      <c r="BO17" s="145" t="str">
        <f>S17</f>
        <v>A</v>
      </c>
      <c r="BP17" s="146"/>
      <c r="BQ17" s="146"/>
      <c r="BR17" s="145" t="str">
        <f>BR15</f>
        <v>Um/A</v>
      </c>
      <c r="BS17" s="146"/>
      <c r="BT17" s="145" t="str">
        <f>BT15</f>
        <v>BmO</v>
      </c>
      <c r="BU17" s="146"/>
      <c r="BV17" s="1369"/>
    </row>
    <row r="18" spans="2:74" ht="21" x14ac:dyDescent="0.25">
      <c r="B18" s="1389"/>
      <c r="C18" s="1377"/>
      <c r="D18" s="1372"/>
      <c r="E18" s="147">
        <f>+Q18+AC18+AO18</f>
        <v>27452.2</v>
      </c>
      <c r="F18" s="142" t="s">
        <v>48</v>
      </c>
      <c r="G18" s="148">
        <f>'% Occupation'!E19</f>
        <v>1585</v>
      </c>
      <c r="H18" s="142" t="s">
        <v>50</v>
      </c>
      <c r="I18" s="142" t="s">
        <v>51</v>
      </c>
      <c r="J18" s="149">
        <f>+V18+AH18+AT18</f>
        <v>2.1</v>
      </c>
      <c r="K18" s="142" t="s">
        <v>50</v>
      </c>
      <c r="L18" s="147">
        <f>E18/G18/J18</f>
        <v>8.2476190476190467</v>
      </c>
      <c r="M18" s="142" t="s">
        <v>54</v>
      </c>
      <c r="N18" s="1369"/>
      <c r="P18" s="1372"/>
      <c r="Q18" s="147">
        <f>+S18*(V18*X18)</f>
        <v>7634.4166666666679</v>
      </c>
      <c r="R18" s="142" t="s">
        <v>48</v>
      </c>
      <c r="S18" s="148">
        <f>G18</f>
        <v>1585</v>
      </c>
      <c r="T18" s="142" t="s">
        <v>50</v>
      </c>
      <c r="U18" s="299" t="s">
        <v>51</v>
      </c>
      <c r="V18" s="296">
        <f>'Calcul CmO et PmO'!L64</f>
        <v>1</v>
      </c>
      <c r="W18" s="299" t="s">
        <v>50</v>
      </c>
      <c r="X18" s="297">
        <f>'Calcul CmO et PmO'!F64</f>
        <v>4.8166666666666673</v>
      </c>
      <c r="Y18" s="299" t="s">
        <v>54</v>
      </c>
      <c r="Z18" s="1369"/>
      <c r="AB18" s="1372"/>
      <c r="AC18" s="147">
        <f>+AE18*(AH18*AJ18)</f>
        <v>15110.333333333334</v>
      </c>
      <c r="AD18" s="142" t="s">
        <v>48</v>
      </c>
      <c r="AE18" s="148">
        <f>S18</f>
        <v>1585</v>
      </c>
      <c r="AF18" s="142" t="s">
        <v>50</v>
      </c>
      <c r="AG18" s="142" t="s">
        <v>51</v>
      </c>
      <c r="AH18" s="296">
        <f>'Calcul CmO et PmO'!L79</f>
        <v>1</v>
      </c>
      <c r="AI18" s="299" t="s">
        <v>50</v>
      </c>
      <c r="AJ18" s="297">
        <f>'Calcul CmO et PmO'!F79</f>
        <v>9.5333333333333332</v>
      </c>
      <c r="AK18" s="142" t="s">
        <v>54</v>
      </c>
      <c r="AL18" s="1369"/>
      <c r="AN18" s="1372"/>
      <c r="AO18" s="147">
        <f>+AQ18*(AT18*AV18)</f>
        <v>4707.4500000000007</v>
      </c>
      <c r="AP18" s="142" t="s">
        <v>48</v>
      </c>
      <c r="AQ18" s="148">
        <f>AE18</f>
        <v>1585</v>
      </c>
      <c r="AR18" s="142" t="s">
        <v>50</v>
      </c>
      <c r="AS18" s="142" t="s">
        <v>51</v>
      </c>
      <c r="AT18" s="150">
        <v>0.1</v>
      </c>
      <c r="AU18" s="142" t="s">
        <v>50</v>
      </c>
      <c r="AV18" s="297">
        <f>'Calcul CmO, PmO, Etc.'!E28</f>
        <v>29.7</v>
      </c>
      <c r="AW18" s="142" t="s">
        <v>54</v>
      </c>
      <c r="AX18" s="1369"/>
      <c r="AZ18" s="1372"/>
      <c r="BA18" s="147">
        <f>+'État des Résultats'!H16+'État des Résultats'!H21+'État des Résultats'!H34+'État des Résultats'!H38+'État des Résultats'!H39+'État des Résultats'!H43</f>
        <v>32124.406015353852</v>
      </c>
      <c r="BB18" s="142" t="s">
        <v>48</v>
      </c>
      <c r="BC18" s="148">
        <f>G18</f>
        <v>1585</v>
      </c>
      <c r="BD18" s="142" t="s">
        <v>50</v>
      </c>
      <c r="BE18" s="142" t="s">
        <v>51</v>
      </c>
      <c r="BF18" s="149">
        <f>J18</f>
        <v>2.1</v>
      </c>
      <c r="BG18" s="142" t="s">
        <v>50</v>
      </c>
      <c r="BH18" s="197">
        <f>+BA18/BC18/BF18</f>
        <v>9.6513162131151731</v>
      </c>
      <c r="BI18" s="142" t="s">
        <v>54</v>
      </c>
      <c r="BJ18" s="1369"/>
      <c r="BL18" s="1372"/>
      <c r="BM18" s="147">
        <f>E18-BA18</f>
        <v>-4672.2060153538514</v>
      </c>
      <c r="BN18" s="142" t="s">
        <v>48</v>
      </c>
      <c r="BO18" s="148">
        <f>S18</f>
        <v>1585</v>
      </c>
      <c r="BP18" s="142" t="s">
        <v>50</v>
      </c>
      <c r="BQ18" s="142" t="s">
        <v>51</v>
      </c>
      <c r="BR18" s="149">
        <f>J18</f>
        <v>2.1</v>
      </c>
      <c r="BS18" s="142" t="s">
        <v>50</v>
      </c>
      <c r="BT18" s="147">
        <f>BM18/BO18/BR18</f>
        <v>-1.4036971654961248</v>
      </c>
      <c r="BU18" s="142" t="s">
        <v>54</v>
      </c>
      <c r="BV18" s="1369"/>
    </row>
    <row r="19" spans="2:74" ht="17" thickBot="1" x14ac:dyDescent="0.25">
      <c r="B19" s="1389"/>
      <c r="C19" s="1377"/>
      <c r="D19" s="1373"/>
      <c r="E19" s="152"/>
      <c r="F19" s="152"/>
      <c r="G19" s="152"/>
      <c r="H19" s="152"/>
      <c r="I19" s="152"/>
      <c r="J19" s="152"/>
      <c r="K19" s="152"/>
      <c r="L19" s="152"/>
      <c r="M19" s="152"/>
      <c r="N19" s="1370"/>
      <c r="P19" s="1373"/>
      <c r="Q19" s="152"/>
      <c r="R19" s="152"/>
      <c r="S19" s="152"/>
      <c r="T19" s="152"/>
      <c r="U19" s="301"/>
      <c r="V19" s="301"/>
      <c r="W19" s="301"/>
      <c r="X19" s="301"/>
      <c r="Y19" s="301"/>
      <c r="Z19" s="1370"/>
      <c r="AB19" s="1373"/>
      <c r="AC19" s="152"/>
      <c r="AD19" s="152"/>
      <c r="AE19" s="152"/>
      <c r="AF19" s="152"/>
      <c r="AG19" s="152"/>
      <c r="AH19" s="301"/>
      <c r="AI19" s="301"/>
      <c r="AJ19" s="301"/>
      <c r="AK19" s="152"/>
      <c r="AL19" s="1370"/>
      <c r="AN19" s="1373"/>
      <c r="AO19" s="152"/>
      <c r="AP19" s="152"/>
      <c r="AQ19" s="152"/>
      <c r="AR19" s="152"/>
      <c r="AS19" s="152"/>
      <c r="AT19" s="152"/>
      <c r="AU19" s="152"/>
      <c r="AV19" s="423"/>
      <c r="AW19" s="152"/>
      <c r="AX19" s="1370"/>
      <c r="AZ19" s="1373"/>
      <c r="BA19" s="152"/>
      <c r="BB19" s="152"/>
      <c r="BC19" s="152"/>
      <c r="BD19" s="152"/>
      <c r="BE19" s="152"/>
      <c r="BF19" s="152"/>
      <c r="BG19" s="152"/>
      <c r="BH19" s="152"/>
      <c r="BI19" s="152"/>
      <c r="BJ19" s="1370"/>
      <c r="BL19" s="1373"/>
      <c r="BM19" s="152"/>
      <c r="BN19" s="152"/>
      <c r="BO19" s="152"/>
      <c r="BP19" s="152"/>
      <c r="BQ19" s="152"/>
      <c r="BR19" s="152"/>
      <c r="BS19" s="152"/>
      <c r="BT19" s="152"/>
      <c r="BU19" s="152"/>
      <c r="BV19" s="1370"/>
    </row>
    <row r="20" spans="2:74" ht="5" customHeight="1" thickTop="1" thickBot="1" x14ac:dyDescent="0.2">
      <c r="B20" s="1389"/>
      <c r="C20" s="139"/>
      <c r="U20" s="302"/>
      <c r="V20" s="302"/>
      <c r="W20" s="302"/>
      <c r="X20" s="302"/>
      <c r="Y20" s="302"/>
      <c r="AH20" s="302"/>
      <c r="AI20" s="302"/>
      <c r="AJ20" s="302"/>
      <c r="AV20" s="302"/>
    </row>
    <row r="21" spans="2:74" ht="17" thickTop="1" x14ac:dyDescent="0.2">
      <c r="B21" s="1389"/>
      <c r="C21" s="1377">
        <v>3</v>
      </c>
      <c r="D21" s="1371" t="s">
        <v>45</v>
      </c>
      <c r="E21" s="140"/>
      <c r="F21" s="140"/>
      <c r="G21" s="199" t="str">
        <f>'Achalandage journalier'!F5</f>
        <v>Pér.03</v>
      </c>
      <c r="H21" s="140"/>
      <c r="I21" s="140"/>
      <c r="J21" s="140"/>
      <c r="K21" s="140"/>
      <c r="L21" s="140"/>
      <c r="M21" s="140"/>
      <c r="N21" s="1368" t="s">
        <v>46</v>
      </c>
      <c r="P21" s="1371" t="s">
        <v>45</v>
      </c>
      <c r="Q21" s="140"/>
      <c r="R21" s="140"/>
      <c r="S21" s="199" t="str">
        <f>G21</f>
        <v>Pér.03</v>
      </c>
      <c r="T21" s="140"/>
      <c r="U21" s="303"/>
      <c r="V21" s="303"/>
      <c r="W21" s="303"/>
      <c r="X21" s="303"/>
      <c r="Y21" s="303"/>
      <c r="Z21" s="1368" t="s">
        <v>46</v>
      </c>
      <c r="AB21" s="1371" t="s">
        <v>45</v>
      </c>
      <c r="AC21" s="140"/>
      <c r="AD21" s="140"/>
      <c r="AE21" s="199" t="str">
        <f>S21</f>
        <v>Pér.03</v>
      </c>
      <c r="AF21" s="140"/>
      <c r="AG21" s="140"/>
      <c r="AH21" s="303"/>
      <c r="AI21" s="303"/>
      <c r="AJ21" s="303"/>
      <c r="AK21" s="140"/>
      <c r="AL21" s="1368" t="s">
        <v>46</v>
      </c>
      <c r="AN21" s="1371" t="s">
        <v>45</v>
      </c>
      <c r="AO21" s="140"/>
      <c r="AP21" s="140"/>
      <c r="AQ21" s="199" t="str">
        <f>AE21</f>
        <v>Pér.03</v>
      </c>
      <c r="AR21" s="140"/>
      <c r="AS21" s="140"/>
      <c r="AT21" s="140"/>
      <c r="AU21" s="140"/>
      <c r="AV21" s="424"/>
      <c r="AW21" s="140"/>
      <c r="AX21" s="1368" t="s">
        <v>46</v>
      </c>
      <c r="AZ21" s="1371" t="s">
        <v>45</v>
      </c>
      <c r="BA21" s="140"/>
      <c r="BB21" s="140"/>
      <c r="BC21" s="199" t="str">
        <f>AQ21</f>
        <v>Pér.03</v>
      </c>
      <c r="BD21" s="140"/>
      <c r="BE21" s="140"/>
      <c r="BF21" s="140"/>
      <c r="BG21" s="140"/>
      <c r="BH21" s="140"/>
      <c r="BI21" s="140"/>
      <c r="BJ21" s="1368" t="s">
        <v>46</v>
      </c>
      <c r="BL21" s="1371" t="s">
        <v>45</v>
      </c>
      <c r="BM21" s="140"/>
      <c r="BN21" s="140"/>
      <c r="BO21" s="199" t="str">
        <f>BC21</f>
        <v>Pér.03</v>
      </c>
      <c r="BP21" s="140"/>
      <c r="BQ21" s="140"/>
      <c r="BR21" s="140"/>
      <c r="BS21" s="140"/>
      <c r="BT21" s="140"/>
      <c r="BU21" s="140"/>
      <c r="BV21" s="1368" t="s">
        <v>46</v>
      </c>
    </row>
    <row r="22" spans="2:74" ht="16" x14ac:dyDescent="0.2">
      <c r="B22" s="1389"/>
      <c r="C22" s="1377"/>
      <c r="D22" s="1372"/>
      <c r="E22" s="141"/>
      <c r="F22" s="141"/>
      <c r="G22" s="141"/>
      <c r="H22" s="141"/>
      <c r="I22" s="141"/>
      <c r="J22" s="141"/>
      <c r="K22" s="141"/>
      <c r="L22" s="141"/>
      <c r="M22" s="141"/>
      <c r="N22" s="1369"/>
      <c r="P22" s="1372"/>
      <c r="Q22" s="141"/>
      <c r="R22" s="141"/>
      <c r="S22" s="141"/>
      <c r="T22" s="141"/>
      <c r="U22" s="304"/>
      <c r="V22" s="304"/>
      <c r="W22" s="304"/>
      <c r="X22" s="304"/>
      <c r="Y22" s="304"/>
      <c r="Z22" s="1369"/>
      <c r="AB22" s="1372"/>
      <c r="AC22" s="141"/>
      <c r="AD22" s="141"/>
      <c r="AE22" s="141"/>
      <c r="AF22" s="141"/>
      <c r="AG22" s="141"/>
      <c r="AH22" s="304"/>
      <c r="AI22" s="304"/>
      <c r="AJ22" s="304"/>
      <c r="AK22" s="141"/>
      <c r="AL22" s="1369"/>
      <c r="AN22" s="1372"/>
      <c r="AO22" s="141"/>
      <c r="AP22" s="141"/>
      <c r="AQ22" s="141"/>
      <c r="AR22" s="141"/>
      <c r="AS22" s="141"/>
      <c r="AT22" s="141"/>
      <c r="AU22" s="141"/>
      <c r="AV22" s="425"/>
      <c r="AW22" s="141"/>
      <c r="AX22" s="1369"/>
      <c r="AZ22" s="1372"/>
      <c r="BA22" s="141"/>
      <c r="BB22" s="141"/>
      <c r="BC22" s="141"/>
      <c r="BD22" s="141"/>
      <c r="BE22" s="141"/>
      <c r="BF22" s="141"/>
      <c r="BG22" s="141"/>
      <c r="BH22" s="141"/>
      <c r="BI22" s="141"/>
      <c r="BJ22" s="1369"/>
      <c r="BL22" s="1372"/>
      <c r="BM22" s="141"/>
      <c r="BN22" s="141"/>
      <c r="BO22" s="141"/>
      <c r="BP22" s="141"/>
      <c r="BQ22" s="141"/>
      <c r="BR22" s="141"/>
      <c r="BS22" s="141"/>
      <c r="BT22" s="141"/>
      <c r="BU22" s="141"/>
      <c r="BV22" s="1369"/>
    </row>
    <row r="23" spans="2:74" ht="21" x14ac:dyDescent="0.25">
      <c r="B23" s="1389"/>
      <c r="C23" s="1377"/>
      <c r="D23" s="1372"/>
      <c r="E23" s="142" t="str">
        <f>E15</f>
        <v>Demande mensuelle</v>
      </c>
      <c r="F23" s="142" t="s">
        <v>48</v>
      </c>
      <c r="G23" s="142" t="str">
        <f>+G15</f>
        <v>Achalandage mensuel</v>
      </c>
      <c r="H23" s="142" t="s">
        <v>50</v>
      </c>
      <c r="I23" s="142" t="s">
        <v>51</v>
      </c>
      <c r="J23" s="142" t="str">
        <f>J15</f>
        <v>Um/A</v>
      </c>
      <c r="K23" s="142" t="s">
        <v>50</v>
      </c>
      <c r="L23" s="142" t="str">
        <f>L15</f>
        <v>PmO</v>
      </c>
      <c r="M23" s="142" t="s">
        <v>54</v>
      </c>
      <c r="N23" s="1369"/>
      <c r="P23" s="1372"/>
      <c r="Q23" s="142" t="str">
        <f>Q15</f>
        <v>Demande mensuelle</v>
      </c>
      <c r="R23" s="142" t="s">
        <v>48</v>
      </c>
      <c r="S23" s="142" t="str">
        <f>+S15</f>
        <v>Achalandage mensuel</v>
      </c>
      <c r="T23" s="142" t="s">
        <v>50</v>
      </c>
      <c r="U23" s="299" t="s">
        <v>51</v>
      </c>
      <c r="V23" s="299" t="str">
        <f>V15</f>
        <v>Um/A</v>
      </c>
      <c r="W23" s="299" t="s">
        <v>50</v>
      </c>
      <c r="X23" s="299" t="str">
        <f>X15</f>
        <v>PmO</v>
      </c>
      <c r="Y23" s="299" t="s">
        <v>54</v>
      </c>
      <c r="Z23" s="1369"/>
      <c r="AB23" s="1372"/>
      <c r="AC23" s="142" t="str">
        <f>AC15</f>
        <v>Demande mensuelle</v>
      </c>
      <c r="AD23" s="142" t="s">
        <v>48</v>
      </c>
      <c r="AE23" s="142" t="str">
        <f>AE15</f>
        <v>Achalandage mensuel</v>
      </c>
      <c r="AF23" s="142" t="s">
        <v>50</v>
      </c>
      <c r="AG23" s="142" t="s">
        <v>51</v>
      </c>
      <c r="AH23" s="299" t="str">
        <f>AH15</f>
        <v>Um/A</v>
      </c>
      <c r="AI23" s="299" t="s">
        <v>50</v>
      </c>
      <c r="AJ23" s="299" t="str">
        <f>AJ15</f>
        <v>PmO</v>
      </c>
      <c r="AK23" s="142" t="s">
        <v>54</v>
      </c>
      <c r="AL23" s="1369"/>
      <c r="AN23" s="1372"/>
      <c r="AO23" s="142" t="str">
        <f>AO15</f>
        <v>Demande mensuelle</v>
      </c>
      <c r="AP23" s="142" t="s">
        <v>48</v>
      </c>
      <c r="AQ23" s="142" t="str">
        <f>AQ15</f>
        <v>Achalandage mensuel</v>
      </c>
      <c r="AR23" s="142" t="s">
        <v>50</v>
      </c>
      <c r="AS23" s="142" t="s">
        <v>51</v>
      </c>
      <c r="AT23" s="142" t="str">
        <f>AT15</f>
        <v>Um/A</v>
      </c>
      <c r="AU23" s="142" t="s">
        <v>50</v>
      </c>
      <c r="AV23" s="299" t="str">
        <f>AV15</f>
        <v>PmO</v>
      </c>
      <c r="AW23" s="142" t="s">
        <v>54</v>
      </c>
      <c r="AX23" s="1369"/>
      <c r="AZ23" s="1372"/>
      <c r="BA23" s="142" t="str">
        <f>BA15</f>
        <v>Coût mensuel</v>
      </c>
      <c r="BB23" s="142" t="s">
        <v>48</v>
      </c>
      <c r="BC23" s="142" t="str">
        <f>G23</f>
        <v>Achalandage mensuel</v>
      </c>
      <c r="BD23" s="142" t="s">
        <v>50</v>
      </c>
      <c r="BE23" s="142" t="s">
        <v>51</v>
      </c>
      <c r="BF23" s="142" t="str">
        <f>J23</f>
        <v>Um/A</v>
      </c>
      <c r="BG23" s="142" t="s">
        <v>50</v>
      </c>
      <c r="BH23" s="142" t="str">
        <f>BH15</f>
        <v>CmO</v>
      </c>
      <c r="BI23" s="142" t="s">
        <v>54</v>
      </c>
      <c r="BJ23" s="1369"/>
      <c r="BL23" s="1372"/>
      <c r="BM23" s="142" t="str">
        <f>BM15</f>
        <v>Bénéfice mensuel</v>
      </c>
      <c r="BN23" s="142" t="s">
        <v>48</v>
      </c>
      <c r="BO23" s="142" t="str">
        <f>S23</f>
        <v>Achalandage mensuel</v>
      </c>
      <c r="BP23" s="142" t="s">
        <v>50</v>
      </c>
      <c r="BQ23" s="142" t="s">
        <v>51</v>
      </c>
      <c r="BR23" s="142" t="str">
        <f>V23</f>
        <v>Um/A</v>
      </c>
      <c r="BS23" s="142" t="s">
        <v>50</v>
      </c>
      <c r="BT23" s="142" t="str">
        <f>BT15</f>
        <v>BmO</v>
      </c>
      <c r="BU23" s="142" t="s">
        <v>54</v>
      </c>
      <c r="BV23" s="1369"/>
    </row>
    <row r="24" spans="2:74" ht="19" x14ac:dyDescent="0.25">
      <c r="B24" s="1389"/>
      <c r="C24" s="1377"/>
      <c r="D24" s="1372"/>
      <c r="E24" s="143" t="s">
        <v>1</v>
      </c>
      <c r="F24" s="144"/>
      <c r="G24" s="143"/>
      <c r="H24" s="144"/>
      <c r="I24" s="144"/>
      <c r="J24" s="144"/>
      <c r="K24" s="144"/>
      <c r="L24" s="144"/>
      <c r="M24" s="144"/>
      <c r="N24" s="1369"/>
      <c r="P24" s="1372"/>
      <c r="Q24" s="143" t="s">
        <v>1</v>
      </c>
      <c r="R24" s="144"/>
      <c r="S24" s="143"/>
      <c r="T24" s="144"/>
      <c r="U24" s="305"/>
      <c r="V24" s="305"/>
      <c r="W24" s="305"/>
      <c r="X24" s="305"/>
      <c r="Y24" s="305"/>
      <c r="Z24" s="1369"/>
      <c r="AB24" s="1372"/>
      <c r="AC24" s="143" t="s">
        <v>1</v>
      </c>
      <c r="AD24" s="144"/>
      <c r="AE24" s="143"/>
      <c r="AF24" s="144"/>
      <c r="AG24" s="144"/>
      <c r="AH24" s="305"/>
      <c r="AI24" s="305"/>
      <c r="AJ24" s="305"/>
      <c r="AK24" s="144"/>
      <c r="AL24" s="1369"/>
      <c r="AN24" s="1372"/>
      <c r="AO24" s="143" t="s">
        <v>1</v>
      </c>
      <c r="AP24" s="144"/>
      <c r="AQ24" s="143"/>
      <c r="AR24" s="144"/>
      <c r="AS24" s="144"/>
      <c r="AT24" s="144"/>
      <c r="AU24" s="144"/>
      <c r="AV24" s="305"/>
      <c r="AW24" s="144"/>
      <c r="AX24" s="1369"/>
      <c r="AZ24" s="1372"/>
      <c r="BA24" s="143" t="s">
        <v>1</v>
      </c>
      <c r="BB24" s="144"/>
      <c r="BC24" s="143"/>
      <c r="BD24" s="144"/>
      <c r="BE24" s="144"/>
      <c r="BF24" s="144"/>
      <c r="BG24" s="144"/>
      <c r="BH24" s="144"/>
      <c r="BI24" s="144"/>
      <c r="BJ24" s="1369"/>
      <c r="BL24" s="1372"/>
      <c r="BM24" s="143" t="s">
        <v>1</v>
      </c>
      <c r="BN24" s="144"/>
      <c r="BO24" s="143"/>
      <c r="BP24" s="144"/>
      <c r="BQ24" s="144"/>
      <c r="BR24" s="144"/>
      <c r="BS24" s="144"/>
      <c r="BT24" s="144"/>
      <c r="BU24" s="144"/>
      <c r="BV24" s="1369"/>
    </row>
    <row r="25" spans="2:74" ht="26" x14ac:dyDescent="0.3">
      <c r="B25" s="1389"/>
      <c r="C25" s="1377"/>
      <c r="D25" s="1372"/>
      <c r="E25" s="145" t="str">
        <f>E17</f>
        <v>D</v>
      </c>
      <c r="F25" s="146"/>
      <c r="G25" s="145" t="str">
        <f>G17</f>
        <v>A</v>
      </c>
      <c r="H25" s="146"/>
      <c r="I25" s="146"/>
      <c r="J25" s="145" t="str">
        <f>+J23</f>
        <v>Um/A</v>
      </c>
      <c r="K25" s="146"/>
      <c r="L25" s="145" t="str">
        <f>+L23</f>
        <v>PmO</v>
      </c>
      <c r="M25" s="146"/>
      <c r="N25" s="1369"/>
      <c r="P25" s="1372"/>
      <c r="Q25" s="145" t="str">
        <f>Q17</f>
        <v>D</v>
      </c>
      <c r="R25" s="146"/>
      <c r="S25" s="145" t="str">
        <f>S17</f>
        <v>A</v>
      </c>
      <c r="T25" s="146"/>
      <c r="U25" s="300"/>
      <c r="V25" s="298" t="str">
        <f>+V23</f>
        <v>Um/A</v>
      </c>
      <c r="W25" s="300"/>
      <c r="X25" s="298" t="str">
        <f>+X23</f>
        <v>PmO</v>
      </c>
      <c r="Y25" s="300"/>
      <c r="Z25" s="1369"/>
      <c r="AB25" s="1372"/>
      <c r="AC25" s="145" t="str">
        <f>AC17</f>
        <v>D</v>
      </c>
      <c r="AD25" s="146"/>
      <c r="AE25" s="145" t="str">
        <f>AE17</f>
        <v>A</v>
      </c>
      <c r="AF25" s="146"/>
      <c r="AG25" s="146"/>
      <c r="AH25" s="298" t="str">
        <f>+AH23</f>
        <v>Um/A</v>
      </c>
      <c r="AI25" s="300"/>
      <c r="AJ25" s="298" t="str">
        <f>+AJ23</f>
        <v>PmO</v>
      </c>
      <c r="AK25" s="146"/>
      <c r="AL25" s="1369"/>
      <c r="AN25" s="1372"/>
      <c r="AO25" s="145" t="str">
        <f>AO17</f>
        <v>D</v>
      </c>
      <c r="AP25" s="146"/>
      <c r="AQ25" s="145" t="str">
        <f>AQ17</f>
        <v>A</v>
      </c>
      <c r="AR25" s="146"/>
      <c r="AS25" s="146"/>
      <c r="AT25" s="145" t="str">
        <f>+AT23</f>
        <v>Um/A</v>
      </c>
      <c r="AU25" s="146"/>
      <c r="AV25" s="298" t="str">
        <f>+AV23</f>
        <v>PmO</v>
      </c>
      <c r="AW25" s="146"/>
      <c r="AX25" s="1369"/>
      <c r="AZ25" s="1372"/>
      <c r="BA25" s="145" t="str">
        <f>BA17</f>
        <v xml:space="preserve">C </v>
      </c>
      <c r="BB25" s="146"/>
      <c r="BC25" s="145" t="str">
        <f>G25</f>
        <v>A</v>
      </c>
      <c r="BD25" s="146"/>
      <c r="BE25" s="146"/>
      <c r="BF25" s="145" t="str">
        <f>BF23</f>
        <v>Um/A</v>
      </c>
      <c r="BG25" s="146"/>
      <c r="BH25" s="145" t="str">
        <f>BH23</f>
        <v>CmO</v>
      </c>
      <c r="BI25" s="146"/>
      <c r="BJ25" s="1369"/>
      <c r="BL25" s="1372"/>
      <c r="BM25" s="145" t="str">
        <f>BM17</f>
        <v xml:space="preserve">B </v>
      </c>
      <c r="BN25" s="146"/>
      <c r="BO25" s="145" t="str">
        <f>S25</f>
        <v>A</v>
      </c>
      <c r="BP25" s="146"/>
      <c r="BQ25" s="146"/>
      <c r="BR25" s="145" t="str">
        <f>BR23</f>
        <v>Um/A</v>
      </c>
      <c r="BS25" s="146"/>
      <c r="BT25" s="145" t="str">
        <f>BT23</f>
        <v>BmO</v>
      </c>
      <c r="BU25" s="146"/>
      <c r="BV25" s="1369"/>
    </row>
    <row r="26" spans="2:74" ht="21" x14ac:dyDescent="0.25">
      <c r="B26" s="1389"/>
      <c r="C26" s="1377"/>
      <c r="D26" s="1372"/>
      <c r="E26" s="147">
        <f>+Q26+AC26+AO26</f>
        <v>39489.599999999999</v>
      </c>
      <c r="F26" s="142" t="s">
        <v>48</v>
      </c>
      <c r="G26" s="148">
        <f>'% Occupation'!F19</f>
        <v>2280</v>
      </c>
      <c r="H26" s="142" t="s">
        <v>50</v>
      </c>
      <c r="I26" s="142" t="s">
        <v>51</v>
      </c>
      <c r="J26" s="149">
        <f>+V26+AH26+AT26</f>
        <v>2.1</v>
      </c>
      <c r="K26" s="142" t="s">
        <v>50</v>
      </c>
      <c r="L26" s="147">
        <f>E26/G26/J26</f>
        <v>8.2476190476190467</v>
      </c>
      <c r="M26" s="142" t="s">
        <v>54</v>
      </c>
      <c r="N26" s="1369"/>
      <c r="P26" s="1372"/>
      <c r="Q26" s="147">
        <f>+S26*(V26*X26)</f>
        <v>10982.000000000002</v>
      </c>
      <c r="R26" s="142" t="s">
        <v>48</v>
      </c>
      <c r="S26" s="148">
        <f>G26</f>
        <v>2280</v>
      </c>
      <c r="T26" s="142" t="s">
        <v>50</v>
      </c>
      <c r="U26" s="299" t="s">
        <v>51</v>
      </c>
      <c r="V26" s="296">
        <f>'Calcul CmO et PmO'!L107</f>
        <v>1</v>
      </c>
      <c r="W26" s="299" t="s">
        <v>50</v>
      </c>
      <c r="X26" s="297">
        <f>'Calcul CmO et PmO'!F107</f>
        <v>4.8166666666666673</v>
      </c>
      <c r="Y26" s="299" t="s">
        <v>54</v>
      </c>
      <c r="Z26" s="1369"/>
      <c r="AB26" s="1372"/>
      <c r="AC26" s="147">
        <f>+AE26*(AH26*AJ26)</f>
        <v>21736</v>
      </c>
      <c r="AD26" s="142" t="s">
        <v>48</v>
      </c>
      <c r="AE26" s="148">
        <f>S26</f>
        <v>2280</v>
      </c>
      <c r="AF26" s="142" t="s">
        <v>50</v>
      </c>
      <c r="AG26" s="142" t="s">
        <v>51</v>
      </c>
      <c r="AH26" s="296">
        <f>'Calcul CmO et PmO'!L122</f>
        <v>1</v>
      </c>
      <c r="AI26" s="299" t="s">
        <v>50</v>
      </c>
      <c r="AJ26" s="297">
        <f>'Calcul CmO et PmO'!F122</f>
        <v>9.5333333333333332</v>
      </c>
      <c r="AK26" s="142" t="s">
        <v>54</v>
      </c>
      <c r="AL26" s="1369"/>
      <c r="AN26" s="1372"/>
      <c r="AO26" s="147">
        <f>+AQ26*(AT26*AV26)</f>
        <v>6771.6</v>
      </c>
      <c r="AP26" s="142" t="s">
        <v>48</v>
      </c>
      <c r="AQ26" s="148">
        <f>AE26</f>
        <v>2280</v>
      </c>
      <c r="AR26" s="142" t="s">
        <v>50</v>
      </c>
      <c r="AS26" s="142" t="s">
        <v>51</v>
      </c>
      <c r="AT26" s="150">
        <v>0.1</v>
      </c>
      <c r="AU26" s="142" t="s">
        <v>50</v>
      </c>
      <c r="AV26" s="297">
        <f>'Calcul CmO, PmO, Etc.'!E28</f>
        <v>29.7</v>
      </c>
      <c r="AW26" s="142" t="s">
        <v>54</v>
      </c>
      <c r="AX26" s="1369"/>
      <c r="AZ26" s="1372"/>
      <c r="BA26" s="147">
        <f>+'État des Résultats'!K16+'État des Résultats'!K21+'État des Résultats'!K34+'État des Résultats'!K38+'État des Résultats'!K39+'État des Résultats'!K43</f>
        <v>42118.962991753855</v>
      </c>
      <c r="BB26" s="142" t="s">
        <v>48</v>
      </c>
      <c r="BC26" s="148">
        <f>G26</f>
        <v>2280</v>
      </c>
      <c r="BD26" s="142" t="s">
        <v>50</v>
      </c>
      <c r="BE26" s="142" t="s">
        <v>51</v>
      </c>
      <c r="BF26" s="149">
        <f>J26</f>
        <v>2.1</v>
      </c>
      <c r="BG26" s="142" t="s">
        <v>50</v>
      </c>
      <c r="BH26" s="197">
        <f>+BA26/BC26/BF26</f>
        <v>8.7967758963562765</v>
      </c>
      <c r="BI26" s="142" t="s">
        <v>54</v>
      </c>
      <c r="BJ26" s="1369"/>
      <c r="BL26" s="1372"/>
      <c r="BM26" s="147">
        <f>E26-BA26</f>
        <v>-2629.3629917538565</v>
      </c>
      <c r="BN26" s="142" t="s">
        <v>48</v>
      </c>
      <c r="BO26" s="148">
        <f>S26</f>
        <v>2280</v>
      </c>
      <c r="BP26" s="142" t="s">
        <v>50</v>
      </c>
      <c r="BQ26" s="142" t="s">
        <v>51</v>
      </c>
      <c r="BR26" s="149">
        <f>J26</f>
        <v>2.1</v>
      </c>
      <c r="BS26" s="142" t="s">
        <v>50</v>
      </c>
      <c r="BT26" s="147">
        <f>BM26/BO26/BR26</f>
        <v>-0.54915684873722981</v>
      </c>
      <c r="BU26" s="142" t="s">
        <v>54</v>
      </c>
      <c r="BV26" s="1369"/>
    </row>
    <row r="27" spans="2:74" ht="17" thickBot="1" x14ac:dyDescent="0.25">
      <c r="B27" s="1390"/>
      <c r="C27" s="1377"/>
      <c r="D27" s="1373"/>
      <c r="E27" s="152"/>
      <c r="F27" s="152"/>
      <c r="G27" s="152"/>
      <c r="H27" s="152"/>
      <c r="I27" s="152"/>
      <c r="J27" s="152"/>
      <c r="K27" s="152"/>
      <c r="L27" s="152"/>
      <c r="M27" s="152"/>
      <c r="N27" s="1370"/>
      <c r="P27" s="1373"/>
      <c r="Q27" s="152"/>
      <c r="R27" s="152"/>
      <c r="S27" s="152"/>
      <c r="T27" s="152"/>
      <c r="U27" s="301"/>
      <c r="V27" s="301"/>
      <c r="W27" s="301"/>
      <c r="X27" s="301"/>
      <c r="Y27" s="301"/>
      <c r="Z27" s="1370"/>
      <c r="AB27" s="1373"/>
      <c r="AC27" s="152"/>
      <c r="AD27" s="152"/>
      <c r="AE27" s="152"/>
      <c r="AF27" s="152"/>
      <c r="AG27" s="152"/>
      <c r="AH27" s="301"/>
      <c r="AI27" s="301"/>
      <c r="AJ27" s="301"/>
      <c r="AK27" s="152"/>
      <c r="AL27" s="1370"/>
      <c r="AN27" s="1373"/>
      <c r="AO27" s="152"/>
      <c r="AP27" s="152"/>
      <c r="AQ27" s="152"/>
      <c r="AR27" s="152"/>
      <c r="AS27" s="152"/>
      <c r="AT27" s="152"/>
      <c r="AU27" s="152"/>
      <c r="AV27" s="423"/>
      <c r="AW27" s="152"/>
      <c r="AX27" s="1370"/>
      <c r="AZ27" s="1373"/>
      <c r="BA27" s="152"/>
      <c r="BB27" s="152"/>
      <c r="BC27" s="152"/>
      <c r="BD27" s="152"/>
      <c r="BE27" s="152"/>
      <c r="BF27" s="152"/>
      <c r="BG27" s="152"/>
      <c r="BH27" s="152"/>
      <c r="BI27" s="152"/>
      <c r="BJ27" s="1370"/>
      <c r="BL27" s="1373"/>
      <c r="BM27" s="152"/>
      <c r="BN27" s="152"/>
      <c r="BO27" s="152"/>
      <c r="BP27" s="152"/>
      <c r="BQ27" s="152"/>
      <c r="BR27" s="152"/>
      <c r="BS27" s="152"/>
      <c r="BT27" s="152"/>
      <c r="BU27" s="152"/>
      <c r="BV27" s="1370"/>
    </row>
    <row r="28" spans="2:74" ht="10" customHeight="1" thickBot="1" x14ac:dyDescent="0.25">
      <c r="C28" s="139"/>
      <c r="P28" s="153" t="s">
        <v>1</v>
      </c>
      <c r="AB28" s="153" t="s">
        <v>1</v>
      </c>
      <c r="AH28" s="302"/>
      <c r="AI28" s="302"/>
      <c r="AJ28" s="302"/>
      <c r="AN28" s="153" t="s">
        <v>1</v>
      </c>
      <c r="AV28" s="302"/>
    </row>
    <row r="29" spans="2:74" ht="17" thickTop="1" x14ac:dyDescent="0.2">
      <c r="B29" s="1379" t="s">
        <v>1</v>
      </c>
      <c r="C29" s="1377">
        <v>4</v>
      </c>
      <c r="D29" s="1382" t="s">
        <v>45</v>
      </c>
      <c r="E29" s="154"/>
      <c r="F29" s="154"/>
      <c r="G29" s="200" t="str">
        <f>'Achalandage journalier'!G5</f>
        <v>Pér.04</v>
      </c>
      <c r="H29" s="154"/>
      <c r="I29" s="154"/>
      <c r="J29" s="154"/>
      <c r="K29" s="154"/>
      <c r="L29" s="154"/>
      <c r="M29" s="154"/>
      <c r="N29" s="1385" t="s">
        <v>46</v>
      </c>
      <c r="P29" s="1382" t="s">
        <v>45</v>
      </c>
      <c r="Q29" s="154"/>
      <c r="R29" s="154"/>
      <c r="S29" s="200" t="str">
        <f>G29</f>
        <v>Pér.04</v>
      </c>
      <c r="T29" s="154"/>
      <c r="U29" s="154"/>
      <c r="V29" s="154"/>
      <c r="W29" s="154"/>
      <c r="X29" s="154"/>
      <c r="Y29" s="154"/>
      <c r="Z29" s="1385" t="s">
        <v>46</v>
      </c>
      <c r="AB29" s="1382" t="s">
        <v>45</v>
      </c>
      <c r="AC29" s="154"/>
      <c r="AD29" s="154"/>
      <c r="AE29" s="200" t="str">
        <f>S29</f>
        <v>Pér.04</v>
      </c>
      <c r="AF29" s="154"/>
      <c r="AG29" s="154"/>
      <c r="AH29" s="315"/>
      <c r="AI29" s="315"/>
      <c r="AJ29" s="315"/>
      <c r="AK29" s="154"/>
      <c r="AL29" s="1385" t="s">
        <v>46</v>
      </c>
      <c r="AN29" s="1382" t="s">
        <v>45</v>
      </c>
      <c r="AO29" s="154"/>
      <c r="AP29" s="154"/>
      <c r="AQ29" s="200" t="str">
        <f>AE29</f>
        <v>Pér.04</v>
      </c>
      <c r="AR29" s="154"/>
      <c r="AS29" s="154"/>
      <c r="AT29" s="154"/>
      <c r="AU29" s="154"/>
      <c r="AV29" s="426"/>
      <c r="AW29" s="154"/>
      <c r="AX29" s="1385" t="s">
        <v>46</v>
      </c>
      <c r="AZ29" s="1382" t="s">
        <v>45</v>
      </c>
      <c r="BA29" s="154"/>
      <c r="BB29" s="154"/>
      <c r="BC29" s="200" t="str">
        <f>AQ29</f>
        <v>Pér.04</v>
      </c>
      <c r="BD29" s="154"/>
      <c r="BE29" s="154"/>
      <c r="BF29" s="154"/>
      <c r="BG29" s="154"/>
      <c r="BH29" s="154"/>
      <c r="BI29" s="154"/>
      <c r="BJ29" s="1385" t="s">
        <v>46</v>
      </c>
      <c r="BL29" s="1391" t="s">
        <v>45</v>
      </c>
      <c r="BM29" s="154"/>
      <c r="BN29" s="154"/>
      <c r="BO29" s="200" t="str">
        <f>BC29</f>
        <v>Pér.04</v>
      </c>
      <c r="BP29" s="154"/>
      <c r="BQ29" s="154"/>
      <c r="BR29" s="154"/>
      <c r="BS29" s="154"/>
      <c r="BT29" s="154"/>
      <c r="BU29" s="154"/>
      <c r="BV29" s="1385" t="s">
        <v>46</v>
      </c>
    </row>
    <row r="30" spans="2:74" ht="16" x14ac:dyDescent="0.2">
      <c r="B30" s="1380"/>
      <c r="C30" s="1377"/>
      <c r="D30" s="1383"/>
      <c r="E30" s="155"/>
      <c r="F30" s="155"/>
      <c r="G30" s="155"/>
      <c r="H30" s="155"/>
      <c r="I30" s="155"/>
      <c r="J30" s="155"/>
      <c r="K30" s="155"/>
      <c r="L30" s="155"/>
      <c r="M30" s="155"/>
      <c r="N30" s="1386"/>
      <c r="P30" s="1383"/>
      <c r="Q30" s="155"/>
      <c r="R30" s="155"/>
      <c r="S30" s="155"/>
      <c r="T30" s="155"/>
      <c r="U30" s="155"/>
      <c r="V30" s="155"/>
      <c r="W30" s="155"/>
      <c r="X30" s="155"/>
      <c r="Y30" s="155"/>
      <c r="Z30" s="1386"/>
      <c r="AB30" s="1383"/>
      <c r="AC30" s="155"/>
      <c r="AD30" s="155"/>
      <c r="AE30" s="155"/>
      <c r="AF30" s="155"/>
      <c r="AG30" s="155"/>
      <c r="AH30" s="316"/>
      <c r="AI30" s="316"/>
      <c r="AJ30" s="316"/>
      <c r="AK30" s="155"/>
      <c r="AL30" s="1386"/>
      <c r="AN30" s="1383"/>
      <c r="AO30" s="155"/>
      <c r="AP30" s="155"/>
      <c r="AQ30" s="155"/>
      <c r="AR30" s="155"/>
      <c r="AS30" s="155"/>
      <c r="AT30" s="155"/>
      <c r="AU30" s="155"/>
      <c r="AV30" s="427"/>
      <c r="AW30" s="155"/>
      <c r="AX30" s="1386"/>
      <c r="AZ30" s="1383"/>
      <c r="BA30" s="155"/>
      <c r="BB30" s="155"/>
      <c r="BC30" s="155"/>
      <c r="BD30" s="155"/>
      <c r="BE30" s="155"/>
      <c r="BF30" s="155"/>
      <c r="BG30" s="155"/>
      <c r="BH30" s="155"/>
      <c r="BI30" s="155"/>
      <c r="BJ30" s="1386"/>
      <c r="BL30" s="1392"/>
      <c r="BM30" s="155"/>
      <c r="BN30" s="155"/>
      <c r="BO30" s="155"/>
      <c r="BP30" s="155"/>
      <c r="BQ30" s="155"/>
      <c r="BR30" s="155"/>
      <c r="BS30" s="155"/>
      <c r="BT30" s="155"/>
      <c r="BU30" s="155"/>
      <c r="BV30" s="1386"/>
    </row>
    <row r="31" spans="2:74" ht="21" x14ac:dyDescent="0.25">
      <c r="B31" s="1380"/>
      <c r="C31" s="1377"/>
      <c r="D31" s="1383"/>
      <c r="E31" s="156" t="str">
        <f>E23</f>
        <v>Demande mensuelle</v>
      </c>
      <c r="F31" s="156" t="s">
        <v>48</v>
      </c>
      <c r="G31" s="156" t="str">
        <f>G23</f>
        <v>Achalandage mensuel</v>
      </c>
      <c r="H31" s="156" t="s">
        <v>50</v>
      </c>
      <c r="I31" s="156" t="s">
        <v>51</v>
      </c>
      <c r="J31" s="156" t="str">
        <f>J23</f>
        <v>Um/A</v>
      </c>
      <c r="K31" s="156" t="s">
        <v>50</v>
      </c>
      <c r="L31" s="156" t="str">
        <f>L23</f>
        <v>PmO</v>
      </c>
      <c r="M31" s="156" t="s">
        <v>54</v>
      </c>
      <c r="N31" s="1386"/>
      <c r="P31" s="1383"/>
      <c r="Q31" s="156" t="str">
        <f>Q23</f>
        <v>Demande mensuelle</v>
      </c>
      <c r="R31" s="156" t="s">
        <v>48</v>
      </c>
      <c r="S31" s="156" t="str">
        <f>S23</f>
        <v>Achalandage mensuel</v>
      </c>
      <c r="T31" s="156" t="s">
        <v>50</v>
      </c>
      <c r="U31" s="156" t="s">
        <v>51</v>
      </c>
      <c r="V31" s="306" t="str">
        <f>V23</f>
        <v>Um/A</v>
      </c>
      <c r="W31" s="306" t="s">
        <v>50</v>
      </c>
      <c r="X31" s="306" t="str">
        <f>X23</f>
        <v>PmO</v>
      </c>
      <c r="Y31" s="156" t="s">
        <v>54</v>
      </c>
      <c r="Z31" s="1386"/>
      <c r="AB31" s="1383"/>
      <c r="AC31" s="156" t="str">
        <f>AC23</f>
        <v>Demande mensuelle</v>
      </c>
      <c r="AD31" s="156" t="s">
        <v>48</v>
      </c>
      <c r="AE31" s="156" t="str">
        <f>AE23</f>
        <v>Achalandage mensuel</v>
      </c>
      <c r="AF31" s="156" t="s">
        <v>50</v>
      </c>
      <c r="AG31" s="156" t="s">
        <v>51</v>
      </c>
      <c r="AH31" s="306" t="str">
        <f>AH23</f>
        <v>Um/A</v>
      </c>
      <c r="AI31" s="306" t="s">
        <v>50</v>
      </c>
      <c r="AJ31" s="306" t="str">
        <f>AJ23</f>
        <v>PmO</v>
      </c>
      <c r="AK31" s="156" t="s">
        <v>54</v>
      </c>
      <c r="AL31" s="1386"/>
      <c r="AN31" s="1383"/>
      <c r="AO31" s="156" t="str">
        <f>AO23</f>
        <v>Demande mensuelle</v>
      </c>
      <c r="AP31" s="156" t="s">
        <v>48</v>
      </c>
      <c r="AQ31" s="156" t="str">
        <f>AQ23</f>
        <v>Achalandage mensuel</v>
      </c>
      <c r="AR31" s="156" t="s">
        <v>50</v>
      </c>
      <c r="AS31" s="156" t="s">
        <v>51</v>
      </c>
      <c r="AT31" s="156" t="str">
        <f>AT23</f>
        <v>Um/A</v>
      </c>
      <c r="AU31" s="156" t="s">
        <v>50</v>
      </c>
      <c r="AV31" s="306" t="str">
        <f>AV23</f>
        <v>PmO</v>
      </c>
      <c r="AW31" s="156" t="s">
        <v>54</v>
      </c>
      <c r="AX31" s="1386"/>
      <c r="AZ31" s="1383"/>
      <c r="BA31" s="156" t="str">
        <f>BA23</f>
        <v>Coût mensuel</v>
      </c>
      <c r="BB31" s="156" t="s">
        <v>48</v>
      </c>
      <c r="BC31" s="156" t="str">
        <f>BC23</f>
        <v>Achalandage mensuel</v>
      </c>
      <c r="BD31" s="156" t="s">
        <v>50</v>
      </c>
      <c r="BE31" s="156" t="s">
        <v>51</v>
      </c>
      <c r="BF31" s="156" t="str">
        <f>BF23</f>
        <v>Um/A</v>
      </c>
      <c r="BG31" s="156" t="s">
        <v>50</v>
      </c>
      <c r="BH31" s="156" t="str">
        <f>BH23</f>
        <v>CmO</v>
      </c>
      <c r="BI31" s="156" t="s">
        <v>54</v>
      </c>
      <c r="BJ31" s="1386"/>
      <c r="BL31" s="1392"/>
      <c r="BM31" s="156" t="str">
        <f>BM23</f>
        <v>Bénéfice mensuel</v>
      </c>
      <c r="BN31" s="156" t="s">
        <v>48</v>
      </c>
      <c r="BO31" s="156" t="str">
        <f>BO23</f>
        <v>Achalandage mensuel</v>
      </c>
      <c r="BP31" s="156" t="s">
        <v>50</v>
      </c>
      <c r="BQ31" s="156" t="s">
        <v>51</v>
      </c>
      <c r="BR31" s="156" t="str">
        <f>BR23</f>
        <v>Um/A</v>
      </c>
      <c r="BS31" s="156" t="s">
        <v>50</v>
      </c>
      <c r="BT31" s="156" t="str">
        <f>BT23</f>
        <v>BmO</v>
      </c>
      <c r="BU31" s="156" t="s">
        <v>54</v>
      </c>
      <c r="BV31" s="1386"/>
    </row>
    <row r="32" spans="2:74" ht="19" x14ac:dyDescent="0.25">
      <c r="B32" s="1380"/>
      <c r="C32" s="1377"/>
      <c r="D32" s="1383"/>
      <c r="E32" s="157" t="s">
        <v>1</v>
      </c>
      <c r="F32" s="158"/>
      <c r="G32" s="157"/>
      <c r="H32" s="158"/>
      <c r="I32" s="158"/>
      <c r="J32" s="158"/>
      <c r="K32" s="158"/>
      <c r="L32" s="158"/>
      <c r="M32" s="158"/>
      <c r="N32" s="1386"/>
      <c r="P32" s="1383"/>
      <c r="Q32" s="157" t="s">
        <v>1</v>
      </c>
      <c r="R32" s="158"/>
      <c r="S32" s="157"/>
      <c r="T32" s="158"/>
      <c r="U32" s="158"/>
      <c r="V32" s="312"/>
      <c r="W32" s="312"/>
      <c r="X32" s="312"/>
      <c r="Y32" s="158"/>
      <c r="Z32" s="1386"/>
      <c r="AB32" s="1383"/>
      <c r="AC32" s="157" t="s">
        <v>1</v>
      </c>
      <c r="AD32" s="158"/>
      <c r="AE32" s="157"/>
      <c r="AF32" s="158"/>
      <c r="AG32" s="158"/>
      <c r="AH32" s="312"/>
      <c r="AI32" s="312"/>
      <c r="AJ32" s="312"/>
      <c r="AK32" s="158"/>
      <c r="AL32" s="1386"/>
      <c r="AN32" s="1383"/>
      <c r="AO32" s="157" t="s">
        <v>1</v>
      </c>
      <c r="AP32" s="158"/>
      <c r="AQ32" s="157"/>
      <c r="AR32" s="158"/>
      <c r="AS32" s="158"/>
      <c r="AT32" s="158"/>
      <c r="AU32" s="158"/>
      <c r="AV32" s="312"/>
      <c r="AW32" s="158"/>
      <c r="AX32" s="1386"/>
      <c r="AZ32" s="1383"/>
      <c r="BA32" s="157" t="s">
        <v>1</v>
      </c>
      <c r="BB32" s="158"/>
      <c r="BC32" s="157"/>
      <c r="BD32" s="158"/>
      <c r="BE32" s="158"/>
      <c r="BF32" s="158"/>
      <c r="BG32" s="158"/>
      <c r="BH32" s="158"/>
      <c r="BI32" s="158"/>
      <c r="BJ32" s="1386"/>
      <c r="BL32" s="1392"/>
      <c r="BM32" s="157" t="s">
        <v>1</v>
      </c>
      <c r="BN32" s="158"/>
      <c r="BO32" s="157"/>
      <c r="BP32" s="158"/>
      <c r="BQ32" s="158"/>
      <c r="BR32" s="158"/>
      <c r="BS32" s="158"/>
      <c r="BT32" s="158"/>
      <c r="BU32" s="158"/>
      <c r="BV32" s="1386"/>
    </row>
    <row r="33" spans="2:74" ht="26" x14ac:dyDescent="0.3">
      <c r="B33" s="1380"/>
      <c r="C33" s="1377"/>
      <c r="D33" s="1383"/>
      <c r="E33" s="159" t="str">
        <f>E25</f>
        <v>D</v>
      </c>
      <c r="F33" s="160"/>
      <c r="G33" s="159" t="str">
        <f>G25</f>
        <v>A</v>
      </c>
      <c r="H33" s="160"/>
      <c r="I33" s="160"/>
      <c r="J33" s="159" t="str">
        <f>+J31</f>
        <v>Um/A</v>
      </c>
      <c r="K33" s="160"/>
      <c r="L33" s="159" t="str">
        <f>+L31</f>
        <v>PmO</v>
      </c>
      <c r="M33" s="160"/>
      <c r="N33" s="1386"/>
      <c r="P33" s="1383"/>
      <c r="Q33" s="159" t="str">
        <f>Q25</f>
        <v>D</v>
      </c>
      <c r="R33" s="160"/>
      <c r="S33" s="159" t="str">
        <f>S25</f>
        <v>A</v>
      </c>
      <c r="T33" s="160"/>
      <c r="U33" s="160"/>
      <c r="V33" s="307" t="str">
        <f>+V31</f>
        <v>Um/A</v>
      </c>
      <c r="W33" s="313"/>
      <c r="X33" s="307" t="str">
        <f>+X31</f>
        <v>PmO</v>
      </c>
      <c r="Y33" s="160"/>
      <c r="Z33" s="1386"/>
      <c r="AB33" s="1383"/>
      <c r="AC33" s="159" t="str">
        <f>AC25</f>
        <v>D</v>
      </c>
      <c r="AD33" s="160"/>
      <c r="AE33" s="159" t="str">
        <f>AE25</f>
        <v>A</v>
      </c>
      <c r="AF33" s="160"/>
      <c r="AG33" s="160"/>
      <c r="AH33" s="307" t="str">
        <f>+AH31</f>
        <v>Um/A</v>
      </c>
      <c r="AI33" s="313"/>
      <c r="AJ33" s="307" t="str">
        <f>+AJ31</f>
        <v>PmO</v>
      </c>
      <c r="AK33" s="160"/>
      <c r="AL33" s="1386"/>
      <c r="AN33" s="1383"/>
      <c r="AO33" s="159" t="str">
        <f>AO25</f>
        <v>D</v>
      </c>
      <c r="AP33" s="160"/>
      <c r="AQ33" s="159" t="str">
        <f>AQ25</f>
        <v>A</v>
      </c>
      <c r="AR33" s="160"/>
      <c r="AS33" s="160"/>
      <c r="AT33" s="159" t="str">
        <f>+AT31</f>
        <v>Um/A</v>
      </c>
      <c r="AU33" s="160"/>
      <c r="AV33" s="307" t="str">
        <f>+AV31</f>
        <v>PmO</v>
      </c>
      <c r="AW33" s="160"/>
      <c r="AX33" s="1386"/>
      <c r="AZ33" s="1383"/>
      <c r="BA33" s="159" t="str">
        <f>BA25</f>
        <v xml:space="preserve">C </v>
      </c>
      <c r="BB33" s="160"/>
      <c r="BC33" s="159" t="str">
        <f>BC25</f>
        <v>A</v>
      </c>
      <c r="BD33" s="160"/>
      <c r="BE33" s="160"/>
      <c r="BF33" s="159" t="str">
        <f>+BF31</f>
        <v>Um/A</v>
      </c>
      <c r="BG33" s="160"/>
      <c r="BH33" s="159" t="str">
        <f>+BH31</f>
        <v>CmO</v>
      </c>
      <c r="BI33" s="160"/>
      <c r="BJ33" s="1386"/>
      <c r="BL33" s="1392"/>
      <c r="BM33" s="159" t="str">
        <f>BM25</f>
        <v xml:space="preserve">B </v>
      </c>
      <c r="BN33" s="160"/>
      <c r="BO33" s="159" t="str">
        <f>BO25</f>
        <v>A</v>
      </c>
      <c r="BP33" s="160"/>
      <c r="BQ33" s="160"/>
      <c r="BR33" s="159" t="str">
        <f>+BR31</f>
        <v>Um/A</v>
      </c>
      <c r="BS33" s="160"/>
      <c r="BT33" s="159" t="str">
        <f>+BT31</f>
        <v>BmO</v>
      </c>
      <c r="BU33" s="160"/>
      <c r="BV33" s="1386"/>
    </row>
    <row r="34" spans="2:74" ht="21" x14ac:dyDescent="0.25">
      <c r="B34" s="1380"/>
      <c r="C34" s="1377"/>
      <c r="D34" s="1383"/>
      <c r="E34" s="147">
        <f>+Q34+AC34+AO34</f>
        <v>53661.5625</v>
      </c>
      <c r="F34" s="156" t="s">
        <v>48</v>
      </c>
      <c r="G34" s="148">
        <f>'% Occupation'!G19</f>
        <v>2975</v>
      </c>
      <c r="H34" s="156" t="s">
        <v>50</v>
      </c>
      <c r="I34" s="156" t="s">
        <v>51</v>
      </c>
      <c r="J34" s="149">
        <f>+V34+AH34+AT34</f>
        <v>2.2000000000000002</v>
      </c>
      <c r="K34" s="156" t="s">
        <v>50</v>
      </c>
      <c r="L34" s="147">
        <f>E34/G34/J34</f>
        <v>8.1988636363636367</v>
      </c>
      <c r="M34" s="156" t="s">
        <v>54</v>
      </c>
      <c r="N34" s="1386"/>
      <c r="P34" s="1383"/>
      <c r="Q34" s="147">
        <f>+S34*(V34*X34)</f>
        <v>15046.062500000004</v>
      </c>
      <c r="R34" s="156" t="s">
        <v>48</v>
      </c>
      <c r="S34" s="148">
        <f>G34</f>
        <v>2975</v>
      </c>
      <c r="T34" s="156" t="s">
        <v>50</v>
      </c>
      <c r="U34" s="156" t="s">
        <v>51</v>
      </c>
      <c r="V34" s="296">
        <f>'Calcul CmO et PmO'!L150</f>
        <v>1.05</v>
      </c>
      <c r="W34" s="306" t="s">
        <v>50</v>
      </c>
      <c r="X34" s="297">
        <f>'Calcul CmO et PmO'!F150</f>
        <v>4.8166666666666673</v>
      </c>
      <c r="Y34" s="156" t="s">
        <v>54</v>
      </c>
      <c r="Z34" s="1386"/>
      <c r="AB34" s="1383"/>
      <c r="AC34" s="147">
        <f>+AE34*(AH34*AJ34)</f>
        <v>29779.75</v>
      </c>
      <c r="AD34" s="156" t="s">
        <v>48</v>
      </c>
      <c r="AE34" s="148">
        <f>S34</f>
        <v>2975</v>
      </c>
      <c r="AF34" s="156" t="s">
        <v>50</v>
      </c>
      <c r="AG34" s="156" t="s">
        <v>51</v>
      </c>
      <c r="AH34" s="296">
        <f>'Calcul CmO et PmO'!L165</f>
        <v>1.05</v>
      </c>
      <c r="AI34" s="306" t="s">
        <v>50</v>
      </c>
      <c r="AJ34" s="297">
        <f>'Calcul CmO et PmO'!F165</f>
        <v>9.5333333333333332</v>
      </c>
      <c r="AK34" s="156" t="s">
        <v>54</v>
      </c>
      <c r="AL34" s="1386"/>
      <c r="AN34" s="1383"/>
      <c r="AO34" s="147">
        <f>+AQ34*(AT34*AV34)</f>
        <v>8835.75</v>
      </c>
      <c r="AP34" s="156" t="s">
        <v>48</v>
      </c>
      <c r="AQ34" s="148">
        <f>AE34</f>
        <v>2975</v>
      </c>
      <c r="AR34" s="156" t="s">
        <v>50</v>
      </c>
      <c r="AS34" s="156" t="s">
        <v>51</v>
      </c>
      <c r="AT34" s="150">
        <v>0.1</v>
      </c>
      <c r="AU34" s="156" t="s">
        <v>50</v>
      </c>
      <c r="AV34" s="297">
        <f>'Calcul CmO, PmO, Etc.'!E28</f>
        <v>29.7</v>
      </c>
      <c r="AW34" s="156" t="s">
        <v>54</v>
      </c>
      <c r="AX34" s="1386"/>
      <c r="AZ34" s="1383"/>
      <c r="BA34" s="147">
        <f>+'État des Résultats'!N16+'État des Résultats'!N21+'État des Résultats'!N34+'État des Résultats'!N38+'État des Résultats'!N39+'État des Résultats'!N43</f>
        <v>53826.324021778841</v>
      </c>
      <c r="BB34" s="156" t="s">
        <v>48</v>
      </c>
      <c r="BC34" s="148">
        <f>G34</f>
        <v>2975</v>
      </c>
      <c r="BD34" s="156" t="s">
        <v>50</v>
      </c>
      <c r="BE34" s="156" t="s">
        <v>51</v>
      </c>
      <c r="BF34" s="149">
        <f>J34</f>
        <v>2.2000000000000002</v>
      </c>
      <c r="BG34" s="156" t="s">
        <v>50</v>
      </c>
      <c r="BH34" s="197">
        <f>+BA34/BC34/BF34</f>
        <v>8.2240372836942459</v>
      </c>
      <c r="BI34" s="156" t="s">
        <v>54</v>
      </c>
      <c r="BJ34" s="1386"/>
      <c r="BL34" s="1392"/>
      <c r="BM34" s="147">
        <f>E34-BA34</f>
        <v>-164.76152177884069</v>
      </c>
      <c r="BN34" s="156" t="s">
        <v>48</v>
      </c>
      <c r="BO34" s="148">
        <f>S34</f>
        <v>2975</v>
      </c>
      <c r="BP34" s="156" t="s">
        <v>50</v>
      </c>
      <c r="BQ34" s="156" t="s">
        <v>51</v>
      </c>
      <c r="BR34" s="149">
        <f>J34</f>
        <v>2.2000000000000002</v>
      </c>
      <c r="BS34" s="156" t="s">
        <v>50</v>
      </c>
      <c r="BT34" s="147">
        <f>BM34/BO34/BR34</f>
        <v>-2.5173647330609731E-2</v>
      </c>
      <c r="BU34" s="156" t="s">
        <v>54</v>
      </c>
      <c r="BV34" s="1386"/>
    </row>
    <row r="35" spans="2:74" ht="17" thickBot="1" x14ac:dyDescent="0.25">
      <c r="B35" s="1380"/>
      <c r="C35" s="1377"/>
      <c r="D35" s="1384"/>
      <c r="E35" s="161"/>
      <c r="F35" s="161"/>
      <c r="G35" s="161"/>
      <c r="H35" s="161"/>
      <c r="I35" s="161"/>
      <c r="J35" s="161"/>
      <c r="K35" s="161"/>
      <c r="L35" s="161"/>
      <c r="M35" s="161"/>
      <c r="N35" s="1387"/>
      <c r="P35" s="1384"/>
      <c r="Q35" s="161"/>
      <c r="R35" s="161"/>
      <c r="S35" s="161"/>
      <c r="T35" s="161"/>
      <c r="U35" s="161"/>
      <c r="V35" s="314"/>
      <c r="W35" s="314"/>
      <c r="X35" s="314"/>
      <c r="Y35" s="161"/>
      <c r="Z35" s="1387"/>
      <c r="AB35" s="1384"/>
      <c r="AC35" s="161"/>
      <c r="AD35" s="161"/>
      <c r="AE35" s="161"/>
      <c r="AF35" s="161"/>
      <c r="AG35" s="161"/>
      <c r="AH35" s="314"/>
      <c r="AI35" s="314"/>
      <c r="AJ35" s="314"/>
      <c r="AK35" s="161"/>
      <c r="AL35" s="1387"/>
      <c r="AN35" s="1384"/>
      <c r="AO35" s="161"/>
      <c r="AP35" s="161"/>
      <c r="AQ35" s="161"/>
      <c r="AR35" s="161"/>
      <c r="AS35" s="161"/>
      <c r="AT35" s="161"/>
      <c r="AU35" s="161"/>
      <c r="AV35" s="428"/>
      <c r="AW35" s="161"/>
      <c r="AX35" s="1387"/>
      <c r="AZ35" s="1384"/>
      <c r="BA35" s="161"/>
      <c r="BB35" s="161"/>
      <c r="BC35" s="161"/>
      <c r="BD35" s="161"/>
      <c r="BE35" s="161"/>
      <c r="BF35" s="161"/>
      <c r="BG35" s="161"/>
      <c r="BH35" s="161"/>
      <c r="BI35" s="161"/>
      <c r="BJ35" s="1387"/>
      <c r="BL35" s="1393"/>
      <c r="BM35" s="161"/>
      <c r="BN35" s="161"/>
      <c r="BO35" s="161"/>
      <c r="BP35" s="161"/>
      <c r="BQ35" s="161"/>
      <c r="BR35" s="161"/>
      <c r="BS35" s="161"/>
      <c r="BT35" s="161"/>
      <c r="BU35" s="161"/>
      <c r="BV35" s="1387"/>
    </row>
    <row r="36" spans="2:74" ht="5" customHeight="1" thickTop="1" thickBot="1" x14ac:dyDescent="0.2">
      <c r="B36" s="1380"/>
      <c r="C36" s="139"/>
      <c r="V36" s="302"/>
      <c r="W36" s="302"/>
      <c r="X36" s="302"/>
      <c r="AH36" s="302"/>
      <c r="AI36" s="302"/>
      <c r="AJ36" s="302"/>
      <c r="AV36" s="302"/>
    </row>
    <row r="37" spans="2:74" ht="17" thickTop="1" x14ac:dyDescent="0.2">
      <c r="B37" s="1380"/>
      <c r="C37" s="1377">
        <v>5</v>
      </c>
      <c r="D37" s="1382" t="s">
        <v>45</v>
      </c>
      <c r="E37" s="154"/>
      <c r="F37" s="154"/>
      <c r="G37" s="200" t="str">
        <f>'Achalandage journalier'!H5</f>
        <v>Pér.05</v>
      </c>
      <c r="H37" s="154"/>
      <c r="I37" s="154"/>
      <c r="J37" s="154"/>
      <c r="K37" s="154"/>
      <c r="L37" s="154"/>
      <c r="M37" s="154"/>
      <c r="N37" s="1385" t="s">
        <v>46</v>
      </c>
      <c r="P37" s="1382" t="s">
        <v>45</v>
      </c>
      <c r="Q37" s="154"/>
      <c r="R37" s="154"/>
      <c r="S37" s="200" t="str">
        <f>G37</f>
        <v>Pér.05</v>
      </c>
      <c r="T37" s="154"/>
      <c r="U37" s="154"/>
      <c r="V37" s="315"/>
      <c r="W37" s="315"/>
      <c r="X37" s="315"/>
      <c r="Y37" s="154"/>
      <c r="Z37" s="1385" t="s">
        <v>46</v>
      </c>
      <c r="AB37" s="1382" t="s">
        <v>45</v>
      </c>
      <c r="AC37" s="154"/>
      <c r="AD37" s="154"/>
      <c r="AE37" s="200" t="str">
        <f>S37</f>
        <v>Pér.05</v>
      </c>
      <c r="AF37" s="154"/>
      <c r="AG37" s="154"/>
      <c r="AH37" s="315"/>
      <c r="AI37" s="315"/>
      <c r="AJ37" s="315"/>
      <c r="AK37" s="154"/>
      <c r="AL37" s="1385" t="s">
        <v>46</v>
      </c>
      <c r="AN37" s="1382" t="s">
        <v>45</v>
      </c>
      <c r="AO37" s="154"/>
      <c r="AP37" s="154"/>
      <c r="AQ37" s="200" t="str">
        <f>AE37</f>
        <v>Pér.05</v>
      </c>
      <c r="AR37" s="154"/>
      <c r="AS37" s="154"/>
      <c r="AT37" s="154"/>
      <c r="AU37" s="154"/>
      <c r="AV37" s="426"/>
      <c r="AW37" s="154"/>
      <c r="AX37" s="1385" t="s">
        <v>46</v>
      </c>
      <c r="AZ37" s="1382" t="s">
        <v>45</v>
      </c>
      <c r="BA37" s="154"/>
      <c r="BB37" s="154"/>
      <c r="BC37" s="200" t="str">
        <f>AQ37</f>
        <v>Pér.05</v>
      </c>
      <c r="BD37" s="154"/>
      <c r="BE37" s="154"/>
      <c r="BF37" s="154"/>
      <c r="BG37" s="154"/>
      <c r="BH37" s="154"/>
      <c r="BI37" s="154"/>
      <c r="BJ37" s="1385" t="s">
        <v>46</v>
      </c>
      <c r="BL37" s="1382" t="s">
        <v>45</v>
      </c>
      <c r="BM37" s="154"/>
      <c r="BN37" s="154"/>
      <c r="BO37" s="200" t="str">
        <f>BC37</f>
        <v>Pér.05</v>
      </c>
      <c r="BP37" s="154"/>
      <c r="BQ37" s="154"/>
      <c r="BR37" s="154"/>
      <c r="BS37" s="154"/>
      <c r="BT37" s="154"/>
      <c r="BU37" s="154"/>
      <c r="BV37" s="1385" t="s">
        <v>46</v>
      </c>
    </row>
    <row r="38" spans="2:74" ht="16" x14ac:dyDescent="0.2">
      <c r="B38" s="1380"/>
      <c r="C38" s="1377"/>
      <c r="D38" s="1383"/>
      <c r="E38" s="155"/>
      <c r="F38" s="155"/>
      <c r="G38" s="155"/>
      <c r="H38" s="155"/>
      <c r="I38" s="155"/>
      <c r="J38" s="155"/>
      <c r="K38" s="155"/>
      <c r="L38" s="155"/>
      <c r="M38" s="155"/>
      <c r="N38" s="1386"/>
      <c r="P38" s="1383"/>
      <c r="Q38" s="155"/>
      <c r="R38" s="155"/>
      <c r="S38" s="155"/>
      <c r="T38" s="155"/>
      <c r="U38" s="155"/>
      <c r="V38" s="316"/>
      <c r="W38" s="316"/>
      <c r="X38" s="316"/>
      <c r="Y38" s="155"/>
      <c r="Z38" s="1386"/>
      <c r="AB38" s="1383"/>
      <c r="AC38" s="155"/>
      <c r="AD38" s="155"/>
      <c r="AE38" s="155"/>
      <c r="AF38" s="155"/>
      <c r="AG38" s="155"/>
      <c r="AH38" s="316"/>
      <c r="AI38" s="316"/>
      <c r="AJ38" s="316"/>
      <c r="AK38" s="155"/>
      <c r="AL38" s="1386"/>
      <c r="AN38" s="1383"/>
      <c r="AO38" s="155"/>
      <c r="AP38" s="155"/>
      <c r="AQ38" s="155"/>
      <c r="AR38" s="155"/>
      <c r="AS38" s="155"/>
      <c r="AT38" s="155"/>
      <c r="AU38" s="155"/>
      <c r="AV38" s="427"/>
      <c r="AW38" s="155"/>
      <c r="AX38" s="1386"/>
      <c r="AZ38" s="1383"/>
      <c r="BA38" s="155"/>
      <c r="BB38" s="155"/>
      <c r="BC38" s="155"/>
      <c r="BD38" s="155"/>
      <c r="BE38" s="155"/>
      <c r="BF38" s="155"/>
      <c r="BG38" s="155"/>
      <c r="BH38" s="155"/>
      <c r="BI38" s="155"/>
      <c r="BJ38" s="1386"/>
      <c r="BL38" s="1383"/>
      <c r="BM38" s="155"/>
      <c r="BN38" s="155"/>
      <c r="BO38" s="155"/>
      <c r="BP38" s="155"/>
      <c r="BQ38" s="155"/>
      <c r="BR38" s="155"/>
      <c r="BS38" s="155"/>
      <c r="BT38" s="155"/>
      <c r="BU38" s="155"/>
      <c r="BV38" s="1386"/>
    </row>
    <row r="39" spans="2:74" ht="21" x14ac:dyDescent="0.25">
      <c r="B39" s="1380"/>
      <c r="C39" s="1377"/>
      <c r="D39" s="1383"/>
      <c r="E39" s="156" t="str">
        <f>E31</f>
        <v>Demande mensuelle</v>
      </c>
      <c r="F39" s="156" t="s">
        <v>48</v>
      </c>
      <c r="G39" s="156" t="str">
        <f>G31</f>
        <v>Achalandage mensuel</v>
      </c>
      <c r="H39" s="156" t="s">
        <v>50</v>
      </c>
      <c r="I39" s="156" t="s">
        <v>51</v>
      </c>
      <c r="J39" s="156" t="str">
        <f>J31</f>
        <v>Um/A</v>
      </c>
      <c r="K39" s="156" t="s">
        <v>50</v>
      </c>
      <c r="L39" s="156" t="str">
        <f>L31</f>
        <v>PmO</v>
      </c>
      <c r="M39" s="156" t="s">
        <v>54</v>
      </c>
      <c r="N39" s="1386"/>
      <c r="P39" s="1383"/>
      <c r="Q39" s="156" t="str">
        <f>Q31</f>
        <v>Demande mensuelle</v>
      </c>
      <c r="R39" s="156" t="s">
        <v>48</v>
      </c>
      <c r="S39" s="156" t="str">
        <f>S31</f>
        <v>Achalandage mensuel</v>
      </c>
      <c r="T39" s="156" t="s">
        <v>50</v>
      </c>
      <c r="U39" s="156" t="s">
        <v>51</v>
      </c>
      <c r="V39" s="306" t="str">
        <f>V31</f>
        <v>Um/A</v>
      </c>
      <c r="W39" s="306" t="s">
        <v>50</v>
      </c>
      <c r="X39" s="306" t="str">
        <f>X31</f>
        <v>PmO</v>
      </c>
      <c r="Y39" s="156" t="s">
        <v>54</v>
      </c>
      <c r="Z39" s="1386"/>
      <c r="AB39" s="1383"/>
      <c r="AC39" s="156" t="str">
        <f>AC31</f>
        <v>Demande mensuelle</v>
      </c>
      <c r="AD39" s="156" t="s">
        <v>48</v>
      </c>
      <c r="AE39" s="156" t="str">
        <f>AE31</f>
        <v>Achalandage mensuel</v>
      </c>
      <c r="AF39" s="156" t="s">
        <v>50</v>
      </c>
      <c r="AG39" s="156" t="s">
        <v>51</v>
      </c>
      <c r="AH39" s="306" t="str">
        <f>AH31</f>
        <v>Um/A</v>
      </c>
      <c r="AI39" s="306" t="s">
        <v>50</v>
      </c>
      <c r="AJ39" s="306" t="str">
        <f>AJ31</f>
        <v>PmO</v>
      </c>
      <c r="AK39" s="156" t="s">
        <v>54</v>
      </c>
      <c r="AL39" s="1386"/>
      <c r="AN39" s="1383"/>
      <c r="AO39" s="156" t="str">
        <f>AO31</f>
        <v>Demande mensuelle</v>
      </c>
      <c r="AP39" s="156" t="s">
        <v>48</v>
      </c>
      <c r="AQ39" s="156" t="str">
        <f>AQ31</f>
        <v>Achalandage mensuel</v>
      </c>
      <c r="AR39" s="156" t="s">
        <v>50</v>
      </c>
      <c r="AS39" s="156" t="s">
        <v>51</v>
      </c>
      <c r="AT39" s="156" t="str">
        <f>AT31</f>
        <v>Um/A</v>
      </c>
      <c r="AU39" s="156" t="s">
        <v>50</v>
      </c>
      <c r="AV39" s="306" t="str">
        <f>AV31</f>
        <v>PmO</v>
      </c>
      <c r="AW39" s="156" t="s">
        <v>54</v>
      </c>
      <c r="AX39" s="1386"/>
      <c r="AZ39" s="1383"/>
      <c r="BA39" s="156" t="str">
        <f>BA31</f>
        <v>Coût mensuel</v>
      </c>
      <c r="BB39" s="156" t="s">
        <v>48</v>
      </c>
      <c r="BC39" s="156" t="str">
        <f>BC31</f>
        <v>Achalandage mensuel</v>
      </c>
      <c r="BD39" s="156" t="s">
        <v>50</v>
      </c>
      <c r="BE39" s="156" t="s">
        <v>51</v>
      </c>
      <c r="BF39" s="156" t="str">
        <f>BF31</f>
        <v>Um/A</v>
      </c>
      <c r="BG39" s="156" t="s">
        <v>50</v>
      </c>
      <c r="BH39" s="156" t="str">
        <f>BH31</f>
        <v>CmO</v>
      </c>
      <c r="BI39" s="156" t="s">
        <v>54</v>
      </c>
      <c r="BJ39" s="1386"/>
      <c r="BL39" s="1383"/>
      <c r="BM39" s="156" t="str">
        <f>BM31</f>
        <v>Bénéfice mensuel</v>
      </c>
      <c r="BN39" s="156" t="s">
        <v>48</v>
      </c>
      <c r="BO39" s="156" t="str">
        <f>BO31</f>
        <v>Achalandage mensuel</v>
      </c>
      <c r="BP39" s="156" t="s">
        <v>50</v>
      </c>
      <c r="BQ39" s="156" t="s">
        <v>51</v>
      </c>
      <c r="BR39" s="156" t="str">
        <f>BR31</f>
        <v>Um/A</v>
      </c>
      <c r="BS39" s="156" t="s">
        <v>50</v>
      </c>
      <c r="BT39" s="156" t="str">
        <f>BT31</f>
        <v>BmO</v>
      </c>
      <c r="BU39" s="156" t="s">
        <v>54</v>
      </c>
      <c r="BV39" s="1386"/>
    </row>
    <row r="40" spans="2:74" ht="19" x14ac:dyDescent="0.25">
      <c r="B40" s="1380"/>
      <c r="C40" s="1377"/>
      <c r="D40" s="1383"/>
      <c r="E40" s="157" t="s">
        <v>1</v>
      </c>
      <c r="F40" s="158"/>
      <c r="G40" s="157"/>
      <c r="H40" s="158"/>
      <c r="I40" s="158"/>
      <c r="J40" s="158"/>
      <c r="K40" s="158"/>
      <c r="L40" s="158"/>
      <c r="M40" s="158"/>
      <c r="N40" s="1386"/>
      <c r="P40" s="1383"/>
      <c r="Q40" s="157" t="s">
        <v>1</v>
      </c>
      <c r="R40" s="158"/>
      <c r="S40" s="157"/>
      <c r="T40" s="158"/>
      <c r="U40" s="158"/>
      <c r="V40" s="312"/>
      <c r="W40" s="312"/>
      <c r="X40" s="312"/>
      <c r="Y40" s="158"/>
      <c r="Z40" s="1386"/>
      <c r="AB40" s="1383"/>
      <c r="AC40" s="157" t="s">
        <v>1</v>
      </c>
      <c r="AD40" s="158"/>
      <c r="AE40" s="157"/>
      <c r="AF40" s="158"/>
      <c r="AG40" s="158"/>
      <c r="AH40" s="312"/>
      <c r="AI40" s="312"/>
      <c r="AJ40" s="312"/>
      <c r="AK40" s="158"/>
      <c r="AL40" s="1386"/>
      <c r="AN40" s="1383"/>
      <c r="AO40" s="157" t="s">
        <v>1</v>
      </c>
      <c r="AP40" s="158"/>
      <c r="AQ40" s="157"/>
      <c r="AR40" s="158"/>
      <c r="AS40" s="158"/>
      <c r="AT40" s="158"/>
      <c r="AU40" s="158"/>
      <c r="AV40" s="312"/>
      <c r="AW40" s="158"/>
      <c r="AX40" s="1386"/>
      <c r="AZ40" s="1383"/>
      <c r="BA40" s="157" t="s">
        <v>1</v>
      </c>
      <c r="BB40" s="158"/>
      <c r="BC40" s="157"/>
      <c r="BD40" s="158"/>
      <c r="BE40" s="158"/>
      <c r="BF40" s="158"/>
      <c r="BG40" s="158"/>
      <c r="BH40" s="158"/>
      <c r="BI40" s="158"/>
      <c r="BJ40" s="1386"/>
      <c r="BL40" s="1383"/>
      <c r="BM40" s="157" t="s">
        <v>1</v>
      </c>
      <c r="BN40" s="158"/>
      <c r="BO40" s="157"/>
      <c r="BP40" s="158"/>
      <c r="BQ40" s="158"/>
      <c r="BR40" s="158"/>
      <c r="BS40" s="158"/>
      <c r="BT40" s="158"/>
      <c r="BU40" s="158"/>
      <c r="BV40" s="1386"/>
    </row>
    <row r="41" spans="2:74" ht="26" x14ac:dyDescent="0.3">
      <c r="B41" s="1380"/>
      <c r="C41" s="1377"/>
      <c r="D41" s="1383"/>
      <c r="E41" s="159" t="str">
        <f>E33</f>
        <v>D</v>
      </c>
      <c r="F41" s="160"/>
      <c r="G41" s="159" t="str">
        <f>G33</f>
        <v>A</v>
      </c>
      <c r="H41" s="160"/>
      <c r="I41" s="160"/>
      <c r="J41" s="159" t="str">
        <f>+J39</f>
        <v>Um/A</v>
      </c>
      <c r="K41" s="160"/>
      <c r="L41" s="159" t="str">
        <f>+L39</f>
        <v>PmO</v>
      </c>
      <c r="M41" s="160"/>
      <c r="N41" s="1386"/>
      <c r="P41" s="1383"/>
      <c r="Q41" s="159" t="str">
        <f>Q33</f>
        <v>D</v>
      </c>
      <c r="R41" s="160"/>
      <c r="S41" s="159" t="str">
        <f>S33</f>
        <v>A</v>
      </c>
      <c r="T41" s="160"/>
      <c r="U41" s="160"/>
      <c r="V41" s="307" t="str">
        <f>+V39</f>
        <v>Um/A</v>
      </c>
      <c r="W41" s="313"/>
      <c r="X41" s="307" t="str">
        <f>+X39</f>
        <v>PmO</v>
      </c>
      <c r="Y41" s="160"/>
      <c r="Z41" s="1386"/>
      <c r="AB41" s="1383"/>
      <c r="AC41" s="159" t="str">
        <f>AC33</f>
        <v>D</v>
      </c>
      <c r="AD41" s="160"/>
      <c r="AE41" s="159" t="str">
        <f>AE33</f>
        <v>A</v>
      </c>
      <c r="AF41" s="160"/>
      <c r="AG41" s="160"/>
      <c r="AH41" s="307" t="str">
        <f>+AH39</f>
        <v>Um/A</v>
      </c>
      <c r="AI41" s="313"/>
      <c r="AJ41" s="307" t="str">
        <f>+AJ39</f>
        <v>PmO</v>
      </c>
      <c r="AK41" s="160"/>
      <c r="AL41" s="1386"/>
      <c r="AN41" s="1383"/>
      <c r="AO41" s="159" t="str">
        <f>AO33</f>
        <v>D</v>
      </c>
      <c r="AP41" s="160"/>
      <c r="AQ41" s="159" t="str">
        <f>AQ33</f>
        <v>A</v>
      </c>
      <c r="AR41" s="160"/>
      <c r="AS41" s="160"/>
      <c r="AT41" s="159" t="str">
        <f>+AT39</f>
        <v>Um/A</v>
      </c>
      <c r="AU41" s="160"/>
      <c r="AV41" s="307" t="str">
        <f>+AV39</f>
        <v>PmO</v>
      </c>
      <c r="AW41" s="160"/>
      <c r="AX41" s="1386"/>
      <c r="AZ41" s="1383"/>
      <c r="BA41" s="159" t="str">
        <f>BA33</f>
        <v xml:space="preserve">C </v>
      </c>
      <c r="BB41" s="160"/>
      <c r="BC41" s="159" t="str">
        <f>BC33</f>
        <v>A</v>
      </c>
      <c r="BD41" s="160"/>
      <c r="BE41" s="160"/>
      <c r="BF41" s="159" t="str">
        <f>+BF39</f>
        <v>Um/A</v>
      </c>
      <c r="BG41" s="160"/>
      <c r="BH41" s="159" t="str">
        <f>+BH39</f>
        <v>CmO</v>
      </c>
      <c r="BI41" s="160"/>
      <c r="BJ41" s="1386"/>
      <c r="BL41" s="1383"/>
      <c r="BM41" s="159" t="str">
        <f>BM33</f>
        <v xml:space="preserve">B </v>
      </c>
      <c r="BN41" s="160"/>
      <c r="BO41" s="159" t="str">
        <f>BO33</f>
        <v>A</v>
      </c>
      <c r="BP41" s="160"/>
      <c r="BQ41" s="160"/>
      <c r="BR41" s="159" t="str">
        <f>+BR39</f>
        <v>Um/A</v>
      </c>
      <c r="BS41" s="160"/>
      <c r="BT41" s="159" t="str">
        <f>+BT39</f>
        <v>BmO</v>
      </c>
      <c r="BU41" s="160"/>
      <c r="BV41" s="1386"/>
    </row>
    <row r="42" spans="2:74" ht="21" x14ac:dyDescent="0.25">
      <c r="B42" s="1380"/>
      <c r="C42" s="1377"/>
      <c r="D42" s="1383"/>
      <c r="E42" s="147">
        <f>+Q42+AC42+AO42</f>
        <v>66197.625</v>
      </c>
      <c r="F42" s="156" t="s">
        <v>48</v>
      </c>
      <c r="G42" s="148">
        <f>'% Occupation'!H19</f>
        <v>3670</v>
      </c>
      <c r="H42" s="156" t="s">
        <v>50</v>
      </c>
      <c r="I42" s="156" t="s">
        <v>51</v>
      </c>
      <c r="J42" s="149">
        <f>+V42+AH42+AT42</f>
        <v>2.2000000000000002</v>
      </c>
      <c r="K42" s="156" t="s">
        <v>50</v>
      </c>
      <c r="L42" s="147">
        <f>E42/G42/J42</f>
        <v>8.1988636363636367</v>
      </c>
      <c r="M42" s="156" t="s">
        <v>54</v>
      </c>
      <c r="N42" s="1386"/>
      <c r="P42" s="1383"/>
      <c r="Q42" s="147">
        <f>+S42*(V42*X42)</f>
        <v>18561.025000000005</v>
      </c>
      <c r="R42" s="156" t="s">
        <v>48</v>
      </c>
      <c r="S42" s="148">
        <f>G42</f>
        <v>3670</v>
      </c>
      <c r="T42" s="156" t="s">
        <v>50</v>
      </c>
      <c r="U42" s="156" t="s">
        <v>51</v>
      </c>
      <c r="V42" s="296">
        <f>'Calcul CmO et PmO'!L193</f>
        <v>1.05</v>
      </c>
      <c r="W42" s="306" t="s">
        <v>50</v>
      </c>
      <c r="X42" s="297">
        <f>'Calcul CmO et PmO'!F193</f>
        <v>4.8166666666666673</v>
      </c>
      <c r="Y42" s="156" t="s">
        <v>54</v>
      </c>
      <c r="Z42" s="1386"/>
      <c r="AB42" s="1383"/>
      <c r="AC42" s="147">
        <f>+AE42*(AH42*AJ42)</f>
        <v>36736.699999999997</v>
      </c>
      <c r="AD42" s="156" t="s">
        <v>48</v>
      </c>
      <c r="AE42" s="148">
        <f>S42</f>
        <v>3670</v>
      </c>
      <c r="AF42" s="156" t="s">
        <v>50</v>
      </c>
      <c r="AG42" s="156" t="s">
        <v>51</v>
      </c>
      <c r="AH42" s="296">
        <f>'Calcul CmO et PmO'!L208</f>
        <v>1.05</v>
      </c>
      <c r="AI42" s="306" t="s">
        <v>50</v>
      </c>
      <c r="AJ42" s="297">
        <f>'Calcul CmO et PmO'!F208</f>
        <v>9.5333333333333332</v>
      </c>
      <c r="AK42" s="156" t="s">
        <v>54</v>
      </c>
      <c r="AL42" s="1386"/>
      <c r="AN42" s="1383"/>
      <c r="AO42" s="147">
        <f>+AQ42*(AT42*AV42)</f>
        <v>10899.900000000001</v>
      </c>
      <c r="AP42" s="156" t="s">
        <v>48</v>
      </c>
      <c r="AQ42" s="148">
        <f>AE42</f>
        <v>3670</v>
      </c>
      <c r="AR42" s="156" t="s">
        <v>50</v>
      </c>
      <c r="AS42" s="156" t="s">
        <v>51</v>
      </c>
      <c r="AT42" s="150">
        <v>0.1</v>
      </c>
      <c r="AU42" s="156" t="s">
        <v>50</v>
      </c>
      <c r="AV42" s="297">
        <f>'Calcul CmO, PmO, Etc.'!E28</f>
        <v>29.7</v>
      </c>
      <c r="AW42" s="156" t="s">
        <v>54</v>
      </c>
      <c r="AX42" s="1386"/>
      <c r="AZ42" s="1383"/>
      <c r="BA42" s="147">
        <f>+'État des Résultats'!Q16+'État des Résultats'!Q21+'État des Résultats'!Q34+'État des Résultats'!Q38+'État des Résultats'!Q39+'État des Résultats'!Q43</f>
        <v>64221.015054403848</v>
      </c>
      <c r="BB42" s="156" t="s">
        <v>48</v>
      </c>
      <c r="BC42" s="148">
        <f>G42</f>
        <v>3670</v>
      </c>
      <c r="BD42" s="156" t="s">
        <v>50</v>
      </c>
      <c r="BE42" s="156" t="s">
        <v>51</v>
      </c>
      <c r="BF42" s="149">
        <f>J42</f>
        <v>2.2000000000000002</v>
      </c>
      <c r="BG42" s="156" t="s">
        <v>50</v>
      </c>
      <c r="BH42" s="197">
        <f>+BA42/BC42/BF42</f>
        <v>7.9540519017096649</v>
      </c>
      <c r="BI42" s="156" t="s">
        <v>54</v>
      </c>
      <c r="BJ42" s="1386"/>
      <c r="BL42" s="1383"/>
      <c r="BM42" s="147">
        <f>E42-BA42</f>
        <v>1976.6099455961521</v>
      </c>
      <c r="BN42" s="156" t="s">
        <v>48</v>
      </c>
      <c r="BO42" s="148">
        <f>S42</f>
        <v>3670</v>
      </c>
      <c r="BP42" s="156" t="s">
        <v>50</v>
      </c>
      <c r="BQ42" s="156" t="s">
        <v>51</v>
      </c>
      <c r="BR42" s="149">
        <f>J42</f>
        <v>2.2000000000000002</v>
      </c>
      <c r="BS42" s="156" t="s">
        <v>50</v>
      </c>
      <c r="BT42" s="147">
        <f>BM42/BO42/BR42</f>
        <v>0.2448117346539698</v>
      </c>
      <c r="BU42" s="156" t="s">
        <v>54</v>
      </c>
      <c r="BV42" s="1386"/>
    </row>
    <row r="43" spans="2:74" ht="17" thickBot="1" x14ac:dyDescent="0.25">
      <c r="B43" s="1380"/>
      <c r="C43" s="1377"/>
      <c r="D43" s="1384"/>
      <c r="E43" s="161"/>
      <c r="F43" s="161"/>
      <c r="G43" s="161"/>
      <c r="H43" s="161"/>
      <c r="I43" s="161"/>
      <c r="J43" s="161"/>
      <c r="K43" s="161"/>
      <c r="L43" s="161"/>
      <c r="M43" s="161"/>
      <c r="N43" s="1387"/>
      <c r="P43" s="1384"/>
      <c r="Q43" s="161"/>
      <c r="R43" s="161"/>
      <c r="S43" s="161"/>
      <c r="T43" s="161"/>
      <c r="U43" s="161"/>
      <c r="V43" s="314"/>
      <c r="W43" s="314"/>
      <c r="X43" s="314"/>
      <c r="Y43" s="161"/>
      <c r="Z43" s="1387"/>
      <c r="AB43" s="1384"/>
      <c r="AC43" s="161"/>
      <c r="AD43" s="161"/>
      <c r="AE43" s="161"/>
      <c r="AF43" s="161"/>
      <c r="AG43" s="161"/>
      <c r="AH43" s="314"/>
      <c r="AI43" s="314"/>
      <c r="AJ43" s="314"/>
      <c r="AK43" s="161"/>
      <c r="AL43" s="1387"/>
      <c r="AN43" s="1384"/>
      <c r="AO43" s="161"/>
      <c r="AP43" s="161"/>
      <c r="AQ43" s="161"/>
      <c r="AR43" s="161"/>
      <c r="AS43" s="161"/>
      <c r="AT43" s="161"/>
      <c r="AU43" s="161"/>
      <c r="AV43" s="428"/>
      <c r="AW43" s="161"/>
      <c r="AX43" s="1387"/>
      <c r="AZ43" s="1384"/>
      <c r="BA43" s="161"/>
      <c r="BB43" s="161"/>
      <c r="BC43" s="161"/>
      <c r="BD43" s="161"/>
      <c r="BE43" s="161"/>
      <c r="BF43" s="161"/>
      <c r="BG43" s="161"/>
      <c r="BH43" s="161"/>
      <c r="BI43" s="161"/>
      <c r="BJ43" s="1387"/>
      <c r="BL43" s="1384"/>
      <c r="BM43" s="161"/>
      <c r="BN43" s="161"/>
      <c r="BO43" s="161"/>
      <c r="BP43" s="161"/>
      <c r="BQ43" s="161"/>
      <c r="BR43" s="161"/>
      <c r="BS43" s="161"/>
      <c r="BT43" s="161"/>
      <c r="BU43" s="161"/>
      <c r="BV43" s="1387"/>
    </row>
    <row r="44" spans="2:74" ht="5" customHeight="1" thickTop="1" thickBot="1" x14ac:dyDescent="0.2">
      <c r="B44" s="1380"/>
      <c r="C44" s="139"/>
      <c r="V44" s="302"/>
      <c r="W44" s="302"/>
      <c r="X44" s="302"/>
      <c r="AH44" s="302"/>
      <c r="AI44" s="302"/>
      <c r="AJ44" s="302"/>
      <c r="AV44" s="302"/>
    </row>
    <row r="45" spans="2:74" ht="17" thickTop="1" x14ac:dyDescent="0.2">
      <c r="B45" s="1380"/>
      <c r="C45" s="1377">
        <v>6</v>
      </c>
      <c r="D45" s="1382" t="s">
        <v>45</v>
      </c>
      <c r="E45" s="154"/>
      <c r="F45" s="154"/>
      <c r="G45" s="200" t="str">
        <f>'Achalandage journalier'!I5</f>
        <v>Pér.06</v>
      </c>
      <c r="H45" s="154"/>
      <c r="I45" s="154"/>
      <c r="J45" s="154"/>
      <c r="K45" s="154"/>
      <c r="L45" s="154"/>
      <c r="M45" s="154"/>
      <c r="N45" s="1385" t="s">
        <v>46</v>
      </c>
      <c r="P45" s="1382" t="s">
        <v>45</v>
      </c>
      <c r="Q45" s="154"/>
      <c r="R45" s="154"/>
      <c r="S45" s="200" t="str">
        <f>G45</f>
        <v>Pér.06</v>
      </c>
      <c r="T45" s="154"/>
      <c r="U45" s="154"/>
      <c r="V45" s="315"/>
      <c r="W45" s="315"/>
      <c r="X45" s="315"/>
      <c r="Y45" s="154"/>
      <c r="Z45" s="1385" t="s">
        <v>46</v>
      </c>
      <c r="AB45" s="1382" t="s">
        <v>45</v>
      </c>
      <c r="AC45" s="154"/>
      <c r="AD45" s="154"/>
      <c r="AE45" s="200" t="str">
        <f>S45</f>
        <v>Pér.06</v>
      </c>
      <c r="AF45" s="154"/>
      <c r="AG45" s="154"/>
      <c r="AH45" s="315"/>
      <c r="AI45" s="315"/>
      <c r="AJ45" s="315"/>
      <c r="AK45" s="154"/>
      <c r="AL45" s="1385" t="s">
        <v>46</v>
      </c>
      <c r="AN45" s="1382" t="s">
        <v>45</v>
      </c>
      <c r="AO45" s="154"/>
      <c r="AP45" s="154"/>
      <c r="AQ45" s="200" t="str">
        <f>AE45</f>
        <v>Pér.06</v>
      </c>
      <c r="AR45" s="154"/>
      <c r="AS45" s="154"/>
      <c r="AT45" s="154"/>
      <c r="AU45" s="154"/>
      <c r="AV45" s="426"/>
      <c r="AW45" s="154"/>
      <c r="AX45" s="1385" t="s">
        <v>46</v>
      </c>
      <c r="AZ45" s="1382" t="s">
        <v>45</v>
      </c>
      <c r="BA45" s="154"/>
      <c r="BB45" s="154"/>
      <c r="BC45" s="200" t="str">
        <f>AQ45</f>
        <v>Pér.06</v>
      </c>
      <c r="BD45" s="154"/>
      <c r="BE45" s="154"/>
      <c r="BF45" s="154"/>
      <c r="BG45" s="154"/>
      <c r="BH45" s="154"/>
      <c r="BI45" s="154"/>
      <c r="BJ45" s="1385" t="s">
        <v>46</v>
      </c>
      <c r="BL45" s="1382" t="s">
        <v>45</v>
      </c>
      <c r="BM45" s="154"/>
      <c r="BN45" s="154"/>
      <c r="BO45" s="200" t="str">
        <f>BC45</f>
        <v>Pér.06</v>
      </c>
      <c r="BP45" s="154"/>
      <c r="BQ45" s="154"/>
      <c r="BR45" s="154"/>
      <c r="BS45" s="154"/>
      <c r="BT45" s="154"/>
      <c r="BU45" s="154"/>
      <c r="BV45" s="1385" t="s">
        <v>46</v>
      </c>
    </row>
    <row r="46" spans="2:74" ht="16" x14ac:dyDescent="0.2">
      <c r="B46" s="1380"/>
      <c r="C46" s="1377"/>
      <c r="D46" s="1383"/>
      <c r="E46" s="155"/>
      <c r="F46" s="155"/>
      <c r="G46" s="155"/>
      <c r="H46" s="155"/>
      <c r="I46" s="155"/>
      <c r="J46" s="155"/>
      <c r="K46" s="155"/>
      <c r="L46" s="155"/>
      <c r="M46" s="155"/>
      <c r="N46" s="1386"/>
      <c r="P46" s="1383"/>
      <c r="Q46" s="155"/>
      <c r="R46" s="155"/>
      <c r="S46" s="155"/>
      <c r="T46" s="155"/>
      <c r="U46" s="155"/>
      <c r="V46" s="316"/>
      <c r="W46" s="316"/>
      <c r="X46" s="316"/>
      <c r="Y46" s="155"/>
      <c r="Z46" s="1386"/>
      <c r="AB46" s="1383"/>
      <c r="AC46" s="155"/>
      <c r="AD46" s="155"/>
      <c r="AE46" s="155"/>
      <c r="AF46" s="155"/>
      <c r="AG46" s="155"/>
      <c r="AH46" s="316"/>
      <c r="AI46" s="316"/>
      <c r="AJ46" s="316"/>
      <c r="AK46" s="155"/>
      <c r="AL46" s="1386"/>
      <c r="AN46" s="1383"/>
      <c r="AO46" s="155"/>
      <c r="AP46" s="155"/>
      <c r="AQ46" s="155"/>
      <c r="AR46" s="155"/>
      <c r="AS46" s="155"/>
      <c r="AT46" s="155"/>
      <c r="AU46" s="155"/>
      <c r="AV46" s="427"/>
      <c r="AW46" s="155"/>
      <c r="AX46" s="1386"/>
      <c r="AZ46" s="1383"/>
      <c r="BA46" s="155"/>
      <c r="BB46" s="155"/>
      <c r="BC46" s="155"/>
      <c r="BD46" s="155"/>
      <c r="BE46" s="155"/>
      <c r="BF46" s="155"/>
      <c r="BG46" s="155"/>
      <c r="BH46" s="155"/>
      <c r="BI46" s="155"/>
      <c r="BJ46" s="1386"/>
      <c r="BL46" s="1383"/>
      <c r="BM46" s="198" t="s">
        <v>1</v>
      </c>
      <c r="BN46" s="155"/>
      <c r="BO46" s="155"/>
      <c r="BP46" s="155"/>
      <c r="BQ46" s="155"/>
      <c r="BR46" s="155"/>
      <c r="BS46" s="155"/>
      <c r="BT46" s="155"/>
      <c r="BU46" s="155"/>
      <c r="BV46" s="1386"/>
    </row>
    <row r="47" spans="2:74" ht="21" x14ac:dyDescent="0.25">
      <c r="B47" s="1380"/>
      <c r="C47" s="1377"/>
      <c r="D47" s="1383"/>
      <c r="E47" s="156" t="str">
        <f>E39</f>
        <v>Demande mensuelle</v>
      </c>
      <c r="F47" s="156" t="s">
        <v>48</v>
      </c>
      <c r="G47" s="156" t="str">
        <f>G39</f>
        <v>Achalandage mensuel</v>
      </c>
      <c r="H47" s="156" t="s">
        <v>50</v>
      </c>
      <c r="I47" s="156" t="s">
        <v>51</v>
      </c>
      <c r="J47" s="156" t="str">
        <f>J39</f>
        <v>Um/A</v>
      </c>
      <c r="K47" s="156" t="s">
        <v>50</v>
      </c>
      <c r="L47" s="156" t="str">
        <f>L39</f>
        <v>PmO</v>
      </c>
      <c r="M47" s="156" t="s">
        <v>54</v>
      </c>
      <c r="N47" s="1386"/>
      <c r="P47" s="1383"/>
      <c r="Q47" s="156" t="str">
        <f>Q39</f>
        <v>Demande mensuelle</v>
      </c>
      <c r="R47" s="156" t="s">
        <v>48</v>
      </c>
      <c r="S47" s="156" t="str">
        <f>S39</f>
        <v>Achalandage mensuel</v>
      </c>
      <c r="T47" s="156" t="s">
        <v>50</v>
      </c>
      <c r="U47" s="156" t="s">
        <v>51</v>
      </c>
      <c r="V47" s="306" t="str">
        <f>V39</f>
        <v>Um/A</v>
      </c>
      <c r="W47" s="306" t="s">
        <v>50</v>
      </c>
      <c r="X47" s="306" t="str">
        <f>X39</f>
        <v>PmO</v>
      </c>
      <c r="Y47" s="156" t="s">
        <v>54</v>
      </c>
      <c r="Z47" s="1386"/>
      <c r="AB47" s="1383"/>
      <c r="AC47" s="156" t="str">
        <f>AC39</f>
        <v>Demande mensuelle</v>
      </c>
      <c r="AD47" s="156" t="s">
        <v>48</v>
      </c>
      <c r="AE47" s="156" t="str">
        <f>AE39</f>
        <v>Achalandage mensuel</v>
      </c>
      <c r="AF47" s="156" t="s">
        <v>50</v>
      </c>
      <c r="AG47" s="156" t="s">
        <v>51</v>
      </c>
      <c r="AH47" s="306" t="str">
        <f>AH39</f>
        <v>Um/A</v>
      </c>
      <c r="AI47" s="306" t="s">
        <v>50</v>
      </c>
      <c r="AJ47" s="306" t="str">
        <f>AJ39</f>
        <v>PmO</v>
      </c>
      <c r="AK47" s="156" t="s">
        <v>54</v>
      </c>
      <c r="AL47" s="1386"/>
      <c r="AN47" s="1383"/>
      <c r="AO47" s="156" t="str">
        <f>AO39</f>
        <v>Demande mensuelle</v>
      </c>
      <c r="AP47" s="156" t="s">
        <v>48</v>
      </c>
      <c r="AQ47" s="156" t="str">
        <f>AQ39</f>
        <v>Achalandage mensuel</v>
      </c>
      <c r="AR47" s="156" t="s">
        <v>50</v>
      </c>
      <c r="AS47" s="156" t="s">
        <v>51</v>
      </c>
      <c r="AT47" s="156" t="str">
        <f>AT39</f>
        <v>Um/A</v>
      </c>
      <c r="AU47" s="156" t="s">
        <v>50</v>
      </c>
      <c r="AV47" s="306" t="str">
        <f>AV39</f>
        <v>PmO</v>
      </c>
      <c r="AW47" s="156" t="s">
        <v>54</v>
      </c>
      <c r="AX47" s="1386"/>
      <c r="AZ47" s="1383"/>
      <c r="BA47" s="156" t="str">
        <f>BA39</f>
        <v>Coût mensuel</v>
      </c>
      <c r="BB47" s="156" t="s">
        <v>48</v>
      </c>
      <c r="BC47" s="156" t="str">
        <f>BC39</f>
        <v>Achalandage mensuel</v>
      </c>
      <c r="BD47" s="156" t="s">
        <v>50</v>
      </c>
      <c r="BE47" s="156" t="s">
        <v>51</v>
      </c>
      <c r="BF47" s="156" t="str">
        <f>BF39</f>
        <v>Um/A</v>
      </c>
      <c r="BG47" s="156" t="s">
        <v>50</v>
      </c>
      <c r="BH47" s="156" t="str">
        <f>BH39</f>
        <v>CmO</v>
      </c>
      <c r="BI47" s="156" t="s">
        <v>54</v>
      </c>
      <c r="BJ47" s="1386"/>
      <c r="BL47" s="1383"/>
      <c r="BM47" s="156" t="str">
        <f>BM39</f>
        <v>Bénéfice mensuel</v>
      </c>
      <c r="BN47" s="156" t="s">
        <v>48</v>
      </c>
      <c r="BO47" s="156" t="str">
        <f>BO39</f>
        <v>Achalandage mensuel</v>
      </c>
      <c r="BP47" s="156" t="s">
        <v>50</v>
      </c>
      <c r="BQ47" s="156" t="s">
        <v>51</v>
      </c>
      <c r="BR47" s="156" t="str">
        <f>BR39</f>
        <v>Um/A</v>
      </c>
      <c r="BS47" s="156" t="s">
        <v>50</v>
      </c>
      <c r="BT47" s="156" t="str">
        <f>BT39</f>
        <v>BmO</v>
      </c>
      <c r="BU47" s="156" t="s">
        <v>54</v>
      </c>
      <c r="BV47" s="1386"/>
    </row>
    <row r="48" spans="2:74" ht="19" x14ac:dyDescent="0.25">
      <c r="B48" s="1380"/>
      <c r="C48" s="1377"/>
      <c r="D48" s="1383"/>
      <c r="E48" s="157" t="s">
        <v>1</v>
      </c>
      <c r="F48" s="158"/>
      <c r="G48" s="157"/>
      <c r="H48" s="158"/>
      <c r="I48" s="158"/>
      <c r="J48" s="158"/>
      <c r="K48" s="158"/>
      <c r="L48" s="158"/>
      <c r="M48" s="158"/>
      <c r="N48" s="1386"/>
      <c r="P48" s="1383"/>
      <c r="Q48" s="157" t="s">
        <v>1</v>
      </c>
      <c r="R48" s="158"/>
      <c r="S48" s="157"/>
      <c r="T48" s="158"/>
      <c r="U48" s="158"/>
      <c r="V48" s="312"/>
      <c r="W48" s="312"/>
      <c r="X48" s="312"/>
      <c r="Y48" s="158"/>
      <c r="Z48" s="1386"/>
      <c r="AB48" s="1383"/>
      <c r="AC48" s="157" t="s">
        <v>1</v>
      </c>
      <c r="AD48" s="158"/>
      <c r="AE48" s="157"/>
      <c r="AF48" s="158"/>
      <c r="AG48" s="158"/>
      <c r="AH48" s="312"/>
      <c r="AI48" s="312"/>
      <c r="AJ48" s="312"/>
      <c r="AK48" s="158"/>
      <c r="AL48" s="1386"/>
      <c r="AN48" s="1383"/>
      <c r="AO48" s="157" t="s">
        <v>1</v>
      </c>
      <c r="AP48" s="158"/>
      <c r="AQ48" s="157"/>
      <c r="AR48" s="158"/>
      <c r="AS48" s="158"/>
      <c r="AT48" s="158"/>
      <c r="AU48" s="158"/>
      <c r="AV48" s="312"/>
      <c r="AW48" s="158"/>
      <c r="AX48" s="1386"/>
      <c r="AZ48" s="1383"/>
      <c r="BA48" s="157" t="s">
        <v>1</v>
      </c>
      <c r="BB48" s="158"/>
      <c r="BC48" s="157"/>
      <c r="BD48" s="158"/>
      <c r="BE48" s="158"/>
      <c r="BF48" s="158"/>
      <c r="BG48" s="158"/>
      <c r="BH48" s="158"/>
      <c r="BI48" s="158"/>
      <c r="BJ48" s="1386"/>
      <c r="BL48" s="1383"/>
      <c r="BM48" s="157" t="s">
        <v>1</v>
      </c>
      <c r="BN48" s="158"/>
      <c r="BO48" s="157"/>
      <c r="BP48" s="158"/>
      <c r="BQ48" s="158"/>
      <c r="BR48" s="158"/>
      <c r="BS48" s="158"/>
      <c r="BT48" s="158"/>
      <c r="BU48" s="158"/>
      <c r="BV48" s="1386"/>
    </row>
    <row r="49" spans="2:74" ht="26" x14ac:dyDescent="0.3">
      <c r="B49" s="1380"/>
      <c r="C49" s="1377"/>
      <c r="D49" s="1383"/>
      <c r="E49" s="159" t="str">
        <f>E41</f>
        <v>D</v>
      </c>
      <c r="F49" s="160"/>
      <c r="G49" s="159" t="str">
        <f>G41</f>
        <v>A</v>
      </c>
      <c r="H49" s="160"/>
      <c r="I49" s="160"/>
      <c r="J49" s="159" t="str">
        <f>+J47</f>
        <v>Um/A</v>
      </c>
      <c r="K49" s="160"/>
      <c r="L49" s="159" t="str">
        <f>+L47</f>
        <v>PmO</v>
      </c>
      <c r="M49" s="160"/>
      <c r="N49" s="1386"/>
      <c r="P49" s="1383"/>
      <c r="Q49" s="159" t="str">
        <f>Q41</f>
        <v>D</v>
      </c>
      <c r="R49" s="160"/>
      <c r="S49" s="159" t="str">
        <f>S41</f>
        <v>A</v>
      </c>
      <c r="T49" s="160"/>
      <c r="U49" s="160"/>
      <c r="V49" s="307" t="str">
        <f>+V47</f>
        <v>Um/A</v>
      </c>
      <c r="W49" s="313"/>
      <c r="X49" s="307" t="str">
        <f>+X47</f>
        <v>PmO</v>
      </c>
      <c r="Y49" s="160"/>
      <c r="Z49" s="1386"/>
      <c r="AB49" s="1383"/>
      <c r="AC49" s="159" t="str">
        <f>AC41</f>
        <v>D</v>
      </c>
      <c r="AD49" s="160"/>
      <c r="AE49" s="159" t="str">
        <f>AE41</f>
        <v>A</v>
      </c>
      <c r="AF49" s="160"/>
      <c r="AG49" s="160"/>
      <c r="AH49" s="307" t="str">
        <f>+AH47</f>
        <v>Um/A</v>
      </c>
      <c r="AI49" s="313"/>
      <c r="AJ49" s="307" t="str">
        <f>+AJ47</f>
        <v>PmO</v>
      </c>
      <c r="AK49" s="160"/>
      <c r="AL49" s="1386"/>
      <c r="AN49" s="1383"/>
      <c r="AO49" s="159" t="str">
        <f>AO41</f>
        <v>D</v>
      </c>
      <c r="AP49" s="160"/>
      <c r="AQ49" s="159" t="str">
        <f>AQ41</f>
        <v>A</v>
      </c>
      <c r="AR49" s="160"/>
      <c r="AS49" s="160"/>
      <c r="AT49" s="159" t="str">
        <f>+AT47</f>
        <v>Um/A</v>
      </c>
      <c r="AU49" s="160"/>
      <c r="AV49" s="307" t="str">
        <f>+AV47</f>
        <v>PmO</v>
      </c>
      <c r="AW49" s="160"/>
      <c r="AX49" s="1386"/>
      <c r="AZ49" s="1383"/>
      <c r="BA49" s="159" t="str">
        <f>BA41</f>
        <v xml:space="preserve">C </v>
      </c>
      <c r="BB49" s="160"/>
      <c r="BC49" s="159" t="str">
        <f>BC41</f>
        <v>A</v>
      </c>
      <c r="BD49" s="160"/>
      <c r="BE49" s="160"/>
      <c r="BF49" s="159" t="str">
        <f>+BF47</f>
        <v>Um/A</v>
      </c>
      <c r="BG49" s="160"/>
      <c r="BH49" s="159" t="str">
        <f>+BH47</f>
        <v>CmO</v>
      </c>
      <c r="BI49" s="160"/>
      <c r="BJ49" s="1386"/>
      <c r="BL49" s="1383"/>
      <c r="BM49" s="159" t="str">
        <f>BM41</f>
        <v xml:space="preserve">B </v>
      </c>
      <c r="BN49" s="160"/>
      <c r="BO49" s="159" t="str">
        <f>BO41</f>
        <v>A</v>
      </c>
      <c r="BP49" s="160"/>
      <c r="BQ49" s="160"/>
      <c r="BR49" s="159" t="str">
        <f>+BR47</f>
        <v>Um/A</v>
      </c>
      <c r="BS49" s="160"/>
      <c r="BT49" s="159" t="str">
        <f>+BT47</f>
        <v>BmO</v>
      </c>
      <c r="BU49" s="160"/>
      <c r="BV49" s="1386"/>
    </row>
    <row r="50" spans="2:74" ht="21" x14ac:dyDescent="0.25">
      <c r="B50" s="1380"/>
      <c r="C50" s="1377"/>
      <c r="D50" s="1383"/>
      <c r="E50" s="147">
        <f>+Q50+AC50+AO50</f>
        <v>78733.687500000015</v>
      </c>
      <c r="F50" s="156" t="s">
        <v>48</v>
      </c>
      <c r="G50" s="148">
        <f>'% Occupation'!I19</f>
        <v>4365</v>
      </c>
      <c r="H50" s="156" t="s">
        <v>50</v>
      </c>
      <c r="I50" s="156" t="s">
        <v>51</v>
      </c>
      <c r="J50" s="149">
        <f>+V50+AH50+AT50</f>
        <v>2.2000000000000002</v>
      </c>
      <c r="K50" s="156" t="s">
        <v>50</v>
      </c>
      <c r="L50" s="147">
        <f>E50/G50/J50</f>
        <v>8.1988636363636385</v>
      </c>
      <c r="M50" s="156" t="s">
        <v>54</v>
      </c>
      <c r="N50" s="1386"/>
      <c r="P50" s="1383"/>
      <c r="Q50" s="147">
        <f>+S50*(V50*X50)</f>
        <v>22075.987500000003</v>
      </c>
      <c r="R50" s="156" t="s">
        <v>48</v>
      </c>
      <c r="S50" s="148">
        <f>G50</f>
        <v>4365</v>
      </c>
      <c r="T50" s="156" t="s">
        <v>50</v>
      </c>
      <c r="U50" s="156" t="s">
        <v>51</v>
      </c>
      <c r="V50" s="296">
        <f>'Calcul CmO et PmO'!L236</f>
        <v>1.05</v>
      </c>
      <c r="W50" s="306" t="s">
        <v>50</v>
      </c>
      <c r="X50" s="297">
        <f>'Calcul CmO et PmO'!F236</f>
        <v>4.8166666666666673</v>
      </c>
      <c r="Y50" s="156" t="s">
        <v>54</v>
      </c>
      <c r="Z50" s="1386"/>
      <c r="AB50" s="1383"/>
      <c r="AC50" s="147">
        <f>+AE50*(AH50*AJ50)</f>
        <v>43693.65</v>
      </c>
      <c r="AD50" s="156" t="s">
        <v>48</v>
      </c>
      <c r="AE50" s="148">
        <f>S50</f>
        <v>4365</v>
      </c>
      <c r="AF50" s="156" t="s">
        <v>50</v>
      </c>
      <c r="AG50" s="156" t="s">
        <v>51</v>
      </c>
      <c r="AH50" s="296">
        <f>'Calcul CmO et PmO'!L251</f>
        <v>1.05</v>
      </c>
      <c r="AI50" s="306" t="s">
        <v>50</v>
      </c>
      <c r="AJ50" s="297">
        <f>'Calcul CmO et PmO'!F251</f>
        <v>9.5333333333333332</v>
      </c>
      <c r="AK50" s="156" t="s">
        <v>54</v>
      </c>
      <c r="AL50" s="1386"/>
      <c r="AN50" s="1383"/>
      <c r="AO50" s="147">
        <f>+AQ50*(AT50*AV50)</f>
        <v>12964.050000000001</v>
      </c>
      <c r="AP50" s="156" t="s">
        <v>48</v>
      </c>
      <c r="AQ50" s="148">
        <f>AE50</f>
        <v>4365</v>
      </c>
      <c r="AR50" s="156" t="s">
        <v>50</v>
      </c>
      <c r="AS50" s="156" t="s">
        <v>51</v>
      </c>
      <c r="AT50" s="150">
        <v>0.1</v>
      </c>
      <c r="AU50" s="156" t="s">
        <v>50</v>
      </c>
      <c r="AV50" s="297">
        <f>'Calcul CmO, PmO, Etc.'!E28</f>
        <v>29.7</v>
      </c>
      <c r="AW50" s="156" t="s">
        <v>54</v>
      </c>
      <c r="AX50" s="1386"/>
      <c r="AZ50" s="1383"/>
      <c r="BA50" s="147">
        <f>+'État des Résultats'!T16+'État des Résultats'!T21+'État des Résultats'!T34+'État des Résultats'!T38+'État des Résultats'!T39+'État des Résultats'!T43</f>
        <v>74615.706087028855</v>
      </c>
      <c r="BB50" s="156" t="s">
        <v>48</v>
      </c>
      <c r="BC50" s="148">
        <f>G50</f>
        <v>4365</v>
      </c>
      <c r="BD50" s="156" t="s">
        <v>50</v>
      </c>
      <c r="BE50" s="156" t="s">
        <v>51</v>
      </c>
      <c r="BF50" s="149">
        <f>J50</f>
        <v>2.2000000000000002</v>
      </c>
      <c r="BG50" s="156" t="s">
        <v>50</v>
      </c>
      <c r="BH50" s="197">
        <f>+BA50/BC50/BF50</f>
        <v>7.7700412461760742</v>
      </c>
      <c r="BI50" s="156" t="s">
        <v>54</v>
      </c>
      <c r="BJ50" s="1386"/>
      <c r="BL50" s="1383"/>
      <c r="BM50" s="147">
        <f>E50-BA50</f>
        <v>4117.9814129711594</v>
      </c>
      <c r="BN50" s="156" t="s">
        <v>48</v>
      </c>
      <c r="BO50" s="148">
        <f>S50</f>
        <v>4365</v>
      </c>
      <c r="BP50" s="156" t="s">
        <v>50</v>
      </c>
      <c r="BQ50" s="156" t="s">
        <v>51</v>
      </c>
      <c r="BR50" s="149">
        <f>J50</f>
        <v>2.2000000000000002</v>
      </c>
      <c r="BS50" s="156" t="s">
        <v>50</v>
      </c>
      <c r="BT50" s="147">
        <f>BM50/BO50/BR50</f>
        <v>0.42882239018756213</v>
      </c>
      <c r="BU50" s="156" t="s">
        <v>54</v>
      </c>
      <c r="BV50" s="1386"/>
    </row>
    <row r="51" spans="2:74" ht="17" thickBot="1" x14ac:dyDescent="0.25">
      <c r="B51" s="1381"/>
      <c r="C51" s="1377"/>
      <c r="D51" s="1384"/>
      <c r="E51" s="161"/>
      <c r="F51" s="161"/>
      <c r="G51" s="161"/>
      <c r="H51" s="161"/>
      <c r="I51" s="161"/>
      <c r="J51" s="161"/>
      <c r="K51" s="161"/>
      <c r="L51" s="161"/>
      <c r="M51" s="161"/>
      <c r="N51" s="1387"/>
      <c r="P51" s="1384"/>
      <c r="Q51" s="161"/>
      <c r="R51" s="161"/>
      <c r="S51" s="161"/>
      <c r="T51" s="161"/>
      <c r="U51" s="161"/>
      <c r="V51" s="314"/>
      <c r="W51" s="314"/>
      <c r="X51" s="314"/>
      <c r="Y51" s="161"/>
      <c r="Z51" s="1387"/>
      <c r="AB51" s="1384"/>
      <c r="AC51" s="161"/>
      <c r="AD51" s="161"/>
      <c r="AE51" s="161"/>
      <c r="AF51" s="161"/>
      <c r="AG51" s="161"/>
      <c r="AH51" s="314"/>
      <c r="AI51" s="314"/>
      <c r="AJ51" s="314"/>
      <c r="AK51" s="161"/>
      <c r="AL51" s="1387"/>
      <c r="AN51" s="1384"/>
      <c r="AO51" s="161"/>
      <c r="AP51" s="161"/>
      <c r="AQ51" s="161"/>
      <c r="AR51" s="161"/>
      <c r="AS51" s="161"/>
      <c r="AT51" s="161"/>
      <c r="AU51" s="161"/>
      <c r="AV51" s="428"/>
      <c r="AW51" s="161"/>
      <c r="AX51" s="1387"/>
      <c r="AZ51" s="1384"/>
      <c r="BA51" s="161"/>
      <c r="BB51" s="161"/>
      <c r="BC51" s="161"/>
      <c r="BD51" s="161"/>
      <c r="BE51" s="161"/>
      <c r="BF51" s="161"/>
      <c r="BG51" s="161"/>
      <c r="BH51" s="161"/>
      <c r="BI51" s="161"/>
      <c r="BJ51" s="1387"/>
      <c r="BL51" s="1384"/>
      <c r="BM51" s="161"/>
      <c r="BN51" s="161"/>
      <c r="BO51" s="161"/>
      <c r="BP51" s="161"/>
      <c r="BQ51" s="161"/>
      <c r="BR51" s="161"/>
      <c r="BS51" s="161"/>
      <c r="BT51" s="161"/>
      <c r="BU51" s="161"/>
      <c r="BV51" s="1387"/>
    </row>
    <row r="52" spans="2:74" ht="10" customHeight="1" thickBot="1" x14ac:dyDescent="0.2">
      <c r="B52" s="138" t="s">
        <v>1</v>
      </c>
      <c r="C52" s="139"/>
      <c r="V52" s="302"/>
      <c r="W52" s="302"/>
      <c r="X52" s="302"/>
      <c r="AH52" s="302"/>
      <c r="AI52" s="302"/>
      <c r="AJ52" s="302"/>
      <c r="AV52" s="302"/>
    </row>
    <row r="53" spans="2:74" ht="17" thickTop="1" x14ac:dyDescent="0.2">
      <c r="B53" s="1394" t="s">
        <v>1</v>
      </c>
      <c r="C53" s="1395">
        <v>7</v>
      </c>
      <c r="D53" s="1396" t="s">
        <v>45</v>
      </c>
      <c r="E53" s="162"/>
      <c r="F53" s="162"/>
      <c r="G53" s="201" t="str">
        <f>'Achalandage journalier'!J5</f>
        <v>Pér.07</v>
      </c>
      <c r="H53" s="162"/>
      <c r="I53" s="162"/>
      <c r="J53" s="162"/>
      <c r="K53" s="162"/>
      <c r="L53" s="162"/>
      <c r="M53" s="162"/>
      <c r="N53" s="1399" t="s">
        <v>46</v>
      </c>
      <c r="P53" s="1402" t="s">
        <v>45</v>
      </c>
      <c r="Q53" s="163"/>
      <c r="R53" s="163"/>
      <c r="S53" s="204" t="str">
        <f>G53</f>
        <v>Pér.07</v>
      </c>
      <c r="T53" s="163"/>
      <c r="U53" s="163"/>
      <c r="V53" s="317"/>
      <c r="W53" s="317"/>
      <c r="X53" s="317"/>
      <c r="Y53" s="163"/>
      <c r="Z53" s="1403" t="s">
        <v>46</v>
      </c>
      <c r="AB53" s="1396" t="s">
        <v>45</v>
      </c>
      <c r="AC53" s="162"/>
      <c r="AD53" s="162"/>
      <c r="AE53" s="201" t="str">
        <f>S53</f>
        <v>Pér.07</v>
      </c>
      <c r="AF53" s="162"/>
      <c r="AG53" s="162"/>
      <c r="AH53" s="320"/>
      <c r="AI53" s="320"/>
      <c r="AJ53" s="320"/>
      <c r="AK53" s="162"/>
      <c r="AL53" s="1399" t="s">
        <v>46</v>
      </c>
      <c r="AN53" s="1396" t="s">
        <v>45</v>
      </c>
      <c r="AO53" s="162"/>
      <c r="AP53" s="162"/>
      <c r="AQ53" s="201" t="str">
        <f>AE53</f>
        <v>Pér.07</v>
      </c>
      <c r="AR53" s="162"/>
      <c r="AS53" s="162"/>
      <c r="AT53" s="162"/>
      <c r="AU53" s="162"/>
      <c r="AV53" s="429"/>
      <c r="AW53" s="162"/>
      <c r="AX53" s="1399" t="s">
        <v>46</v>
      </c>
      <c r="AZ53" s="1396" t="s">
        <v>45</v>
      </c>
      <c r="BA53" s="162"/>
      <c r="BB53" s="162"/>
      <c r="BC53" s="201" t="str">
        <f>AQ53</f>
        <v>Pér.07</v>
      </c>
      <c r="BD53" s="162"/>
      <c r="BE53" s="162"/>
      <c r="BF53" s="162"/>
      <c r="BG53" s="162"/>
      <c r="BH53" s="162"/>
      <c r="BI53" s="162"/>
      <c r="BJ53" s="1399" t="s">
        <v>46</v>
      </c>
      <c r="BL53" s="1396" t="s">
        <v>45</v>
      </c>
      <c r="BM53" s="162"/>
      <c r="BN53" s="162"/>
      <c r="BO53" s="201" t="str">
        <f>BC53</f>
        <v>Pér.07</v>
      </c>
      <c r="BP53" s="162"/>
      <c r="BQ53" s="162"/>
      <c r="BR53" s="162"/>
      <c r="BS53" s="162"/>
      <c r="BT53" s="162"/>
      <c r="BU53" s="162"/>
      <c r="BV53" s="1399" t="s">
        <v>46</v>
      </c>
    </row>
    <row r="54" spans="2:74" ht="16" x14ac:dyDescent="0.2">
      <c r="B54" s="1394"/>
      <c r="C54" s="1395"/>
      <c r="D54" s="1397"/>
      <c r="E54" s="163"/>
      <c r="F54" s="163"/>
      <c r="G54" s="163"/>
      <c r="H54" s="163"/>
      <c r="I54" s="163"/>
      <c r="J54" s="163"/>
      <c r="K54" s="163"/>
      <c r="L54" s="163"/>
      <c r="M54" s="163"/>
      <c r="N54" s="1400"/>
      <c r="P54" s="1397"/>
      <c r="Q54" s="163"/>
      <c r="R54" s="163"/>
      <c r="S54" s="163"/>
      <c r="T54" s="163"/>
      <c r="U54" s="163"/>
      <c r="V54" s="317"/>
      <c r="W54" s="317"/>
      <c r="X54" s="317"/>
      <c r="Y54" s="163"/>
      <c r="Z54" s="1400"/>
      <c r="AB54" s="1397"/>
      <c r="AC54" s="163"/>
      <c r="AD54" s="163"/>
      <c r="AE54" s="163"/>
      <c r="AF54" s="163"/>
      <c r="AG54" s="163"/>
      <c r="AH54" s="317"/>
      <c r="AI54" s="317"/>
      <c r="AJ54" s="317"/>
      <c r="AK54" s="163"/>
      <c r="AL54" s="1400"/>
      <c r="AN54" s="1397"/>
      <c r="AO54" s="163"/>
      <c r="AP54" s="163"/>
      <c r="AQ54" s="163"/>
      <c r="AR54" s="163"/>
      <c r="AS54" s="163"/>
      <c r="AT54" s="163"/>
      <c r="AU54" s="163"/>
      <c r="AV54" s="430"/>
      <c r="AW54" s="163"/>
      <c r="AX54" s="1400"/>
      <c r="AZ54" s="1397"/>
      <c r="BA54" s="163"/>
      <c r="BB54" s="163"/>
      <c r="BC54" s="163"/>
      <c r="BD54" s="163"/>
      <c r="BE54" s="163"/>
      <c r="BF54" s="163"/>
      <c r="BG54" s="163"/>
      <c r="BH54" s="163"/>
      <c r="BI54" s="163"/>
      <c r="BJ54" s="1400"/>
      <c r="BL54" s="1397"/>
      <c r="BM54" s="163"/>
      <c r="BN54" s="163"/>
      <c r="BO54" s="163"/>
      <c r="BP54" s="163"/>
      <c r="BQ54" s="163"/>
      <c r="BR54" s="163"/>
      <c r="BS54" s="163"/>
      <c r="BT54" s="163"/>
      <c r="BU54" s="163"/>
      <c r="BV54" s="1400"/>
    </row>
    <row r="55" spans="2:74" ht="21" x14ac:dyDescent="0.25">
      <c r="B55" s="1394"/>
      <c r="C55" s="1395"/>
      <c r="D55" s="1397"/>
      <c r="E55" s="164" t="str">
        <f>E47</f>
        <v>Demande mensuelle</v>
      </c>
      <c r="F55" s="164" t="s">
        <v>48</v>
      </c>
      <c r="G55" s="164" t="str">
        <f>G47</f>
        <v>Achalandage mensuel</v>
      </c>
      <c r="H55" s="164" t="s">
        <v>50</v>
      </c>
      <c r="I55" s="164" t="s">
        <v>51</v>
      </c>
      <c r="J55" s="164" t="str">
        <f>J47</f>
        <v>Um/A</v>
      </c>
      <c r="K55" s="164" t="s">
        <v>50</v>
      </c>
      <c r="L55" s="164" t="str">
        <f>L47</f>
        <v>PmO</v>
      </c>
      <c r="M55" s="164" t="s">
        <v>54</v>
      </c>
      <c r="N55" s="1400"/>
      <c r="P55" s="1397"/>
      <c r="Q55" s="164" t="str">
        <f>Q47</f>
        <v>Demande mensuelle</v>
      </c>
      <c r="R55" s="164" t="s">
        <v>48</v>
      </c>
      <c r="S55" s="164" t="str">
        <f>S47</f>
        <v>Achalandage mensuel</v>
      </c>
      <c r="T55" s="164" t="s">
        <v>50</v>
      </c>
      <c r="U55" s="164" t="s">
        <v>51</v>
      </c>
      <c r="V55" s="308" t="str">
        <f>V47</f>
        <v>Um/A</v>
      </c>
      <c r="W55" s="308" t="s">
        <v>50</v>
      </c>
      <c r="X55" s="308" t="str">
        <f>X47</f>
        <v>PmO</v>
      </c>
      <c r="Y55" s="164" t="s">
        <v>54</v>
      </c>
      <c r="Z55" s="1400"/>
      <c r="AB55" s="1397"/>
      <c r="AC55" s="164" t="str">
        <f>AC47</f>
        <v>Demande mensuelle</v>
      </c>
      <c r="AD55" s="164" t="s">
        <v>48</v>
      </c>
      <c r="AE55" s="164" t="str">
        <f>AE47</f>
        <v>Achalandage mensuel</v>
      </c>
      <c r="AF55" s="164" t="s">
        <v>50</v>
      </c>
      <c r="AG55" s="164" t="s">
        <v>51</v>
      </c>
      <c r="AH55" s="308" t="str">
        <f>AH47</f>
        <v>Um/A</v>
      </c>
      <c r="AI55" s="308" t="s">
        <v>50</v>
      </c>
      <c r="AJ55" s="308" t="str">
        <f>AJ47</f>
        <v>PmO</v>
      </c>
      <c r="AK55" s="164" t="s">
        <v>54</v>
      </c>
      <c r="AL55" s="1400"/>
      <c r="AN55" s="1397"/>
      <c r="AO55" s="164" t="str">
        <f>AO47</f>
        <v>Demande mensuelle</v>
      </c>
      <c r="AP55" s="164" t="s">
        <v>48</v>
      </c>
      <c r="AQ55" s="164" t="str">
        <f>AQ47</f>
        <v>Achalandage mensuel</v>
      </c>
      <c r="AR55" s="164" t="s">
        <v>50</v>
      </c>
      <c r="AS55" s="164" t="s">
        <v>51</v>
      </c>
      <c r="AT55" s="164" t="str">
        <f>AT47</f>
        <v>Um/A</v>
      </c>
      <c r="AU55" s="164" t="s">
        <v>50</v>
      </c>
      <c r="AV55" s="308" t="str">
        <f>AV47</f>
        <v>PmO</v>
      </c>
      <c r="AW55" s="164" t="s">
        <v>54</v>
      </c>
      <c r="AX55" s="1400"/>
      <c r="AZ55" s="1397"/>
      <c r="BA55" s="164" t="str">
        <f>BA47</f>
        <v>Coût mensuel</v>
      </c>
      <c r="BB55" s="164" t="s">
        <v>48</v>
      </c>
      <c r="BC55" s="164" t="str">
        <f>BC47</f>
        <v>Achalandage mensuel</v>
      </c>
      <c r="BD55" s="164" t="s">
        <v>50</v>
      </c>
      <c r="BE55" s="164" t="s">
        <v>51</v>
      </c>
      <c r="BF55" s="164" t="s">
        <v>52</v>
      </c>
      <c r="BG55" s="164" t="s">
        <v>50</v>
      </c>
      <c r="BH55" s="164" t="str">
        <f>BH47</f>
        <v>CmO</v>
      </c>
      <c r="BI55" s="164" t="s">
        <v>54</v>
      </c>
      <c r="BJ55" s="1400"/>
      <c r="BL55" s="1397"/>
      <c r="BM55" s="164" t="str">
        <f>BM47</f>
        <v>Bénéfice mensuel</v>
      </c>
      <c r="BN55" s="164" t="s">
        <v>48</v>
      </c>
      <c r="BO55" s="164" t="str">
        <f>BO47</f>
        <v>Achalandage mensuel</v>
      </c>
      <c r="BP55" s="164" t="s">
        <v>50</v>
      </c>
      <c r="BQ55" s="164" t="s">
        <v>51</v>
      </c>
      <c r="BR55" s="164" t="s">
        <v>52</v>
      </c>
      <c r="BS55" s="164" t="s">
        <v>50</v>
      </c>
      <c r="BT55" s="164" t="str">
        <f>BT47</f>
        <v>BmO</v>
      </c>
      <c r="BU55" s="164" t="s">
        <v>54</v>
      </c>
      <c r="BV55" s="1400"/>
    </row>
    <row r="56" spans="2:74" ht="19" x14ac:dyDescent="0.25">
      <c r="B56" s="1394"/>
      <c r="C56" s="1395"/>
      <c r="D56" s="1397"/>
      <c r="E56" s="165" t="s">
        <v>1</v>
      </c>
      <c r="F56" s="166"/>
      <c r="G56" s="165"/>
      <c r="H56" s="166"/>
      <c r="I56" s="166"/>
      <c r="J56" s="166"/>
      <c r="K56" s="166"/>
      <c r="L56" s="166"/>
      <c r="M56" s="166"/>
      <c r="N56" s="1400"/>
      <c r="P56" s="1397"/>
      <c r="Q56" s="165" t="s">
        <v>1</v>
      </c>
      <c r="R56" s="166"/>
      <c r="S56" s="165"/>
      <c r="T56" s="166"/>
      <c r="U56" s="166"/>
      <c r="V56" s="318"/>
      <c r="W56" s="318"/>
      <c r="X56" s="318"/>
      <c r="Y56" s="166"/>
      <c r="Z56" s="1400"/>
      <c r="AB56" s="1397"/>
      <c r="AC56" s="165" t="s">
        <v>1</v>
      </c>
      <c r="AD56" s="166"/>
      <c r="AE56" s="165"/>
      <c r="AF56" s="166"/>
      <c r="AG56" s="166"/>
      <c r="AH56" s="318"/>
      <c r="AI56" s="318"/>
      <c r="AJ56" s="318"/>
      <c r="AK56" s="166"/>
      <c r="AL56" s="1400"/>
      <c r="AN56" s="1397"/>
      <c r="AO56" s="165" t="s">
        <v>1</v>
      </c>
      <c r="AP56" s="166"/>
      <c r="AQ56" s="165"/>
      <c r="AR56" s="166"/>
      <c r="AS56" s="166"/>
      <c r="AT56" s="166"/>
      <c r="AU56" s="166"/>
      <c r="AV56" s="318"/>
      <c r="AW56" s="166"/>
      <c r="AX56" s="1400"/>
      <c r="AZ56" s="1397"/>
      <c r="BA56" s="165" t="s">
        <v>1</v>
      </c>
      <c r="BB56" s="166"/>
      <c r="BC56" s="165"/>
      <c r="BD56" s="166"/>
      <c r="BE56" s="166"/>
      <c r="BF56" s="166"/>
      <c r="BG56" s="166"/>
      <c r="BH56" s="166"/>
      <c r="BI56" s="166"/>
      <c r="BJ56" s="1400"/>
      <c r="BL56" s="1397"/>
      <c r="BM56" s="165" t="s">
        <v>1</v>
      </c>
      <c r="BN56" s="166"/>
      <c r="BO56" s="165"/>
      <c r="BP56" s="166"/>
      <c r="BQ56" s="166"/>
      <c r="BR56" s="166"/>
      <c r="BS56" s="166"/>
      <c r="BT56" s="166"/>
      <c r="BU56" s="166"/>
      <c r="BV56" s="1400"/>
    </row>
    <row r="57" spans="2:74" ht="26" x14ac:dyDescent="0.3">
      <c r="B57" s="1394"/>
      <c r="C57" s="1395"/>
      <c r="D57" s="1397"/>
      <c r="E57" s="167" t="str">
        <f>E49</f>
        <v>D</v>
      </c>
      <c r="F57" s="168"/>
      <c r="G57" s="167" t="str">
        <f>G49</f>
        <v>A</v>
      </c>
      <c r="H57" s="168"/>
      <c r="I57" s="168"/>
      <c r="J57" s="167" t="str">
        <f>+J55</f>
        <v>Um/A</v>
      </c>
      <c r="K57" s="168"/>
      <c r="L57" s="167" t="str">
        <f>+L55</f>
        <v>PmO</v>
      </c>
      <c r="M57" s="168"/>
      <c r="N57" s="1400"/>
      <c r="P57" s="1397"/>
      <c r="Q57" s="167" t="str">
        <f>Q49</f>
        <v>D</v>
      </c>
      <c r="R57" s="168"/>
      <c r="S57" s="167" t="str">
        <f>S49</f>
        <v>A</v>
      </c>
      <c r="T57" s="168"/>
      <c r="U57" s="168"/>
      <c r="V57" s="309" t="str">
        <f>+V55</f>
        <v>Um/A</v>
      </c>
      <c r="W57" s="319"/>
      <c r="X57" s="309" t="str">
        <f>+X55</f>
        <v>PmO</v>
      </c>
      <c r="Y57" s="168"/>
      <c r="Z57" s="1400"/>
      <c r="AB57" s="1397"/>
      <c r="AC57" s="167" t="str">
        <f>AC49</f>
        <v>D</v>
      </c>
      <c r="AD57" s="168"/>
      <c r="AE57" s="167" t="str">
        <f>AE49</f>
        <v>A</v>
      </c>
      <c r="AF57" s="168"/>
      <c r="AG57" s="168"/>
      <c r="AH57" s="309" t="str">
        <f>+AH55</f>
        <v>Um/A</v>
      </c>
      <c r="AI57" s="319"/>
      <c r="AJ57" s="309" t="str">
        <f>+AJ55</f>
        <v>PmO</v>
      </c>
      <c r="AK57" s="168"/>
      <c r="AL57" s="1400"/>
      <c r="AN57" s="1397"/>
      <c r="AO57" s="167" t="str">
        <f>AO49</f>
        <v>D</v>
      </c>
      <c r="AP57" s="168"/>
      <c r="AQ57" s="167" t="str">
        <f>AQ49</f>
        <v>A</v>
      </c>
      <c r="AR57" s="168"/>
      <c r="AS57" s="168"/>
      <c r="AT57" s="167" t="str">
        <f>+AT55</f>
        <v>Um/A</v>
      </c>
      <c r="AU57" s="168"/>
      <c r="AV57" s="309" t="str">
        <f>+AV55</f>
        <v>PmO</v>
      </c>
      <c r="AW57" s="168"/>
      <c r="AX57" s="1400"/>
      <c r="AZ57" s="1397"/>
      <c r="BA57" s="167" t="str">
        <f>BA49</f>
        <v xml:space="preserve">C </v>
      </c>
      <c r="BB57" s="168"/>
      <c r="BC57" s="167" t="str">
        <f>BC49</f>
        <v>A</v>
      </c>
      <c r="BD57" s="168"/>
      <c r="BE57" s="168"/>
      <c r="BF57" s="167" t="str">
        <f>+BF55</f>
        <v>Um/A</v>
      </c>
      <c r="BG57" s="168"/>
      <c r="BH57" s="167" t="str">
        <f>+BH55</f>
        <v>CmO</v>
      </c>
      <c r="BI57" s="168"/>
      <c r="BJ57" s="1400"/>
      <c r="BL57" s="1397"/>
      <c r="BM57" s="167" t="str">
        <f>BM49</f>
        <v xml:space="preserve">B </v>
      </c>
      <c r="BN57" s="168"/>
      <c r="BO57" s="167" t="str">
        <f>BO49</f>
        <v>A</v>
      </c>
      <c r="BP57" s="168"/>
      <c r="BQ57" s="168"/>
      <c r="BR57" s="167" t="str">
        <f>+BR55</f>
        <v>Um/A</v>
      </c>
      <c r="BS57" s="168"/>
      <c r="BT57" s="167" t="str">
        <f>+BT55</f>
        <v>BmO</v>
      </c>
      <c r="BU57" s="168"/>
      <c r="BV57" s="1400"/>
    </row>
    <row r="58" spans="2:74" ht="21" x14ac:dyDescent="0.25">
      <c r="B58" s="1394"/>
      <c r="C58" s="1395"/>
      <c r="D58" s="1397"/>
      <c r="E58" s="147">
        <f>+Q58+AC58+AO58</f>
        <v>94731.505000000019</v>
      </c>
      <c r="F58" s="164" t="s">
        <v>48</v>
      </c>
      <c r="G58" s="148">
        <f>'% Occupation'!J19</f>
        <v>5051</v>
      </c>
      <c r="H58" s="164" t="s">
        <v>50</v>
      </c>
      <c r="I58" s="164" t="s">
        <v>51</v>
      </c>
      <c r="J58" s="149">
        <f>+V58+AH58+AT58</f>
        <v>2.3000000000000003</v>
      </c>
      <c r="K58" s="164" t="s">
        <v>50</v>
      </c>
      <c r="L58" s="147">
        <f>E58/G58/J58</f>
        <v>8.1543478260869566</v>
      </c>
      <c r="M58" s="164" t="s">
        <v>54</v>
      </c>
      <c r="N58" s="1400"/>
      <c r="P58" s="1397"/>
      <c r="Q58" s="147">
        <f>+S58*(V58*X58)</f>
        <v>26761.881666666672</v>
      </c>
      <c r="R58" s="164" t="s">
        <v>48</v>
      </c>
      <c r="S58" s="148">
        <f>G58</f>
        <v>5051</v>
      </c>
      <c r="T58" s="164" t="s">
        <v>50</v>
      </c>
      <c r="U58" s="164" t="s">
        <v>51</v>
      </c>
      <c r="V58" s="296">
        <f>'Calcul CmO et PmO'!L279</f>
        <v>1.1000000000000001</v>
      </c>
      <c r="W58" s="308" t="s">
        <v>50</v>
      </c>
      <c r="X58" s="297">
        <f>'Calcul CmO et PmO'!F279</f>
        <v>4.8166666666666673</v>
      </c>
      <c r="Y58" s="164" t="s">
        <v>54</v>
      </c>
      <c r="Z58" s="1400"/>
      <c r="AB58" s="1397"/>
      <c r="AC58" s="147">
        <f>+AE58*(AH58*AJ58)</f>
        <v>52968.153333333343</v>
      </c>
      <c r="AD58" s="164" t="s">
        <v>48</v>
      </c>
      <c r="AE58" s="148">
        <f>S58</f>
        <v>5051</v>
      </c>
      <c r="AF58" s="164" t="s">
        <v>50</v>
      </c>
      <c r="AG58" s="164" t="s">
        <v>51</v>
      </c>
      <c r="AH58" s="296">
        <f>'Calcul CmO et PmO'!L294</f>
        <v>1.1000000000000001</v>
      </c>
      <c r="AI58" s="308" t="s">
        <v>50</v>
      </c>
      <c r="AJ58" s="297">
        <f>'Calcul CmO et PmO'!F294</f>
        <v>9.5333333333333332</v>
      </c>
      <c r="AK58" s="164" t="s">
        <v>54</v>
      </c>
      <c r="AL58" s="1400"/>
      <c r="AN58" s="1397"/>
      <c r="AO58" s="147">
        <f>+AQ58*(AT58*AV58)</f>
        <v>15001.470000000001</v>
      </c>
      <c r="AP58" s="164" t="s">
        <v>48</v>
      </c>
      <c r="AQ58" s="148">
        <f>AE58</f>
        <v>5051</v>
      </c>
      <c r="AR58" s="164" t="s">
        <v>50</v>
      </c>
      <c r="AS58" s="164" t="s">
        <v>51</v>
      </c>
      <c r="AT58" s="150">
        <v>0.1</v>
      </c>
      <c r="AU58" s="164" t="s">
        <v>50</v>
      </c>
      <c r="AV58" s="297">
        <f>'Calcul CmO, PmO, Etc.'!E28</f>
        <v>29.7</v>
      </c>
      <c r="AW58" s="164" t="s">
        <v>54</v>
      </c>
      <c r="AX58" s="1400"/>
      <c r="AZ58" s="1397"/>
      <c r="BA58" s="147">
        <f>+'État des Résultats'!W16+'État des Résultats'!W21+'État des Résultats'!W34+'État des Résultats'!W38+'État des Résultats'!W39+'État des Résultats'!W43</f>
        <v>87783.814240083855</v>
      </c>
      <c r="BB58" s="164" t="s">
        <v>48</v>
      </c>
      <c r="BC58" s="148">
        <f>G58</f>
        <v>5051</v>
      </c>
      <c r="BD58" s="164" t="s">
        <v>50</v>
      </c>
      <c r="BE58" s="164" t="s">
        <v>51</v>
      </c>
      <c r="BF58" s="149">
        <f>J58</f>
        <v>2.3000000000000003</v>
      </c>
      <c r="BG58" s="164" t="s">
        <v>50</v>
      </c>
      <c r="BH58" s="197">
        <f>+BA58/BC58/BF58</f>
        <v>7.5563008823120565</v>
      </c>
      <c r="BI58" s="164" t="s">
        <v>54</v>
      </c>
      <c r="BJ58" s="1400"/>
      <c r="BL58" s="1397"/>
      <c r="BM58" s="147">
        <f>E58-BA58</f>
        <v>6947.6907599161641</v>
      </c>
      <c r="BN58" s="164" t="s">
        <v>48</v>
      </c>
      <c r="BO58" s="148">
        <f>G58</f>
        <v>5051</v>
      </c>
      <c r="BP58" s="164" t="s">
        <v>50</v>
      </c>
      <c r="BQ58" s="164" t="s">
        <v>51</v>
      </c>
      <c r="BR58" s="149">
        <f>J58</f>
        <v>2.3000000000000003</v>
      </c>
      <c r="BS58" s="164" t="s">
        <v>50</v>
      </c>
      <c r="BT58" s="147">
        <f>BM58/BO58/BR58</f>
        <v>0.59804694377490153</v>
      </c>
      <c r="BU58" s="164" t="s">
        <v>54</v>
      </c>
      <c r="BV58" s="1400"/>
    </row>
    <row r="59" spans="2:74" ht="17" thickBot="1" x14ac:dyDescent="0.25">
      <c r="B59" s="1394"/>
      <c r="C59" s="1395"/>
      <c r="D59" s="1398"/>
      <c r="E59" s="169"/>
      <c r="F59" s="169"/>
      <c r="G59" s="169"/>
      <c r="H59" s="169"/>
      <c r="I59" s="169"/>
      <c r="J59" s="169"/>
      <c r="K59" s="169"/>
      <c r="L59" s="169"/>
      <c r="M59" s="169"/>
      <c r="N59" s="1401"/>
      <c r="P59" s="1397"/>
      <c r="Q59" s="168"/>
      <c r="R59" s="168"/>
      <c r="S59" s="168"/>
      <c r="T59" s="168"/>
      <c r="U59" s="168"/>
      <c r="V59" s="319"/>
      <c r="W59" s="319"/>
      <c r="X59" s="319"/>
      <c r="Y59" s="168"/>
      <c r="Z59" s="1400"/>
      <c r="AB59" s="1398"/>
      <c r="AC59" s="169"/>
      <c r="AD59" s="169"/>
      <c r="AE59" s="169"/>
      <c r="AF59" s="169"/>
      <c r="AG59" s="169"/>
      <c r="AH59" s="321"/>
      <c r="AI59" s="321"/>
      <c r="AJ59" s="321"/>
      <c r="AK59" s="169"/>
      <c r="AL59" s="1401"/>
      <c r="AN59" s="1398"/>
      <c r="AO59" s="169"/>
      <c r="AP59" s="169"/>
      <c r="AQ59" s="169"/>
      <c r="AR59" s="169"/>
      <c r="AS59" s="169"/>
      <c r="AT59" s="169"/>
      <c r="AU59" s="169"/>
      <c r="AV59" s="431"/>
      <c r="AW59" s="169"/>
      <c r="AX59" s="1401"/>
      <c r="AZ59" s="1398"/>
      <c r="BA59" s="169"/>
      <c r="BB59" s="169"/>
      <c r="BC59" s="169"/>
      <c r="BD59" s="169"/>
      <c r="BE59" s="169"/>
      <c r="BF59" s="169"/>
      <c r="BG59" s="169"/>
      <c r="BH59" s="169"/>
      <c r="BI59" s="169"/>
      <c r="BJ59" s="1401"/>
      <c r="BL59" s="1398"/>
      <c r="BM59" s="169"/>
      <c r="BN59" s="169"/>
      <c r="BO59" s="169"/>
      <c r="BP59" s="169"/>
      <c r="BQ59" s="169"/>
      <c r="BR59" s="169"/>
      <c r="BS59" s="169"/>
      <c r="BT59" s="169"/>
      <c r="BU59" s="169"/>
      <c r="BV59" s="1401"/>
    </row>
    <row r="60" spans="2:74" ht="5" customHeight="1" thickTop="1" thickBot="1" x14ac:dyDescent="0.25">
      <c r="B60" s="1394"/>
      <c r="C60" s="170"/>
      <c r="D60" s="171"/>
      <c r="V60" s="302"/>
      <c r="W60" s="302"/>
      <c r="X60" s="302"/>
      <c r="AH60" s="302"/>
      <c r="AI60" s="302"/>
      <c r="AJ60" s="302"/>
      <c r="AV60" s="302"/>
      <c r="AZ60" s="171"/>
      <c r="BL60" s="171"/>
    </row>
    <row r="61" spans="2:74" ht="17" thickTop="1" x14ac:dyDescent="0.2">
      <c r="B61" s="1394"/>
      <c r="C61" s="1395">
        <v>8</v>
      </c>
      <c r="D61" s="1396" t="s">
        <v>45</v>
      </c>
      <c r="E61" s="162"/>
      <c r="F61" s="162"/>
      <c r="G61" s="201" t="str">
        <f>'Achalandage journalier'!K5</f>
        <v>Pér.08</v>
      </c>
      <c r="H61" s="162"/>
      <c r="I61" s="162"/>
      <c r="J61" s="162"/>
      <c r="K61" s="162"/>
      <c r="L61" s="162"/>
      <c r="M61" s="162"/>
      <c r="N61" s="1399" t="s">
        <v>46</v>
      </c>
      <c r="P61" s="1396" t="s">
        <v>45</v>
      </c>
      <c r="Q61" s="162"/>
      <c r="R61" s="162"/>
      <c r="S61" s="201" t="str">
        <f>G61</f>
        <v>Pér.08</v>
      </c>
      <c r="T61" s="162"/>
      <c r="U61" s="162"/>
      <c r="V61" s="320"/>
      <c r="W61" s="320"/>
      <c r="X61" s="320"/>
      <c r="Y61" s="162"/>
      <c r="Z61" s="1399" t="s">
        <v>46</v>
      </c>
      <c r="AB61" s="1396" t="s">
        <v>45</v>
      </c>
      <c r="AC61" s="162"/>
      <c r="AD61" s="162"/>
      <c r="AE61" s="201" t="str">
        <f>S61</f>
        <v>Pér.08</v>
      </c>
      <c r="AF61" s="162"/>
      <c r="AG61" s="162"/>
      <c r="AH61" s="320"/>
      <c r="AI61" s="320"/>
      <c r="AJ61" s="320"/>
      <c r="AK61" s="162"/>
      <c r="AL61" s="1399" t="s">
        <v>46</v>
      </c>
      <c r="AN61" s="1396" t="s">
        <v>45</v>
      </c>
      <c r="AO61" s="162"/>
      <c r="AP61" s="162"/>
      <c r="AQ61" s="201" t="str">
        <f>AE61</f>
        <v>Pér.08</v>
      </c>
      <c r="AR61" s="162"/>
      <c r="AS61" s="162"/>
      <c r="AT61" s="162"/>
      <c r="AU61" s="162"/>
      <c r="AV61" s="429"/>
      <c r="AW61" s="162"/>
      <c r="AX61" s="1399" t="s">
        <v>46</v>
      </c>
      <c r="AZ61" s="1396" t="s">
        <v>45</v>
      </c>
      <c r="BA61" s="162"/>
      <c r="BB61" s="162"/>
      <c r="BC61" s="201" t="str">
        <f>AQ61</f>
        <v>Pér.08</v>
      </c>
      <c r="BD61" s="162"/>
      <c r="BE61" s="162"/>
      <c r="BF61" s="162"/>
      <c r="BG61" s="162"/>
      <c r="BH61" s="162"/>
      <c r="BI61" s="162"/>
      <c r="BJ61" s="1399" t="s">
        <v>46</v>
      </c>
      <c r="BL61" s="1396" t="s">
        <v>45</v>
      </c>
      <c r="BM61" s="162"/>
      <c r="BN61" s="162"/>
      <c r="BO61" s="201" t="str">
        <f>BC61</f>
        <v>Pér.08</v>
      </c>
      <c r="BP61" s="162"/>
      <c r="BQ61" s="162"/>
      <c r="BR61" s="162"/>
      <c r="BS61" s="162"/>
      <c r="BT61" s="162"/>
      <c r="BU61" s="162"/>
      <c r="BV61" s="1399" t="s">
        <v>46</v>
      </c>
    </row>
    <row r="62" spans="2:74" ht="16" x14ac:dyDescent="0.2">
      <c r="B62" s="1394"/>
      <c r="C62" s="1395"/>
      <c r="D62" s="1397"/>
      <c r="E62" s="163"/>
      <c r="F62" s="163"/>
      <c r="G62" s="163"/>
      <c r="H62" s="163"/>
      <c r="I62" s="163"/>
      <c r="J62" s="163"/>
      <c r="K62" s="163"/>
      <c r="L62" s="163"/>
      <c r="M62" s="163"/>
      <c r="N62" s="1400"/>
      <c r="P62" s="1397"/>
      <c r="Q62" s="163"/>
      <c r="R62" s="163"/>
      <c r="S62" s="163"/>
      <c r="T62" s="163"/>
      <c r="U62" s="163"/>
      <c r="V62" s="317"/>
      <c r="W62" s="317"/>
      <c r="X62" s="317"/>
      <c r="Y62" s="163"/>
      <c r="Z62" s="1400"/>
      <c r="AB62" s="1397"/>
      <c r="AC62" s="163"/>
      <c r="AD62" s="163"/>
      <c r="AE62" s="163"/>
      <c r="AF62" s="163"/>
      <c r="AG62" s="163"/>
      <c r="AH62" s="317"/>
      <c r="AI62" s="317"/>
      <c r="AJ62" s="317"/>
      <c r="AK62" s="163"/>
      <c r="AL62" s="1400"/>
      <c r="AN62" s="1397"/>
      <c r="AO62" s="163"/>
      <c r="AP62" s="163"/>
      <c r="AQ62" s="163"/>
      <c r="AR62" s="163"/>
      <c r="AS62" s="163"/>
      <c r="AT62" s="163"/>
      <c r="AU62" s="163"/>
      <c r="AV62" s="430"/>
      <c r="AW62" s="163"/>
      <c r="AX62" s="1400"/>
      <c r="AZ62" s="1397"/>
      <c r="BA62" s="163"/>
      <c r="BB62" s="163"/>
      <c r="BC62" s="163"/>
      <c r="BD62" s="163"/>
      <c r="BE62" s="163"/>
      <c r="BF62" s="163"/>
      <c r="BG62" s="163"/>
      <c r="BH62" s="163"/>
      <c r="BI62" s="163"/>
      <c r="BJ62" s="1400"/>
      <c r="BL62" s="1397"/>
      <c r="BM62" s="163"/>
      <c r="BN62" s="163"/>
      <c r="BO62" s="163"/>
      <c r="BP62" s="163"/>
      <c r="BQ62" s="163"/>
      <c r="BR62" s="163"/>
      <c r="BS62" s="163"/>
      <c r="BT62" s="163"/>
      <c r="BU62" s="163"/>
      <c r="BV62" s="1400"/>
    </row>
    <row r="63" spans="2:74" ht="21" x14ac:dyDescent="0.25">
      <c r="B63" s="1394"/>
      <c r="C63" s="1395"/>
      <c r="D63" s="1397"/>
      <c r="E63" s="164" t="str">
        <f>E55</f>
        <v>Demande mensuelle</v>
      </c>
      <c r="F63" s="164" t="s">
        <v>48</v>
      </c>
      <c r="G63" s="164" t="str">
        <f>G55</f>
        <v>Achalandage mensuel</v>
      </c>
      <c r="H63" s="164" t="s">
        <v>50</v>
      </c>
      <c r="I63" s="164" t="s">
        <v>51</v>
      </c>
      <c r="J63" s="164" t="str">
        <f>J55</f>
        <v>Um/A</v>
      </c>
      <c r="K63" s="164" t="s">
        <v>50</v>
      </c>
      <c r="L63" s="164" t="str">
        <f>L55</f>
        <v>PmO</v>
      </c>
      <c r="M63" s="164" t="s">
        <v>54</v>
      </c>
      <c r="N63" s="1400"/>
      <c r="P63" s="1397"/>
      <c r="Q63" s="164" t="str">
        <f>Q55</f>
        <v>Demande mensuelle</v>
      </c>
      <c r="R63" s="164" t="s">
        <v>48</v>
      </c>
      <c r="S63" s="164" t="str">
        <f>S55</f>
        <v>Achalandage mensuel</v>
      </c>
      <c r="T63" s="164" t="s">
        <v>50</v>
      </c>
      <c r="U63" s="164" t="s">
        <v>51</v>
      </c>
      <c r="V63" s="308" t="str">
        <f>V55</f>
        <v>Um/A</v>
      </c>
      <c r="W63" s="308" t="s">
        <v>50</v>
      </c>
      <c r="X63" s="308" t="str">
        <f>X55</f>
        <v>PmO</v>
      </c>
      <c r="Y63" s="164" t="s">
        <v>54</v>
      </c>
      <c r="Z63" s="1400"/>
      <c r="AB63" s="1397"/>
      <c r="AC63" s="164" t="str">
        <f>AC55</f>
        <v>Demande mensuelle</v>
      </c>
      <c r="AD63" s="164" t="s">
        <v>48</v>
      </c>
      <c r="AE63" s="164" t="str">
        <f>AE55</f>
        <v>Achalandage mensuel</v>
      </c>
      <c r="AF63" s="164" t="s">
        <v>50</v>
      </c>
      <c r="AG63" s="164" t="s">
        <v>51</v>
      </c>
      <c r="AH63" s="308" t="str">
        <f>AH55</f>
        <v>Um/A</v>
      </c>
      <c r="AI63" s="308" t="s">
        <v>50</v>
      </c>
      <c r="AJ63" s="308" t="str">
        <f>AJ55</f>
        <v>PmO</v>
      </c>
      <c r="AK63" s="164" t="s">
        <v>54</v>
      </c>
      <c r="AL63" s="1400"/>
      <c r="AN63" s="1397"/>
      <c r="AO63" s="164" t="str">
        <f>AO55</f>
        <v>Demande mensuelle</v>
      </c>
      <c r="AP63" s="164" t="s">
        <v>48</v>
      </c>
      <c r="AQ63" s="164" t="str">
        <f>AQ55</f>
        <v>Achalandage mensuel</v>
      </c>
      <c r="AR63" s="164" t="s">
        <v>50</v>
      </c>
      <c r="AS63" s="164" t="s">
        <v>51</v>
      </c>
      <c r="AT63" s="164" t="str">
        <f>AT55</f>
        <v>Um/A</v>
      </c>
      <c r="AU63" s="164" t="s">
        <v>50</v>
      </c>
      <c r="AV63" s="308" t="str">
        <f>AV55</f>
        <v>PmO</v>
      </c>
      <c r="AW63" s="164" t="s">
        <v>54</v>
      </c>
      <c r="AX63" s="1400"/>
      <c r="AZ63" s="1397"/>
      <c r="BA63" s="164" t="str">
        <f>BA55</f>
        <v>Coût mensuel</v>
      </c>
      <c r="BB63" s="164" t="s">
        <v>48</v>
      </c>
      <c r="BC63" s="164" t="str">
        <f>BC55</f>
        <v>Achalandage mensuel</v>
      </c>
      <c r="BD63" s="164" t="s">
        <v>50</v>
      </c>
      <c r="BE63" s="164" t="s">
        <v>51</v>
      </c>
      <c r="BF63" s="164" t="str">
        <f>BF55</f>
        <v>Um/A</v>
      </c>
      <c r="BG63" s="164" t="s">
        <v>50</v>
      </c>
      <c r="BH63" s="164" t="str">
        <f>BH55</f>
        <v>CmO</v>
      </c>
      <c r="BI63" s="164" t="s">
        <v>54</v>
      </c>
      <c r="BJ63" s="1400"/>
      <c r="BL63" s="1397"/>
      <c r="BM63" s="164" t="str">
        <f>BM55</f>
        <v>Bénéfice mensuel</v>
      </c>
      <c r="BN63" s="164" t="s">
        <v>48</v>
      </c>
      <c r="BO63" s="164" t="str">
        <f>BO55</f>
        <v>Achalandage mensuel</v>
      </c>
      <c r="BP63" s="164" t="s">
        <v>50</v>
      </c>
      <c r="BQ63" s="164" t="s">
        <v>51</v>
      </c>
      <c r="BR63" s="164" t="str">
        <f>BR55</f>
        <v>Um/A</v>
      </c>
      <c r="BS63" s="164" t="s">
        <v>50</v>
      </c>
      <c r="BT63" s="164" t="str">
        <f>BT55</f>
        <v>BmO</v>
      </c>
      <c r="BU63" s="164" t="s">
        <v>54</v>
      </c>
      <c r="BV63" s="1400"/>
    </row>
    <row r="64" spans="2:74" ht="19" x14ac:dyDescent="0.25">
      <c r="B64" s="1394"/>
      <c r="C64" s="1395"/>
      <c r="D64" s="1397"/>
      <c r="E64" s="165" t="s">
        <v>1</v>
      </c>
      <c r="F64" s="166"/>
      <c r="G64" s="165"/>
      <c r="H64" s="166"/>
      <c r="I64" s="166"/>
      <c r="J64" s="166"/>
      <c r="K64" s="166"/>
      <c r="L64" s="166"/>
      <c r="M64" s="166"/>
      <c r="N64" s="1400"/>
      <c r="P64" s="1397"/>
      <c r="Q64" s="165" t="s">
        <v>1</v>
      </c>
      <c r="R64" s="166"/>
      <c r="S64" s="165"/>
      <c r="T64" s="166"/>
      <c r="U64" s="166"/>
      <c r="V64" s="318"/>
      <c r="W64" s="318"/>
      <c r="X64" s="318"/>
      <c r="Y64" s="166"/>
      <c r="Z64" s="1400"/>
      <c r="AB64" s="1397"/>
      <c r="AC64" s="165" t="s">
        <v>1</v>
      </c>
      <c r="AD64" s="166"/>
      <c r="AE64" s="165"/>
      <c r="AF64" s="166"/>
      <c r="AG64" s="166"/>
      <c r="AH64" s="318"/>
      <c r="AI64" s="318"/>
      <c r="AJ64" s="318"/>
      <c r="AK64" s="166"/>
      <c r="AL64" s="1400"/>
      <c r="AN64" s="1397"/>
      <c r="AO64" s="165" t="s">
        <v>1</v>
      </c>
      <c r="AP64" s="166"/>
      <c r="AQ64" s="165"/>
      <c r="AR64" s="166"/>
      <c r="AS64" s="166"/>
      <c r="AT64" s="166"/>
      <c r="AU64" s="166"/>
      <c r="AV64" s="318"/>
      <c r="AW64" s="166"/>
      <c r="AX64" s="1400"/>
      <c r="AZ64" s="1397"/>
      <c r="BA64" s="165" t="s">
        <v>1</v>
      </c>
      <c r="BB64" s="166"/>
      <c r="BC64" s="165"/>
      <c r="BD64" s="166"/>
      <c r="BE64" s="166"/>
      <c r="BF64" s="166"/>
      <c r="BG64" s="166"/>
      <c r="BH64" s="166"/>
      <c r="BI64" s="166"/>
      <c r="BJ64" s="1400"/>
      <c r="BL64" s="1397"/>
      <c r="BM64" s="165" t="s">
        <v>1</v>
      </c>
      <c r="BN64" s="166"/>
      <c r="BO64" s="165"/>
      <c r="BP64" s="166"/>
      <c r="BQ64" s="166"/>
      <c r="BR64" s="166"/>
      <c r="BS64" s="166"/>
      <c r="BT64" s="166"/>
      <c r="BU64" s="166"/>
      <c r="BV64" s="1400"/>
    </row>
    <row r="65" spans="2:74" ht="26" x14ac:dyDescent="0.3">
      <c r="B65" s="1394"/>
      <c r="C65" s="1395"/>
      <c r="D65" s="1397"/>
      <c r="E65" s="167" t="str">
        <f>E57</f>
        <v>D</v>
      </c>
      <c r="F65" s="168"/>
      <c r="G65" s="167" t="str">
        <f>G57</f>
        <v>A</v>
      </c>
      <c r="H65" s="168"/>
      <c r="I65" s="168"/>
      <c r="J65" s="167" t="str">
        <f>+J63</f>
        <v>Um/A</v>
      </c>
      <c r="K65" s="168"/>
      <c r="L65" s="167" t="str">
        <f>+L63</f>
        <v>PmO</v>
      </c>
      <c r="M65" s="168"/>
      <c r="N65" s="1400"/>
      <c r="P65" s="1397"/>
      <c r="Q65" s="167" t="str">
        <f>Q57</f>
        <v>D</v>
      </c>
      <c r="R65" s="168"/>
      <c r="S65" s="167" t="str">
        <f>S57</f>
        <v>A</v>
      </c>
      <c r="T65" s="168"/>
      <c r="U65" s="168"/>
      <c r="V65" s="309" t="str">
        <f>+V63</f>
        <v>Um/A</v>
      </c>
      <c r="W65" s="319"/>
      <c r="X65" s="309" t="str">
        <f>+X63</f>
        <v>PmO</v>
      </c>
      <c r="Y65" s="168"/>
      <c r="Z65" s="1400"/>
      <c r="AB65" s="1397"/>
      <c r="AC65" s="167" t="str">
        <f>AC57</f>
        <v>D</v>
      </c>
      <c r="AD65" s="168"/>
      <c r="AE65" s="167" t="str">
        <f>AE57</f>
        <v>A</v>
      </c>
      <c r="AF65" s="168"/>
      <c r="AG65" s="168"/>
      <c r="AH65" s="309" t="str">
        <f>+AH63</f>
        <v>Um/A</v>
      </c>
      <c r="AI65" s="319"/>
      <c r="AJ65" s="309" t="str">
        <f>+AJ63</f>
        <v>PmO</v>
      </c>
      <c r="AK65" s="168"/>
      <c r="AL65" s="1400"/>
      <c r="AN65" s="1397"/>
      <c r="AO65" s="167" t="str">
        <f>AO57</f>
        <v>D</v>
      </c>
      <c r="AP65" s="168"/>
      <c r="AQ65" s="167" t="str">
        <f>AQ57</f>
        <v>A</v>
      </c>
      <c r="AR65" s="168"/>
      <c r="AS65" s="168"/>
      <c r="AT65" s="167" t="str">
        <f>+AT63</f>
        <v>Um/A</v>
      </c>
      <c r="AU65" s="168"/>
      <c r="AV65" s="309" t="str">
        <f>+AV63</f>
        <v>PmO</v>
      </c>
      <c r="AW65" s="168"/>
      <c r="AX65" s="1400"/>
      <c r="AZ65" s="1397"/>
      <c r="BA65" s="167" t="str">
        <f>BA57</f>
        <v xml:space="preserve">C </v>
      </c>
      <c r="BB65" s="168"/>
      <c r="BC65" s="167" t="str">
        <f>BC57</f>
        <v>A</v>
      </c>
      <c r="BD65" s="168"/>
      <c r="BE65" s="168"/>
      <c r="BF65" s="167" t="str">
        <f>+BF63</f>
        <v>Um/A</v>
      </c>
      <c r="BG65" s="168"/>
      <c r="BH65" s="167" t="str">
        <f>+BH63</f>
        <v>CmO</v>
      </c>
      <c r="BI65" s="168"/>
      <c r="BJ65" s="1400"/>
      <c r="BL65" s="1397"/>
      <c r="BM65" s="167" t="str">
        <f>BM57</f>
        <v xml:space="preserve">B </v>
      </c>
      <c r="BN65" s="168"/>
      <c r="BO65" s="167" t="str">
        <f>BO57</f>
        <v>A</v>
      </c>
      <c r="BP65" s="168"/>
      <c r="BQ65" s="168"/>
      <c r="BR65" s="167" t="str">
        <f>+BR63</f>
        <v>Um/A</v>
      </c>
      <c r="BS65" s="168"/>
      <c r="BT65" s="167" t="str">
        <f>+BT63</f>
        <v>BmO</v>
      </c>
      <c r="BU65" s="168"/>
      <c r="BV65" s="1400"/>
    </row>
    <row r="66" spans="2:74" ht="21" x14ac:dyDescent="0.25">
      <c r="B66" s="1394"/>
      <c r="C66" s="1395"/>
      <c r="D66" s="1397"/>
      <c r="E66" s="147">
        <f>+Q66+AC66+AO66</f>
        <v>107935.02500000002</v>
      </c>
      <c r="F66" s="164" t="s">
        <v>48</v>
      </c>
      <c r="G66" s="148">
        <f>'% Occupation'!K19</f>
        <v>5755</v>
      </c>
      <c r="H66" s="164" t="s">
        <v>50</v>
      </c>
      <c r="I66" s="164" t="s">
        <v>51</v>
      </c>
      <c r="J66" s="149">
        <f>+V66+AH66+AT66</f>
        <v>2.3000000000000003</v>
      </c>
      <c r="K66" s="164" t="s">
        <v>50</v>
      </c>
      <c r="L66" s="147">
        <f>E66/G66/J66</f>
        <v>8.1543478260869566</v>
      </c>
      <c r="M66" s="164" t="s">
        <v>54</v>
      </c>
      <c r="N66" s="1400"/>
      <c r="P66" s="1397"/>
      <c r="Q66" s="147">
        <f>+S66*(V66*X66)</f>
        <v>30491.90833333334</v>
      </c>
      <c r="R66" s="164" t="s">
        <v>48</v>
      </c>
      <c r="S66" s="148">
        <f>G66</f>
        <v>5755</v>
      </c>
      <c r="T66" s="164" t="s">
        <v>50</v>
      </c>
      <c r="U66" s="164" t="s">
        <v>51</v>
      </c>
      <c r="V66" s="296">
        <f>'Calcul CmO et PmO'!L322</f>
        <v>1.1000000000000001</v>
      </c>
      <c r="W66" s="308" t="s">
        <v>50</v>
      </c>
      <c r="X66" s="297">
        <f>'Calcul CmO et PmO'!F322</f>
        <v>4.8166666666666673</v>
      </c>
      <c r="Y66" s="164" t="s">
        <v>54</v>
      </c>
      <c r="Z66" s="1400"/>
      <c r="AB66" s="1397"/>
      <c r="AC66" s="147">
        <f>+AE66*(AH66*AJ66)</f>
        <v>60350.766666666677</v>
      </c>
      <c r="AD66" s="164" t="s">
        <v>48</v>
      </c>
      <c r="AE66" s="148">
        <f>S66</f>
        <v>5755</v>
      </c>
      <c r="AF66" s="164" t="s">
        <v>50</v>
      </c>
      <c r="AG66" s="164" t="s">
        <v>51</v>
      </c>
      <c r="AH66" s="296">
        <f>'Calcul CmO et PmO'!L337</f>
        <v>1.1000000000000001</v>
      </c>
      <c r="AI66" s="308" t="s">
        <v>50</v>
      </c>
      <c r="AJ66" s="297">
        <f>'Calcul CmO et PmO'!F337</f>
        <v>9.5333333333333332</v>
      </c>
      <c r="AK66" s="164" t="s">
        <v>54</v>
      </c>
      <c r="AL66" s="1400"/>
      <c r="AN66" s="1397"/>
      <c r="AO66" s="147">
        <f>+AQ66*(AT66*AV66)</f>
        <v>17092.350000000002</v>
      </c>
      <c r="AP66" s="164" t="s">
        <v>48</v>
      </c>
      <c r="AQ66" s="148">
        <f>AE66</f>
        <v>5755</v>
      </c>
      <c r="AR66" s="164" t="s">
        <v>50</v>
      </c>
      <c r="AS66" s="164" t="s">
        <v>51</v>
      </c>
      <c r="AT66" s="150">
        <v>0.1</v>
      </c>
      <c r="AU66" s="164" t="s">
        <v>50</v>
      </c>
      <c r="AV66" s="297">
        <f>'Calcul CmO, PmO, Etc.'!E28</f>
        <v>29.7</v>
      </c>
      <c r="AW66" s="164" t="s">
        <v>54</v>
      </c>
      <c r="AX66" s="1400"/>
      <c r="AZ66" s="1397"/>
      <c r="BA66" s="147">
        <f>+'État des Résultats'!Z16+'État des Résultats'!Z21+'État des Résultats'!Z34+'État des Résultats'!Z38+'État des Résultats'!Z39+'État des Résultats'!Z43</f>
        <v>98718.428430803877</v>
      </c>
      <c r="BB66" s="164" t="s">
        <v>48</v>
      </c>
      <c r="BC66" s="148">
        <f>G66</f>
        <v>5755</v>
      </c>
      <c r="BD66" s="164" t="s">
        <v>50</v>
      </c>
      <c r="BE66" s="164" t="s">
        <v>51</v>
      </c>
      <c r="BF66" s="149">
        <f>J66</f>
        <v>2.3000000000000003</v>
      </c>
      <c r="BG66" s="164" t="s">
        <v>50</v>
      </c>
      <c r="BH66" s="197">
        <f>+BA66/BC66/BF66</f>
        <v>7.4580461927853943</v>
      </c>
      <c r="BI66" s="164" t="s">
        <v>54</v>
      </c>
      <c r="BJ66" s="1400"/>
      <c r="BL66" s="1397"/>
      <c r="BM66" s="147">
        <f>E66-BA66</f>
        <v>9216.5965691961464</v>
      </c>
      <c r="BN66" s="164" t="s">
        <v>48</v>
      </c>
      <c r="BO66" s="148">
        <f>G66</f>
        <v>5755</v>
      </c>
      <c r="BP66" s="164" t="s">
        <v>50</v>
      </c>
      <c r="BQ66" s="164" t="s">
        <v>51</v>
      </c>
      <c r="BR66" s="149">
        <f>J66</f>
        <v>2.3000000000000003</v>
      </c>
      <c r="BS66" s="164" t="s">
        <v>50</v>
      </c>
      <c r="BT66" s="147">
        <f>BM66/BO66/BR66</f>
        <v>0.69630163330156347</v>
      </c>
      <c r="BU66" s="164" t="s">
        <v>54</v>
      </c>
      <c r="BV66" s="1400"/>
    </row>
    <row r="67" spans="2:74" ht="17" thickBot="1" x14ac:dyDescent="0.25">
      <c r="B67" s="1394"/>
      <c r="C67" s="1395"/>
      <c r="D67" s="1398"/>
      <c r="E67" s="169"/>
      <c r="F67" s="169"/>
      <c r="G67" s="169"/>
      <c r="H67" s="169"/>
      <c r="I67" s="169"/>
      <c r="J67" s="169"/>
      <c r="K67" s="169"/>
      <c r="L67" s="169"/>
      <c r="M67" s="169"/>
      <c r="N67" s="1401"/>
      <c r="P67" s="1398"/>
      <c r="Q67" s="169"/>
      <c r="R67" s="169"/>
      <c r="S67" s="169"/>
      <c r="T67" s="169"/>
      <c r="U67" s="169"/>
      <c r="V67" s="321"/>
      <c r="W67" s="321"/>
      <c r="X67" s="321"/>
      <c r="Y67" s="169"/>
      <c r="Z67" s="1401"/>
      <c r="AB67" s="1398"/>
      <c r="AC67" s="169"/>
      <c r="AD67" s="169"/>
      <c r="AE67" s="169"/>
      <c r="AF67" s="169"/>
      <c r="AG67" s="169"/>
      <c r="AH67" s="321"/>
      <c r="AI67" s="321"/>
      <c r="AJ67" s="321"/>
      <c r="AK67" s="169"/>
      <c r="AL67" s="1401"/>
      <c r="AN67" s="1398"/>
      <c r="AO67" s="169"/>
      <c r="AP67" s="169"/>
      <c r="AQ67" s="169"/>
      <c r="AR67" s="169"/>
      <c r="AS67" s="169"/>
      <c r="AT67" s="169"/>
      <c r="AU67" s="169"/>
      <c r="AV67" s="431"/>
      <c r="AW67" s="169"/>
      <c r="AX67" s="1401"/>
      <c r="AZ67" s="1398"/>
      <c r="BA67" s="169"/>
      <c r="BB67" s="169"/>
      <c r="BC67" s="169"/>
      <c r="BD67" s="169"/>
      <c r="BE67" s="169"/>
      <c r="BF67" s="169"/>
      <c r="BG67" s="169"/>
      <c r="BH67" s="169"/>
      <c r="BI67" s="169"/>
      <c r="BJ67" s="1401"/>
      <c r="BL67" s="1398"/>
      <c r="BM67" s="169"/>
      <c r="BN67" s="169"/>
      <c r="BO67" s="169"/>
      <c r="BP67" s="169"/>
      <c r="BQ67" s="169"/>
      <c r="BR67" s="169"/>
      <c r="BS67" s="169"/>
      <c r="BT67" s="169"/>
      <c r="BU67" s="169"/>
      <c r="BV67" s="1401"/>
    </row>
    <row r="68" spans="2:74" ht="5" customHeight="1" thickTop="1" thickBot="1" x14ac:dyDescent="0.2">
      <c r="B68" s="1394"/>
      <c r="C68" s="139"/>
      <c r="V68" s="302"/>
      <c r="W68" s="302"/>
      <c r="X68" s="302"/>
      <c r="AH68" s="302"/>
      <c r="AI68" s="302"/>
      <c r="AJ68" s="302"/>
      <c r="AV68" s="302"/>
    </row>
    <row r="69" spans="2:74" ht="17" thickTop="1" x14ac:dyDescent="0.2">
      <c r="B69" s="1394"/>
      <c r="C69" s="1395">
        <v>9</v>
      </c>
      <c r="D69" s="1396" t="s">
        <v>45</v>
      </c>
      <c r="E69" s="162"/>
      <c r="F69" s="162"/>
      <c r="G69" s="201" t="str">
        <f>'Achalandage journalier'!L5</f>
        <v>Pér.09</v>
      </c>
      <c r="H69" s="162"/>
      <c r="I69" s="162"/>
      <c r="J69" s="162"/>
      <c r="K69" s="162"/>
      <c r="L69" s="162"/>
      <c r="M69" s="162"/>
      <c r="N69" s="1399" t="s">
        <v>46</v>
      </c>
      <c r="P69" s="1396" t="s">
        <v>45</v>
      </c>
      <c r="Q69" s="162"/>
      <c r="R69" s="162"/>
      <c r="S69" s="201" t="str">
        <f>G69</f>
        <v>Pér.09</v>
      </c>
      <c r="T69" s="162"/>
      <c r="U69" s="162"/>
      <c r="V69" s="320"/>
      <c r="W69" s="320"/>
      <c r="X69" s="320"/>
      <c r="Y69" s="162"/>
      <c r="Z69" s="1399" t="s">
        <v>46</v>
      </c>
      <c r="AB69" s="1396" t="s">
        <v>45</v>
      </c>
      <c r="AC69" s="162"/>
      <c r="AD69" s="162"/>
      <c r="AE69" s="201" t="str">
        <f>S69</f>
        <v>Pér.09</v>
      </c>
      <c r="AF69" s="162"/>
      <c r="AG69" s="162"/>
      <c r="AH69" s="320"/>
      <c r="AI69" s="320"/>
      <c r="AJ69" s="320"/>
      <c r="AK69" s="162"/>
      <c r="AL69" s="1399" t="s">
        <v>46</v>
      </c>
      <c r="AN69" s="1396" t="s">
        <v>45</v>
      </c>
      <c r="AO69" s="162"/>
      <c r="AP69" s="162"/>
      <c r="AQ69" s="201" t="str">
        <f>AE69</f>
        <v>Pér.09</v>
      </c>
      <c r="AR69" s="162"/>
      <c r="AS69" s="162"/>
      <c r="AT69" s="162"/>
      <c r="AU69" s="162"/>
      <c r="AV69" s="429"/>
      <c r="AW69" s="162"/>
      <c r="AX69" s="1399" t="s">
        <v>46</v>
      </c>
      <c r="AZ69" s="1396" t="s">
        <v>45</v>
      </c>
      <c r="BA69" s="162"/>
      <c r="BB69" s="162"/>
      <c r="BC69" s="201" t="str">
        <f>AQ69</f>
        <v>Pér.09</v>
      </c>
      <c r="BD69" s="162"/>
      <c r="BE69" s="162"/>
      <c r="BF69" s="162"/>
      <c r="BG69" s="162"/>
      <c r="BH69" s="162"/>
      <c r="BI69" s="162"/>
      <c r="BJ69" s="1399" t="s">
        <v>46</v>
      </c>
      <c r="BL69" s="1396" t="s">
        <v>45</v>
      </c>
      <c r="BM69" s="162"/>
      <c r="BN69" s="162"/>
      <c r="BO69" s="201" t="str">
        <f>BC69</f>
        <v>Pér.09</v>
      </c>
      <c r="BP69" s="162"/>
      <c r="BQ69" s="162"/>
      <c r="BR69" s="162"/>
      <c r="BS69" s="162"/>
      <c r="BT69" s="162"/>
      <c r="BU69" s="162"/>
      <c r="BV69" s="1399" t="s">
        <v>46</v>
      </c>
    </row>
    <row r="70" spans="2:74" ht="16" x14ac:dyDescent="0.2">
      <c r="B70" s="1394"/>
      <c r="C70" s="1395"/>
      <c r="D70" s="1397"/>
      <c r="E70" s="163"/>
      <c r="F70" s="163"/>
      <c r="G70" s="163"/>
      <c r="H70" s="163"/>
      <c r="I70" s="163"/>
      <c r="J70" s="163"/>
      <c r="K70" s="163"/>
      <c r="L70" s="163"/>
      <c r="M70" s="163"/>
      <c r="N70" s="1400"/>
      <c r="P70" s="1397"/>
      <c r="Q70" s="163"/>
      <c r="R70" s="163"/>
      <c r="S70" s="163"/>
      <c r="T70" s="163"/>
      <c r="U70" s="163"/>
      <c r="V70" s="317"/>
      <c r="W70" s="317"/>
      <c r="X70" s="317"/>
      <c r="Y70" s="163"/>
      <c r="Z70" s="1400"/>
      <c r="AB70" s="1397"/>
      <c r="AC70" s="163"/>
      <c r="AD70" s="163"/>
      <c r="AE70" s="163"/>
      <c r="AF70" s="163"/>
      <c r="AG70" s="163"/>
      <c r="AH70" s="317"/>
      <c r="AI70" s="317"/>
      <c r="AJ70" s="317"/>
      <c r="AK70" s="163"/>
      <c r="AL70" s="1400"/>
      <c r="AN70" s="1397"/>
      <c r="AO70" s="163"/>
      <c r="AP70" s="163"/>
      <c r="AQ70" s="163"/>
      <c r="AR70" s="163"/>
      <c r="AS70" s="163"/>
      <c r="AT70" s="163"/>
      <c r="AU70" s="163"/>
      <c r="AV70" s="430"/>
      <c r="AW70" s="163"/>
      <c r="AX70" s="1400"/>
      <c r="AZ70" s="1397"/>
      <c r="BA70" s="163"/>
      <c r="BB70" s="163"/>
      <c r="BC70" s="163"/>
      <c r="BD70" s="163"/>
      <c r="BE70" s="163"/>
      <c r="BF70" s="163"/>
      <c r="BG70" s="163"/>
      <c r="BH70" s="163"/>
      <c r="BI70" s="163"/>
      <c r="BJ70" s="1400"/>
      <c r="BL70" s="1397"/>
      <c r="BM70" s="163"/>
      <c r="BN70" s="163"/>
      <c r="BO70" s="163"/>
      <c r="BP70" s="163"/>
      <c r="BQ70" s="163"/>
      <c r="BR70" s="163"/>
      <c r="BS70" s="163"/>
      <c r="BT70" s="163"/>
      <c r="BU70" s="163"/>
      <c r="BV70" s="1400"/>
    </row>
    <row r="71" spans="2:74" ht="21" x14ac:dyDescent="0.25">
      <c r="B71" s="1394"/>
      <c r="C71" s="1395"/>
      <c r="D71" s="1397"/>
      <c r="E71" s="164" t="str">
        <f>E63</f>
        <v>Demande mensuelle</v>
      </c>
      <c r="F71" s="164" t="s">
        <v>48</v>
      </c>
      <c r="G71" s="164" t="str">
        <f>G63</f>
        <v>Achalandage mensuel</v>
      </c>
      <c r="H71" s="164" t="s">
        <v>50</v>
      </c>
      <c r="I71" s="164" t="s">
        <v>51</v>
      </c>
      <c r="J71" s="164" t="str">
        <f>J63</f>
        <v>Um/A</v>
      </c>
      <c r="K71" s="164" t="s">
        <v>50</v>
      </c>
      <c r="L71" s="164" t="str">
        <f>L63</f>
        <v>PmO</v>
      </c>
      <c r="M71" s="164" t="s">
        <v>54</v>
      </c>
      <c r="N71" s="1400"/>
      <c r="P71" s="1397"/>
      <c r="Q71" s="164" t="str">
        <f>Q63</f>
        <v>Demande mensuelle</v>
      </c>
      <c r="R71" s="164" t="s">
        <v>48</v>
      </c>
      <c r="S71" s="164" t="str">
        <f>S63</f>
        <v>Achalandage mensuel</v>
      </c>
      <c r="T71" s="164" t="s">
        <v>50</v>
      </c>
      <c r="U71" s="164" t="s">
        <v>51</v>
      </c>
      <c r="V71" s="308" t="str">
        <f>V63</f>
        <v>Um/A</v>
      </c>
      <c r="W71" s="308" t="s">
        <v>50</v>
      </c>
      <c r="X71" s="308" t="str">
        <f>X63</f>
        <v>PmO</v>
      </c>
      <c r="Y71" s="164" t="s">
        <v>54</v>
      </c>
      <c r="Z71" s="1400"/>
      <c r="AB71" s="1397"/>
      <c r="AC71" s="164" t="str">
        <f>AC63</f>
        <v>Demande mensuelle</v>
      </c>
      <c r="AD71" s="164" t="s">
        <v>48</v>
      </c>
      <c r="AE71" s="164" t="str">
        <f>AE63</f>
        <v>Achalandage mensuel</v>
      </c>
      <c r="AF71" s="164" t="s">
        <v>50</v>
      </c>
      <c r="AG71" s="164" t="s">
        <v>51</v>
      </c>
      <c r="AH71" s="308" t="str">
        <f>AH63</f>
        <v>Um/A</v>
      </c>
      <c r="AI71" s="308" t="s">
        <v>50</v>
      </c>
      <c r="AJ71" s="308" t="str">
        <f>AJ63</f>
        <v>PmO</v>
      </c>
      <c r="AK71" s="164" t="s">
        <v>54</v>
      </c>
      <c r="AL71" s="1400"/>
      <c r="AN71" s="1397"/>
      <c r="AO71" s="164" t="str">
        <f>AO63</f>
        <v>Demande mensuelle</v>
      </c>
      <c r="AP71" s="164" t="s">
        <v>48</v>
      </c>
      <c r="AQ71" s="164" t="str">
        <f>AQ63</f>
        <v>Achalandage mensuel</v>
      </c>
      <c r="AR71" s="164" t="s">
        <v>50</v>
      </c>
      <c r="AS71" s="164" t="s">
        <v>51</v>
      </c>
      <c r="AT71" s="164" t="str">
        <f>AT63</f>
        <v>Um/A</v>
      </c>
      <c r="AU71" s="164" t="s">
        <v>50</v>
      </c>
      <c r="AV71" s="308" t="str">
        <f>AV63</f>
        <v>PmO</v>
      </c>
      <c r="AW71" s="164" t="s">
        <v>54</v>
      </c>
      <c r="AX71" s="1400"/>
      <c r="AZ71" s="1397"/>
      <c r="BA71" s="164" t="str">
        <f>BA63</f>
        <v>Coût mensuel</v>
      </c>
      <c r="BB71" s="164" t="s">
        <v>48</v>
      </c>
      <c r="BC71" s="164" t="str">
        <f>BC63</f>
        <v>Achalandage mensuel</v>
      </c>
      <c r="BD71" s="164" t="s">
        <v>50</v>
      </c>
      <c r="BE71" s="164" t="s">
        <v>51</v>
      </c>
      <c r="BF71" s="164" t="str">
        <f>BF63</f>
        <v>Um/A</v>
      </c>
      <c r="BG71" s="164" t="s">
        <v>50</v>
      </c>
      <c r="BH71" s="164" t="str">
        <f>BH63</f>
        <v>CmO</v>
      </c>
      <c r="BI71" s="164" t="s">
        <v>54</v>
      </c>
      <c r="BJ71" s="1400"/>
      <c r="BL71" s="1397"/>
      <c r="BM71" s="164" t="str">
        <f>BM63</f>
        <v>Bénéfice mensuel</v>
      </c>
      <c r="BN71" s="164" t="s">
        <v>48</v>
      </c>
      <c r="BO71" s="164" t="str">
        <f>BO63</f>
        <v>Achalandage mensuel</v>
      </c>
      <c r="BP71" s="164" t="s">
        <v>50</v>
      </c>
      <c r="BQ71" s="164" t="s">
        <v>51</v>
      </c>
      <c r="BR71" s="164" t="str">
        <f>BR63</f>
        <v>Um/A</v>
      </c>
      <c r="BS71" s="164" t="s">
        <v>50</v>
      </c>
      <c r="BT71" s="164" t="str">
        <f>BT63</f>
        <v>BmO</v>
      </c>
      <c r="BU71" s="164" t="s">
        <v>54</v>
      </c>
      <c r="BV71" s="1400"/>
    </row>
    <row r="72" spans="2:74" ht="19" x14ac:dyDescent="0.25">
      <c r="B72" s="1394"/>
      <c r="C72" s="1395"/>
      <c r="D72" s="1397"/>
      <c r="E72" s="165" t="s">
        <v>1</v>
      </c>
      <c r="F72" s="166"/>
      <c r="G72" s="165"/>
      <c r="H72" s="166"/>
      <c r="I72" s="166"/>
      <c r="J72" s="166"/>
      <c r="K72" s="166"/>
      <c r="L72" s="166"/>
      <c r="M72" s="166"/>
      <c r="N72" s="1400"/>
      <c r="P72" s="1397"/>
      <c r="Q72" s="165" t="s">
        <v>1</v>
      </c>
      <c r="R72" s="166"/>
      <c r="S72" s="165"/>
      <c r="T72" s="166"/>
      <c r="U72" s="166"/>
      <c r="V72" s="318"/>
      <c r="W72" s="318"/>
      <c r="X72" s="318"/>
      <c r="Y72" s="166"/>
      <c r="Z72" s="1400"/>
      <c r="AB72" s="1397"/>
      <c r="AC72" s="165" t="s">
        <v>1</v>
      </c>
      <c r="AD72" s="166"/>
      <c r="AE72" s="165"/>
      <c r="AF72" s="166"/>
      <c r="AG72" s="166"/>
      <c r="AH72" s="318"/>
      <c r="AI72" s="318"/>
      <c r="AJ72" s="318"/>
      <c r="AK72" s="166"/>
      <c r="AL72" s="1400"/>
      <c r="AN72" s="1397"/>
      <c r="AO72" s="165" t="s">
        <v>1</v>
      </c>
      <c r="AP72" s="166"/>
      <c r="AQ72" s="165"/>
      <c r="AR72" s="166"/>
      <c r="AS72" s="166"/>
      <c r="AT72" s="166"/>
      <c r="AU72" s="166"/>
      <c r="AV72" s="318"/>
      <c r="AW72" s="166"/>
      <c r="AX72" s="1400"/>
      <c r="AZ72" s="1397"/>
      <c r="BA72" s="165" t="s">
        <v>1</v>
      </c>
      <c r="BB72" s="166"/>
      <c r="BC72" s="165"/>
      <c r="BD72" s="166"/>
      <c r="BE72" s="166"/>
      <c r="BF72" s="166"/>
      <c r="BG72" s="166"/>
      <c r="BH72" s="166"/>
      <c r="BI72" s="166"/>
      <c r="BJ72" s="1400"/>
      <c r="BL72" s="1397"/>
      <c r="BM72" s="165" t="s">
        <v>1</v>
      </c>
      <c r="BN72" s="166"/>
      <c r="BO72" s="165"/>
      <c r="BP72" s="166"/>
      <c r="BQ72" s="166"/>
      <c r="BR72" s="166"/>
      <c r="BS72" s="166"/>
      <c r="BT72" s="166"/>
      <c r="BU72" s="166"/>
      <c r="BV72" s="1400"/>
    </row>
    <row r="73" spans="2:74" ht="26" x14ac:dyDescent="0.3">
      <c r="B73" s="1394"/>
      <c r="C73" s="1395"/>
      <c r="D73" s="1397"/>
      <c r="E73" s="167" t="str">
        <f>E65</f>
        <v>D</v>
      </c>
      <c r="F73" s="168"/>
      <c r="G73" s="167" t="str">
        <f>G65</f>
        <v>A</v>
      </c>
      <c r="H73" s="168"/>
      <c r="I73" s="168"/>
      <c r="J73" s="167" t="str">
        <f>+J71</f>
        <v>Um/A</v>
      </c>
      <c r="K73" s="168"/>
      <c r="L73" s="167" t="str">
        <f>+L71</f>
        <v>PmO</v>
      </c>
      <c r="M73" s="168"/>
      <c r="N73" s="1400"/>
      <c r="P73" s="1397"/>
      <c r="Q73" s="167" t="str">
        <f>Q65</f>
        <v>D</v>
      </c>
      <c r="R73" s="168"/>
      <c r="S73" s="167" t="str">
        <f>S65</f>
        <v>A</v>
      </c>
      <c r="T73" s="168"/>
      <c r="U73" s="168"/>
      <c r="V73" s="309" t="str">
        <f>+V71</f>
        <v>Um/A</v>
      </c>
      <c r="W73" s="319"/>
      <c r="X73" s="309" t="str">
        <f>+X71</f>
        <v>PmO</v>
      </c>
      <c r="Y73" s="168"/>
      <c r="Z73" s="1400"/>
      <c r="AB73" s="1397"/>
      <c r="AC73" s="167" t="str">
        <f>AC65</f>
        <v>D</v>
      </c>
      <c r="AD73" s="168"/>
      <c r="AE73" s="167" t="str">
        <f>AE65</f>
        <v>A</v>
      </c>
      <c r="AF73" s="168"/>
      <c r="AG73" s="168"/>
      <c r="AH73" s="309" t="str">
        <f>+AH71</f>
        <v>Um/A</v>
      </c>
      <c r="AI73" s="319"/>
      <c r="AJ73" s="309" t="str">
        <f>+AJ71</f>
        <v>PmO</v>
      </c>
      <c r="AK73" s="168"/>
      <c r="AL73" s="1400"/>
      <c r="AN73" s="1397"/>
      <c r="AO73" s="167" t="str">
        <f>AO65</f>
        <v>D</v>
      </c>
      <c r="AP73" s="168"/>
      <c r="AQ73" s="167" t="str">
        <f>AQ65</f>
        <v>A</v>
      </c>
      <c r="AR73" s="168"/>
      <c r="AS73" s="168"/>
      <c r="AT73" s="167" t="str">
        <f>+AT71</f>
        <v>Um/A</v>
      </c>
      <c r="AU73" s="168"/>
      <c r="AV73" s="309" t="str">
        <f>+AV71</f>
        <v>PmO</v>
      </c>
      <c r="AW73" s="168"/>
      <c r="AX73" s="1400"/>
      <c r="AZ73" s="1397"/>
      <c r="BA73" s="167" t="str">
        <f>BA65</f>
        <v xml:space="preserve">C </v>
      </c>
      <c r="BB73" s="168"/>
      <c r="BC73" s="167" t="str">
        <f>BC65</f>
        <v>A</v>
      </c>
      <c r="BD73" s="168"/>
      <c r="BE73" s="168"/>
      <c r="BF73" s="167" t="str">
        <f>+BF71</f>
        <v>Um/A</v>
      </c>
      <c r="BG73" s="168"/>
      <c r="BH73" s="167" t="str">
        <f>+BH71</f>
        <v>CmO</v>
      </c>
      <c r="BI73" s="168"/>
      <c r="BJ73" s="1400"/>
      <c r="BL73" s="1397"/>
      <c r="BM73" s="167" t="str">
        <f>BM65</f>
        <v xml:space="preserve">B </v>
      </c>
      <c r="BN73" s="168"/>
      <c r="BO73" s="167" t="str">
        <f>BO65</f>
        <v>A</v>
      </c>
      <c r="BP73" s="168"/>
      <c r="BQ73" s="168"/>
      <c r="BR73" s="167" t="str">
        <f>+BR71</f>
        <v>Um/A</v>
      </c>
      <c r="BS73" s="168"/>
      <c r="BT73" s="167" t="str">
        <f>+BT71</f>
        <v>BmO</v>
      </c>
      <c r="BU73" s="168"/>
      <c r="BV73" s="1400"/>
    </row>
    <row r="74" spans="2:74" ht="21" x14ac:dyDescent="0.25">
      <c r="B74" s="1394"/>
      <c r="C74" s="1395"/>
      <c r="D74" s="1397"/>
      <c r="E74" s="147">
        <f>+Q74+AC74+AO74</f>
        <v>107935.02500000002</v>
      </c>
      <c r="F74" s="164" t="s">
        <v>48</v>
      </c>
      <c r="G74" s="148">
        <f>'% Occupation'!L19</f>
        <v>5755</v>
      </c>
      <c r="H74" s="164" t="s">
        <v>50</v>
      </c>
      <c r="I74" s="164" t="s">
        <v>51</v>
      </c>
      <c r="J74" s="149">
        <f>+V74+AH74+AT74</f>
        <v>2.3000000000000003</v>
      </c>
      <c r="K74" s="164" t="s">
        <v>50</v>
      </c>
      <c r="L74" s="147">
        <f>E74/G74/J74</f>
        <v>8.1543478260869566</v>
      </c>
      <c r="M74" s="164" t="s">
        <v>54</v>
      </c>
      <c r="N74" s="1400"/>
      <c r="P74" s="1397"/>
      <c r="Q74" s="147">
        <f>+S74*(V74*X74)</f>
        <v>30491.90833333334</v>
      </c>
      <c r="R74" s="164" t="s">
        <v>48</v>
      </c>
      <c r="S74" s="148">
        <f>G74</f>
        <v>5755</v>
      </c>
      <c r="T74" s="164" t="s">
        <v>50</v>
      </c>
      <c r="U74" s="164" t="s">
        <v>51</v>
      </c>
      <c r="V74" s="296">
        <f>'Calcul CmO et PmO'!L365</f>
        <v>1.1000000000000001</v>
      </c>
      <c r="W74" s="308" t="s">
        <v>50</v>
      </c>
      <c r="X74" s="297">
        <f>'Calcul CmO et PmO'!F365</f>
        <v>4.8166666666666673</v>
      </c>
      <c r="Y74" s="164" t="s">
        <v>54</v>
      </c>
      <c r="Z74" s="1400"/>
      <c r="AB74" s="1397"/>
      <c r="AC74" s="147">
        <f>+AE74*(AH74*AJ74)</f>
        <v>60350.766666666677</v>
      </c>
      <c r="AD74" s="164" t="s">
        <v>48</v>
      </c>
      <c r="AE74" s="148">
        <f>S74</f>
        <v>5755</v>
      </c>
      <c r="AF74" s="164" t="s">
        <v>50</v>
      </c>
      <c r="AG74" s="164" t="s">
        <v>51</v>
      </c>
      <c r="AH74" s="296">
        <f>'Calcul CmO et PmO'!L380</f>
        <v>1.1000000000000001</v>
      </c>
      <c r="AI74" s="308" t="s">
        <v>50</v>
      </c>
      <c r="AJ74" s="297">
        <f>'Calcul CmO et PmO'!F380</f>
        <v>9.5333333333333332</v>
      </c>
      <c r="AK74" s="164" t="s">
        <v>54</v>
      </c>
      <c r="AL74" s="1400"/>
      <c r="AN74" s="1397"/>
      <c r="AO74" s="147">
        <f>+AQ74*(AT74*AV74)</f>
        <v>17092.350000000002</v>
      </c>
      <c r="AP74" s="164" t="s">
        <v>48</v>
      </c>
      <c r="AQ74" s="148">
        <f>AE74</f>
        <v>5755</v>
      </c>
      <c r="AR74" s="164" t="s">
        <v>50</v>
      </c>
      <c r="AS74" s="164" t="s">
        <v>51</v>
      </c>
      <c r="AT74" s="150">
        <v>0.1</v>
      </c>
      <c r="AU74" s="164" t="s">
        <v>50</v>
      </c>
      <c r="AV74" s="297">
        <f>'Calcul CmO, PmO, Etc.'!E28</f>
        <v>29.7</v>
      </c>
      <c r="AW74" s="164" t="s">
        <v>54</v>
      </c>
      <c r="AX74" s="1400"/>
      <c r="AZ74" s="1397"/>
      <c r="BA74" s="147">
        <f>+'État des Résultats'!AC16+'État des Résultats'!AC21+'État des Résultats'!AC34+'État des Résultats'!AC38+'État des Résultats'!AC39+'État des Résultats'!AC43</f>
        <v>98718.428430803877</v>
      </c>
      <c r="BB74" s="164" t="s">
        <v>48</v>
      </c>
      <c r="BC74" s="148">
        <f>G74</f>
        <v>5755</v>
      </c>
      <c r="BD74" s="164" t="s">
        <v>50</v>
      </c>
      <c r="BE74" s="164" t="s">
        <v>51</v>
      </c>
      <c r="BF74" s="149">
        <f>J74</f>
        <v>2.3000000000000003</v>
      </c>
      <c r="BG74" s="164" t="s">
        <v>50</v>
      </c>
      <c r="BH74" s="197">
        <f>+BA74/BC74/BF74</f>
        <v>7.4580461927853943</v>
      </c>
      <c r="BI74" s="164" t="s">
        <v>54</v>
      </c>
      <c r="BJ74" s="1400"/>
      <c r="BL74" s="1397"/>
      <c r="BM74" s="147">
        <f>E74-BA74</f>
        <v>9216.5965691961464</v>
      </c>
      <c r="BN74" s="164" t="s">
        <v>48</v>
      </c>
      <c r="BO74" s="148">
        <f>G74</f>
        <v>5755</v>
      </c>
      <c r="BP74" s="164" t="s">
        <v>50</v>
      </c>
      <c r="BQ74" s="164" t="s">
        <v>51</v>
      </c>
      <c r="BR74" s="149">
        <f>J74</f>
        <v>2.3000000000000003</v>
      </c>
      <c r="BS74" s="164" t="s">
        <v>50</v>
      </c>
      <c r="BT74" s="147">
        <f>BM74/BO74/BR74</f>
        <v>0.69630163330156347</v>
      </c>
      <c r="BU74" s="164" t="s">
        <v>54</v>
      </c>
      <c r="BV74" s="1400"/>
    </row>
    <row r="75" spans="2:74" ht="17" thickBot="1" x14ac:dyDescent="0.25">
      <c r="B75" s="1394"/>
      <c r="C75" s="1395"/>
      <c r="D75" s="1398"/>
      <c r="E75" s="169"/>
      <c r="F75" s="169"/>
      <c r="G75" s="169"/>
      <c r="H75" s="169"/>
      <c r="I75" s="169"/>
      <c r="J75" s="169"/>
      <c r="K75" s="169"/>
      <c r="L75" s="169"/>
      <c r="M75" s="169"/>
      <c r="N75" s="1401"/>
      <c r="P75" s="1398"/>
      <c r="Q75" s="169"/>
      <c r="R75" s="169"/>
      <c r="S75" s="169"/>
      <c r="T75" s="169"/>
      <c r="U75" s="169"/>
      <c r="V75" s="321"/>
      <c r="W75" s="321"/>
      <c r="X75" s="321"/>
      <c r="Y75" s="169"/>
      <c r="Z75" s="1401"/>
      <c r="AB75" s="1398"/>
      <c r="AC75" s="169"/>
      <c r="AD75" s="169"/>
      <c r="AE75" s="169"/>
      <c r="AF75" s="169"/>
      <c r="AG75" s="169"/>
      <c r="AH75" s="321"/>
      <c r="AI75" s="321"/>
      <c r="AJ75" s="321"/>
      <c r="AK75" s="169"/>
      <c r="AL75" s="1401"/>
      <c r="AN75" s="1398"/>
      <c r="AO75" s="169"/>
      <c r="AP75" s="169"/>
      <c r="AQ75" s="169"/>
      <c r="AR75" s="169"/>
      <c r="AS75" s="169"/>
      <c r="AT75" s="169"/>
      <c r="AU75" s="169"/>
      <c r="AV75" s="431"/>
      <c r="AW75" s="169"/>
      <c r="AX75" s="1401"/>
      <c r="AZ75" s="1398"/>
      <c r="BA75" s="169"/>
      <c r="BB75" s="169"/>
      <c r="BC75" s="169"/>
      <c r="BD75" s="169"/>
      <c r="BE75" s="169"/>
      <c r="BF75" s="169"/>
      <c r="BG75" s="169"/>
      <c r="BH75" s="169"/>
      <c r="BI75" s="169"/>
      <c r="BJ75" s="1401"/>
      <c r="BL75" s="1398"/>
      <c r="BM75" s="169"/>
      <c r="BN75" s="169"/>
      <c r="BO75" s="169"/>
      <c r="BP75" s="169"/>
      <c r="BQ75" s="169"/>
      <c r="BR75" s="169"/>
      <c r="BS75" s="169"/>
      <c r="BT75" s="169"/>
      <c r="BU75" s="169"/>
      <c r="BV75" s="1401"/>
    </row>
    <row r="76" spans="2:74" ht="10" customHeight="1" thickTop="1" thickBot="1" x14ac:dyDescent="0.2">
      <c r="C76" s="139"/>
      <c r="V76" s="302"/>
      <c r="W76" s="302"/>
      <c r="X76" s="302"/>
      <c r="AH76" s="302"/>
      <c r="AI76" s="302"/>
      <c r="AJ76" s="302"/>
      <c r="AV76" s="302"/>
    </row>
    <row r="77" spans="2:74" ht="17" thickTop="1" x14ac:dyDescent="0.2">
      <c r="B77" s="1374" t="s">
        <v>1</v>
      </c>
      <c r="C77" s="1404">
        <v>10</v>
      </c>
      <c r="D77" s="1362" t="s">
        <v>45</v>
      </c>
      <c r="E77" s="172"/>
      <c r="F77" s="172"/>
      <c r="G77" s="203" t="str">
        <f>'Achalandage journalier'!M5</f>
        <v>Pér.10</v>
      </c>
      <c r="H77" s="172"/>
      <c r="I77" s="172"/>
      <c r="J77" s="172"/>
      <c r="K77" s="172"/>
      <c r="L77" s="172"/>
      <c r="M77" s="172"/>
      <c r="N77" s="1365" t="s">
        <v>46</v>
      </c>
      <c r="P77" s="1362" t="s">
        <v>45</v>
      </c>
      <c r="Q77" s="172"/>
      <c r="R77" s="172"/>
      <c r="S77" s="203" t="str">
        <f>G77</f>
        <v>Pér.10</v>
      </c>
      <c r="T77" s="172"/>
      <c r="U77" s="172"/>
      <c r="V77" s="322"/>
      <c r="W77" s="322"/>
      <c r="X77" s="322"/>
      <c r="Y77" s="172"/>
      <c r="Z77" s="1365" t="s">
        <v>46</v>
      </c>
      <c r="AB77" s="1362" t="s">
        <v>45</v>
      </c>
      <c r="AC77" s="172"/>
      <c r="AD77" s="172"/>
      <c r="AE77" s="203" t="str">
        <f>S77</f>
        <v>Pér.10</v>
      </c>
      <c r="AF77" s="172"/>
      <c r="AG77" s="172"/>
      <c r="AH77" s="322"/>
      <c r="AI77" s="322"/>
      <c r="AJ77" s="322"/>
      <c r="AK77" s="172"/>
      <c r="AL77" s="1365" t="s">
        <v>46</v>
      </c>
      <c r="AN77" s="1362" t="s">
        <v>45</v>
      </c>
      <c r="AO77" s="172"/>
      <c r="AP77" s="172"/>
      <c r="AQ77" s="203" t="str">
        <f>AE77</f>
        <v>Pér.10</v>
      </c>
      <c r="AR77" s="172"/>
      <c r="AS77" s="172"/>
      <c r="AT77" s="172"/>
      <c r="AU77" s="172"/>
      <c r="AV77" s="432"/>
      <c r="AW77" s="172"/>
      <c r="AX77" s="1365" t="s">
        <v>46</v>
      </c>
      <c r="AZ77" s="1362" t="s">
        <v>45</v>
      </c>
      <c r="BA77" s="172"/>
      <c r="BB77" s="172"/>
      <c r="BC77" s="203" t="str">
        <f>AQ77</f>
        <v>Pér.10</v>
      </c>
      <c r="BD77" s="172"/>
      <c r="BE77" s="172"/>
      <c r="BF77" s="172"/>
      <c r="BG77" s="172"/>
      <c r="BH77" s="172"/>
      <c r="BI77" s="172"/>
      <c r="BJ77" s="1365" t="s">
        <v>46</v>
      </c>
      <c r="BL77" s="1362" t="s">
        <v>45</v>
      </c>
      <c r="BM77" s="172"/>
      <c r="BN77" s="172"/>
      <c r="BO77" s="203" t="str">
        <f>BC77</f>
        <v>Pér.10</v>
      </c>
      <c r="BP77" s="172"/>
      <c r="BQ77" s="172"/>
      <c r="BR77" s="172"/>
      <c r="BS77" s="172"/>
      <c r="BT77" s="172"/>
      <c r="BU77" s="172"/>
      <c r="BV77" s="1365" t="s">
        <v>46</v>
      </c>
    </row>
    <row r="78" spans="2:74" ht="16" x14ac:dyDescent="0.2">
      <c r="B78" s="1375"/>
      <c r="C78" s="1404"/>
      <c r="D78" s="1363"/>
      <c r="E78" s="173"/>
      <c r="F78" s="173"/>
      <c r="G78" s="173"/>
      <c r="H78" s="173"/>
      <c r="I78" s="173"/>
      <c r="J78" s="173"/>
      <c r="K78" s="173"/>
      <c r="L78" s="173"/>
      <c r="M78" s="173"/>
      <c r="N78" s="1366"/>
      <c r="P78" s="1363"/>
      <c r="Q78" s="173"/>
      <c r="R78" s="173"/>
      <c r="S78" s="173"/>
      <c r="T78" s="173"/>
      <c r="U78" s="173"/>
      <c r="V78" s="323"/>
      <c r="W78" s="323"/>
      <c r="X78" s="323"/>
      <c r="Y78" s="173"/>
      <c r="Z78" s="1366"/>
      <c r="AB78" s="1363"/>
      <c r="AC78" s="173"/>
      <c r="AD78" s="173"/>
      <c r="AE78" s="173"/>
      <c r="AF78" s="173"/>
      <c r="AG78" s="173"/>
      <c r="AH78" s="323"/>
      <c r="AI78" s="323"/>
      <c r="AJ78" s="323"/>
      <c r="AK78" s="173"/>
      <c r="AL78" s="1366"/>
      <c r="AN78" s="1363"/>
      <c r="AO78" s="173"/>
      <c r="AP78" s="173"/>
      <c r="AQ78" s="173"/>
      <c r="AR78" s="173"/>
      <c r="AS78" s="173"/>
      <c r="AT78" s="173"/>
      <c r="AU78" s="173"/>
      <c r="AV78" s="433"/>
      <c r="AW78" s="173"/>
      <c r="AX78" s="1366"/>
      <c r="AZ78" s="1363"/>
      <c r="BA78" s="173"/>
      <c r="BB78" s="173"/>
      <c r="BC78" s="173"/>
      <c r="BD78" s="173"/>
      <c r="BE78" s="173"/>
      <c r="BF78" s="173"/>
      <c r="BG78" s="173"/>
      <c r="BH78" s="173"/>
      <c r="BI78" s="173"/>
      <c r="BJ78" s="1366"/>
      <c r="BL78" s="1363"/>
      <c r="BM78" s="173"/>
      <c r="BN78" s="173"/>
      <c r="BO78" s="173"/>
      <c r="BP78" s="173"/>
      <c r="BQ78" s="173"/>
      <c r="BR78" s="173"/>
      <c r="BS78" s="173"/>
      <c r="BT78" s="173"/>
      <c r="BU78" s="173"/>
      <c r="BV78" s="1366"/>
    </row>
    <row r="79" spans="2:74" ht="21" x14ac:dyDescent="0.25">
      <c r="B79" s="1375"/>
      <c r="C79" s="1404"/>
      <c r="D79" s="1363"/>
      <c r="E79" s="174" t="str">
        <f>E71</f>
        <v>Demande mensuelle</v>
      </c>
      <c r="F79" s="174" t="s">
        <v>48</v>
      </c>
      <c r="G79" s="174" t="str">
        <f>G71</f>
        <v>Achalandage mensuel</v>
      </c>
      <c r="H79" s="174" t="s">
        <v>50</v>
      </c>
      <c r="I79" s="174" t="s">
        <v>51</v>
      </c>
      <c r="J79" s="174" t="str">
        <f>J71</f>
        <v>Um/A</v>
      </c>
      <c r="K79" s="174" t="s">
        <v>50</v>
      </c>
      <c r="L79" s="174" t="str">
        <f>L71</f>
        <v>PmO</v>
      </c>
      <c r="M79" s="174" t="s">
        <v>54</v>
      </c>
      <c r="N79" s="1366"/>
      <c r="P79" s="1363"/>
      <c r="Q79" s="174" t="str">
        <f>Q71</f>
        <v>Demande mensuelle</v>
      </c>
      <c r="R79" s="174" t="s">
        <v>48</v>
      </c>
      <c r="S79" s="174" t="str">
        <f>S71</f>
        <v>Achalandage mensuel</v>
      </c>
      <c r="T79" s="174" t="s">
        <v>50</v>
      </c>
      <c r="U79" s="174" t="s">
        <v>51</v>
      </c>
      <c r="V79" s="310" t="str">
        <f>V71</f>
        <v>Um/A</v>
      </c>
      <c r="W79" s="310" t="s">
        <v>50</v>
      </c>
      <c r="X79" s="310" t="str">
        <f>X71</f>
        <v>PmO</v>
      </c>
      <c r="Y79" s="174" t="s">
        <v>54</v>
      </c>
      <c r="Z79" s="1366"/>
      <c r="AB79" s="1363"/>
      <c r="AC79" s="174" t="str">
        <f>AC71</f>
        <v>Demande mensuelle</v>
      </c>
      <c r="AD79" s="174" t="s">
        <v>48</v>
      </c>
      <c r="AE79" s="174" t="str">
        <f>AE71</f>
        <v>Achalandage mensuel</v>
      </c>
      <c r="AF79" s="174" t="s">
        <v>50</v>
      </c>
      <c r="AG79" s="174" t="s">
        <v>51</v>
      </c>
      <c r="AH79" s="310" t="str">
        <f>AH71</f>
        <v>Um/A</v>
      </c>
      <c r="AI79" s="310" t="s">
        <v>50</v>
      </c>
      <c r="AJ79" s="310" t="str">
        <f>AJ71</f>
        <v>PmO</v>
      </c>
      <c r="AK79" s="174" t="s">
        <v>54</v>
      </c>
      <c r="AL79" s="1366"/>
      <c r="AN79" s="1363"/>
      <c r="AO79" s="174" t="str">
        <f>AO71</f>
        <v>Demande mensuelle</v>
      </c>
      <c r="AP79" s="174" t="s">
        <v>48</v>
      </c>
      <c r="AQ79" s="174" t="str">
        <f>AQ71</f>
        <v>Achalandage mensuel</v>
      </c>
      <c r="AR79" s="174" t="s">
        <v>50</v>
      </c>
      <c r="AS79" s="174" t="s">
        <v>51</v>
      </c>
      <c r="AT79" s="174" t="str">
        <f>AT71</f>
        <v>Um/A</v>
      </c>
      <c r="AU79" s="174" t="s">
        <v>50</v>
      </c>
      <c r="AV79" s="310" t="str">
        <f>AV71</f>
        <v>PmO</v>
      </c>
      <c r="AW79" s="174" t="s">
        <v>54</v>
      </c>
      <c r="AX79" s="1366"/>
      <c r="AZ79" s="1363"/>
      <c r="BA79" s="174" t="str">
        <f>BA71</f>
        <v>Coût mensuel</v>
      </c>
      <c r="BB79" s="174" t="s">
        <v>48</v>
      </c>
      <c r="BC79" s="174" t="str">
        <f>BC71</f>
        <v>Achalandage mensuel</v>
      </c>
      <c r="BD79" s="174" t="s">
        <v>50</v>
      </c>
      <c r="BE79" s="174" t="s">
        <v>51</v>
      </c>
      <c r="BF79" s="174" t="str">
        <f>BF71</f>
        <v>Um/A</v>
      </c>
      <c r="BG79" s="174" t="s">
        <v>50</v>
      </c>
      <c r="BH79" s="174" t="str">
        <f>BH71</f>
        <v>CmO</v>
      </c>
      <c r="BI79" s="174" t="s">
        <v>54</v>
      </c>
      <c r="BJ79" s="1366"/>
      <c r="BL79" s="1363"/>
      <c r="BM79" s="174" t="str">
        <f>BM71</f>
        <v>Bénéfice mensuel</v>
      </c>
      <c r="BN79" s="174" t="s">
        <v>48</v>
      </c>
      <c r="BO79" s="174" t="str">
        <f>BO71</f>
        <v>Achalandage mensuel</v>
      </c>
      <c r="BP79" s="174" t="s">
        <v>50</v>
      </c>
      <c r="BQ79" s="174" t="s">
        <v>51</v>
      </c>
      <c r="BR79" s="174" t="str">
        <f>BR71</f>
        <v>Um/A</v>
      </c>
      <c r="BS79" s="174" t="s">
        <v>50</v>
      </c>
      <c r="BT79" s="174" t="str">
        <f>BT71</f>
        <v>BmO</v>
      </c>
      <c r="BU79" s="174" t="s">
        <v>54</v>
      </c>
      <c r="BV79" s="1366"/>
    </row>
    <row r="80" spans="2:74" ht="19" x14ac:dyDescent="0.25">
      <c r="B80" s="1375"/>
      <c r="C80" s="1404"/>
      <c r="D80" s="1363"/>
      <c r="E80" s="175" t="s">
        <v>1</v>
      </c>
      <c r="F80" s="176"/>
      <c r="G80" s="175"/>
      <c r="H80" s="176"/>
      <c r="I80" s="176"/>
      <c r="J80" s="176"/>
      <c r="K80" s="176"/>
      <c r="L80" s="176"/>
      <c r="M80" s="176"/>
      <c r="N80" s="1366"/>
      <c r="P80" s="1363"/>
      <c r="Q80" s="175" t="s">
        <v>1</v>
      </c>
      <c r="R80" s="176"/>
      <c r="S80" s="175"/>
      <c r="T80" s="176"/>
      <c r="U80" s="176"/>
      <c r="V80" s="324"/>
      <c r="W80" s="324"/>
      <c r="X80" s="324"/>
      <c r="Y80" s="176"/>
      <c r="Z80" s="1366"/>
      <c r="AB80" s="1363"/>
      <c r="AC80" s="175" t="s">
        <v>1</v>
      </c>
      <c r="AD80" s="176"/>
      <c r="AE80" s="175"/>
      <c r="AF80" s="176"/>
      <c r="AG80" s="176"/>
      <c r="AH80" s="324"/>
      <c r="AI80" s="324"/>
      <c r="AJ80" s="324"/>
      <c r="AK80" s="176"/>
      <c r="AL80" s="1366"/>
      <c r="AN80" s="1363"/>
      <c r="AO80" s="175" t="s">
        <v>1</v>
      </c>
      <c r="AP80" s="176"/>
      <c r="AQ80" s="175"/>
      <c r="AR80" s="176"/>
      <c r="AS80" s="176"/>
      <c r="AT80" s="176"/>
      <c r="AU80" s="176"/>
      <c r="AV80" s="324"/>
      <c r="AW80" s="176"/>
      <c r="AX80" s="1366"/>
      <c r="AZ80" s="1363"/>
      <c r="BA80" s="175" t="s">
        <v>1</v>
      </c>
      <c r="BB80" s="176"/>
      <c r="BC80" s="175"/>
      <c r="BD80" s="176"/>
      <c r="BE80" s="176"/>
      <c r="BF80" s="176"/>
      <c r="BG80" s="176"/>
      <c r="BH80" s="176"/>
      <c r="BI80" s="176"/>
      <c r="BJ80" s="1366"/>
      <c r="BL80" s="1363"/>
      <c r="BM80" s="175" t="s">
        <v>1</v>
      </c>
      <c r="BN80" s="176"/>
      <c r="BO80" s="175"/>
      <c r="BP80" s="176"/>
      <c r="BQ80" s="176"/>
      <c r="BR80" s="176"/>
      <c r="BS80" s="176"/>
      <c r="BT80" s="176"/>
      <c r="BU80" s="176"/>
      <c r="BV80" s="1366"/>
    </row>
    <row r="81" spans="2:74" ht="26" x14ac:dyDescent="0.3">
      <c r="B81" s="1375"/>
      <c r="C81" s="1404"/>
      <c r="D81" s="1363"/>
      <c r="E81" s="177" t="str">
        <f>E73</f>
        <v>D</v>
      </c>
      <c r="F81" s="178"/>
      <c r="G81" s="177" t="str">
        <f>G73</f>
        <v>A</v>
      </c>
      <c r="H81" s="178"/>
      <c r="I81" s="178"/>
      <c r="J81" s="177" t="str">
        <f>+J79</f>
        <v>Um/A</v>
      </c>
      <c r="K81" s="178"/>
      <c r="L81" s="177" t="str">
        <f>+L79</f>
        <v>PmO</v>
      </c>
      <c r="M81" s="178"/>
      <c r="N81" s="1366"/>
      <c r="P81" s="1363"/>
      <c r="Q81" s="177" t="str">
        <f>Q73</f>
        <v>D</v>
      </c>
      <c r="R81" s="178"/>
      <c r="S81" s="177" t="str">
        <f>S73</f>
        <v>A</v>
      </c>
      <c r="T81" s="178"/>
      <c r="U81" s="178"/>
      <c r="V81" s="311" t="str">
        <f>+V79</f>
        <v>Um/A</v>
      </c>
      <c r="W81" s="325"/>
      <c r="X81" s="311" t="str">
        <f>+X79</f>
        <v>PmO</v>
      </c>
      <c r="Y81" s="178"/>
      <c r="Z81" s="1366"/>
      <c r="AB81" s="1363"/>
      <c r="AC81" s="177" t="str">
        <f>AC73</f>
        <v>D</v>
      </c>
      <c r="AD81" s="178"/>
      <c r="AE81" s="177" t="str">
        <f>AE73</f>
        <v>A</v>
      </c>
      <c r="AF81" s="178"/>
      <c r="AG81" s="178"/>
      <c r="AH81" s="311" t="str">
        <f>+AH79</f>
        <v>Um/A</v>
      </c>
      <c r="AI81" s="325"/>
      <c r="AJ81" s="311" t="str">
        <f>+AJ79</f>
        <v>PmO</v>
      </c>
      <c r="AK81" s="178"/>
      <c r="AL81" s="1366"/>
      <c r="AN81" s="1363"/>
      <c r="AO81" s="177" t="str">
        <f>AO73</f>
        <v>D</v>
      </c>
      <c r="AP81" s="178"/>
      <c r="AQ81" s="177" t="str">
        <f>AQ73</f>
        <v>A</v>
      </c>
      <c r="AR81" s="178"/>
      <c r="AS81" s="178"/>
      <c r="AT81" s="177" t="str">
        <f>+AT79</f>
        <v>Um/A</v>
      </c>
      <c r="AU81" s="178"/>
      <c r="AV81" s="311" t="str">
        <f>+AV79</f>
        <v>PmO</v>
      </c>
      <c r="AW81" s="178"/>
      <c r="AX81" s="1366"/>
      <c r="AZ81" s="1363"/>
      <c r="BA81" s="177" t="str">
        <f>BA73</f>
        <v xml:space="preserve">C </v>
      </c>
      <c r="BB81" s="178"/>
      <c r="BC81" s="177" t="str">
        <f>BC73</f>
        <v>A</v>
      </c>
      <c r="BD81" s="178"/>
      <c r="BE81" s="178"/>
      <c r="BF81" s="177" t="str">
        <f>+BF79</f>
        <v>Um/A</v>
      </c>
      <c r="BG81" s="178"/>
      <c r="BH81" s="177" t="str">
        <f>+BH79</f>
        <v>CmO</v>
      </c>
      <c r="BI81" s="178"/>
      <c r="BJ81" s="1366"/>
      <c r="BL81" s="1363"/>
      <c r="BM81" s="177" t="str">
        <f>BM73</f>
        <v xml:space="preserve">B </v>
      </c>
      <c r="BN81" s="178"/>
      <c r="BO81" s="177" t="str">
        <f>BO73</f>
        <v>A</v>
      </c>
      <c r="BP81" s="178"/>
      <c r="BQ81" s="178"/>
      <c r="BR81" s="177" t="str">
        <f>+BR79</f>
        <v>Um/A</v>
      </c>
      <c r="BS81" s="178"/>
      <c r="BT81" s="177" t="str">
        <f>+BT79</f>
        <v>BmO</v>
      </c>
      <c r="BU81" s="178"/>
      <c r="BV81" s="1366"/>
    </row>
    <row r="82" spans="2:74" ht="21" x14ac:dyDescent="0.25">
      <c r="B82" s="1375"/>
      <c r="C82" s="1404"/>
      <c r="D82" s="1363"/>
      <c r="E82" s="147">
        <f>+Q82+AC82+AO82</f>
        <v>112064.2375</v>
      </c>
      <c r="F82" s="174" t="s">
        <v>48</v>
      </c>
      <c r="G82" s="148">
        <f>'% Occupation'!M19</f>
        <v>5755</v>
      </c>
      <c r="H82" s="174" t="s">
        <v>50</v>
      </c>
      <c r="I82" s="174" t="s">
        <v>51</v>
      </c>
      <c r="J82" s="149">
        <f>+V82+AH82+AT82</f>
        <v>2.4</v>
      </c>
      <c r="K82" s="174" t="s">
        <v>50</v>
      </c>
      <c r="L82" s="147">
        <f>E82/G82/J82</f>
        <v>8.1135416666666664</v>
      </c>
      <c r="M82" s="174" t="s">
        <v>54</v>
      </c>
      <c r="N82" s="1366"/>
      <c r="P82" s="1363"/>
      <c r="Q82" s="147">
        <f>+S82*(V82*X82)</f>
        <v>31877.904166666667</v>
      </c>
      <c r="R82" s="174" t="s">
        <v>48</v>
      </c>
      <c r="S82" s="148">
        <f>G82</f>
        <v>5755</v>
      </c>
      <c r="T82" s="174" t="s">
        <v>50</v>
      </c>
      <c r="U82" s="174" t="s">
        <v>51</v>
      </c>
      <c r="V82" s="296">
        <f>'Calcul CmO et PmO'!L408</f>
        <v>1.1499999999999999</v>
      </c>
      <c r="W82" s="310" t="s">
        <v>50</v>
      </c>
      <c r="X82" s="297">
        <f>'Calcul CmO et PmO'!F408</f>
        <v>4.8166666666666673</v>
      </c>
      <c r="Y82" s="174" t="s">
        <v>54</v>
      </c>
      <c r="Z82" s="1366"/>
      <c r="AB82" s="1363"/>
      <c r="AC82" s="147">
        <f>+AE82*(AH82*AJ82)</f>
        <v>63093.98333333333</v>
      </c>
      <c r="AD82" s="174" t="s">
        <v>48</v>
      </c>
      <c r="AE82" s="148">
        <f>S82</f>
        <v>5755</v>
      </c>
      <c r="AF82" s="174" t="s">
        <v>50</v>
      </c>
      <c r="AG82" s="174" t="s">
        <v>51</v>
      </c>
      <c r="AH82" s="296">
        <f>'Calcul CmO et PmO'!L423</f>
        <v>1.1499999999999999</v>
      </c>
      <c r="AI82" s="310" t="s">
        <v>50</v>
      </c>
      <c r="AJ82" s="297">
        <f>'Calcul CmO et PmO'!F423</f>
        <v>9.5333333333333332</v>
      </c>
      <c r="AK82" s="174" t="s">
        <v>54</v>
      </c>
      <c r="AL82" s="1366"/>
      <c r="AN82" s="1363"/>
      <c r="AO82" s="147">
        <f>+AQ82*(AT82*AV82)</f>
        <v>17092.350000000002</v>
      </c>
      <c r="AP82" s="174" t="s">
        <v>48</v>
      </c>
      <c r="AQ82" s="148">
        <f>AE82</f>
        <v>5755</v>
      </c>
      <c r="AR82" s="174" t="s">
        <v>50</v>
      </c>
      <c r="AS82" s="174" t="s">
        <v>51</v>
      </c>
      <c r="AT82" s="150">
        <v>0.1</v>
      </c>
      <c r="AU82" s="174" t="s">
        <v>50</v>
      </c>
      <c r="AV82" s="297">
        <f>'Calcul CmO, PmO, Etc.'!E28</f>
        <v>29.7</v>
      </c>
      <c r="AW82" s="174" t="s">
        <v>54</v>
      </c>
      <c r="AX82" s="1366"/>
      <c r="AZ82" s="1363"/>
      <c r="BA82" s="147">
        <f>+'État des Résultats'!AF16+'État des Résultats'!AF21+'État des Résultats'!AF34+'État des Résultats'!AF38+'État des Résultats'!AF39+'État des Résultats'!AF43</f>
        <v>102031.76870932886</v>
      </c>
      <c r="BB82" s="174" t="s">
        <v>48</v>
      </c>
      <c r="BC82" s="148">
        <f>G82</f>
        <v>5755</v>
      </c>
      <c r="BD82" s="174" t="s">
        <v>50</v>
      </c>
      <c r="BE82" s="174" t="s">
        <v>51</v>
      </c>
      <c r="BF82" s="149">
        <f>J82</f>
        <v>2.4</v>
      </c>
      <c r="BG82" s="174" t="s">
        <v>50</v>
      </c>
      <c r="BH82" s="197">
        <f>+BA82/BC82/BF82</f>
        <v>7.3871827910026688</v>
      </c>
      <c r="BI82" s="174" t="s">
        <v>54</v>
      </c>
      <c r="BJ82" s="1366"/>
      <c r="BL82" s="1363"/>
      <c r="BM82" s="147">
        <f>E82-BA82</f>
        <v>10032.468790671148</v>
      </c>
      <c r="BN82" s="174" t="s">
        <v>48</v>
      </c>
      <c r="BO82" s="148">
        <f>G82</f>
        <v>5755</v>
      </c>
      <c r="BP82" s="174" t="s">
        <v>50</v>
      </c>
      <c r="BQ82" s="174" t="s">
        <v>51</v>
      </c>
      <c r="BR82" s="149">
        <f>J82</f>
        <v>2.4</v>
      </c>
      <c r="BS82" s="174" t="s">
        <v>50</v>
      </c>
      <c r="BT82" s="147">
        <f>BM82/BO82/BR82</f>
        <v>0.72635887566399859</v>
      </c>
      <c r="BU82" s="174" t="s">
        <v>54</v>
      </c>
      <c r="BV82" s="1366"/>
    </row>
    <row r="83" spans="2:74" ht="17" thickBot="1" x14ac:dyDescent="0.25">
      <c r="B83" s="1375"/>
      <c r="C83" s="1404"/>
      <c r="D83" s="1364"/>
      <c r="E83" s="179"/>
      <c r="F83" s="179"/>
      <c r="G83" s="179"/>
      <c r="H83" s="179"/>
      <c r="I83" s="179"/>
      <c r="J83" s="179"/>
      <c r="K83" s="179"/>
      <c r="L83" s="179"/>
      <c r="M83" s="179"/>
      <c r="N83" s="1367"/>
      <c r="P83" s="1364"/>
      <c r="Q83" s="179"/>
      <c r="R83" s="179"/>
      <c r="S83" s="179"/>
      <c r="T83" s="179"/>
      <c r="U83" s="179"/>
      <c r="V83" s="326"/>
      <c r="W83" s="326"/>
      <c r="X83" s="326"/>
      <c r="Y83" s="179"/>
      <c r="Z83" s="1367"/>
      <c r="AB83" s="1364"/>
      <c r="AC83" s="179"/>
      <c r="AD83" s="179"/>
      <c r="AE83" s="179"/>
      <c r="AF83" s="179"/>
      <c r="AG83" s="179"/>
      <c r="AH83" s="326"/>
      <c r="AI83" s="326"/>
      <c r="AJ83" s="326"/>
      <c r="AK83" s="179"/>
      <c r="AL83" s="1367"/>
      <c r="AN83" s="1364"/>
      <c r="AO83" s="179"/>
      <c r="AP83" s="179"/>
      <c r="AQ83" s="179"/>
      <c r="AR83" s="179"/>
      <c r="AS83" s="179"/>
      <c r="AT83" s="179"/>
      <c r="AU83" s="179"/>
      <c r="AV83" s="434"/>
      <c r="AW83" s="179"/>
      <c r="AX83" s="1367"/>
      <c r="AZ83" s="1364"/>
      <c r="BA83" s="179"/>
      <c r="BB83" s="179"/>
      <c r="BC83" s="179"/>
      <c r="BD83" s="179"/>
      <c r="BE83" s="179"/>
      <c r="BF83" s="179"/>
      <c r="BG83" s="179"/>
      <c r="BH83" s="179"/>
      <c r="BI83" s="179"/>
      <c r="BJ83" s="1367"/>
      <c r="BL83" s="1364"/>
      <c r="BM83" s="179"/>
      <c r="BN83" s="179"/>
      <c r="BO83" s="179"/>
      <c r="BP83" s="179"/>
      <c r="BQ83" s="179"/>
      <c r="BR83" s="179"/>
      <c r="BS83" s="179"/>
      <c r="BT83" s="179"/>
      <c r="BU83" s="179"/>
      <c r="BV83" s="1367"/>
    </row>
    <row r="84" spans="2:74" ht="5" customHeight="1" thickTop="1" thickBot="1" x14ac:dyDescent="0.2">
      <c r="B84" s="1375"/>
      <c r="C84" s="139"/>
      <c r="V84" s="302"/>
      <c r="W84" s="302"/>
      <c r="X84" s="302"/>
      <c r="AH84" s="302"/>
      <c r="AI84" s="302"/>
      <c r="AJ84" s="302"/>
      <c r="AV84" s="302"/>
    </row>
    <row r="85" spans="2:74" ht="17" thickTop="1" x14ac:dyDescent="0.2">
      <c r="B85" s="1375"/>
      <c r="C85" s="1404">
        <v>11</v>
      </c>
      <c r="D85" s="1362" t="s">
        <v>45</v>
      </c>
      <c r="E85" s="172"/>
      <c r="F85" s="172"/>
      <c r="G85" s="203" t="str">
        <f>'Achalandage journalier'!N5</f>
        <v>Pér.11</v>
      </c>
      <c r="H85" s="172"/>
      <c r="I85" s="172"/>
      <c r="J85" s="172"/>
      <c r="K85" s="172"/>
      <c r="L85" s="172"/>
      <c r="M85" s="172"/>
      <c r="N85" s="1365" t="s">
        <v>46</v>
      </c>
      <c r="P85" s="1362" t="s">
        <v>45</v>
      </c>
      <c r="Q85" s="172"/>
      <c r="R85" s="172"/>
      <c r="S85" s="203" t="str">
        <f>G85</f>
        <v>Pér.11</v>
      </c>
      <c r="T85" s="172"/>
      <c r="U85" s="172"/>
      <c r="V85" s="322"/>
      <c r="W85" s="322"/>
      <c r="X85" s="322"/>
      <c r="Y85" s="172"/>
      <c r="Z85" s="1365" t="s">
        <v>46</v>
      </c>
      <c r="AB85" s="1362" t="s">
        <v>45</v>
      </c>
      <c r="AC85" s="172"/>
      <c r="AD85" s="172"/>
      <c r="AE85" s="203" t="str">
        <f>S85</f>
        <v>Pér.11</v>
      </c>
      <c r="AF85" s="172"/>
      <c r="AG85" s="172"/>
      <c r="AH85" s="322"/>
      <c r="AI85" s="322"/>
      <c r="AJ85" s="322"/>
      <c r="AK85" s="172"/>
      <c r="AL85" s="1365" t="s">
        <v>46</v>
      </c>
      <c r="AN85" s="1362" t="s">
        <v>45</v>
      </c>
      <c r="AO85" s="172"/>
      <c r="AP85" s="172"/>
      <c r="AQ85" s="203" t="str">
        <f>AE85</f>
        <v>Pér.11</v>
      </c>
      <c r="AR85" s="172"/>
      <c r="AS85" s="172"/>
      <c r="AT85" s="172"/>
      <c r="AU85" s="172"/>
      <c r="AV85" s="432"/>
      <c r="AW85" s="172"/>
      <c r="AX85" s="1365" t="s">
        <v>46</v>
      </c>
      <c r="AZ85" s="1362" t="s">
        <v>45</v>
      </c>
      <c r="BA85" s="172"/>
      <c r="BB85" s="172"/>
      <c r="BC85" s="203" t="str">
        <f>AQ85</f>
        <v>Pér.11</v>
      </c>
      <c r="BD85" s="172"/>
      <c r="BE85" s="172"/>
      <c r="BF85" s="172"/>
      <c r="BG85" s="172"/>
      <c r="BH85" s="172"/>
      <c r="BI85" s="172"/>
      <c r="BJ85" s="1365" t="s">
        <v>46</v>
      </c>
      <c r="BL85" s="1362" t="s">
        <v>45</v>
      </c>
      <c r="BM85" s="172"/>
      <c r="BN85" s="172"/>
      <c r="BO85" s="203" t="str">
        <f>BC85</f>
        <v>Pér.11</v>
      </c>
      <c r="BP85" s="172"/>
      <c r="BQ85" s="172"/>
      <c r="BR85" s="172"/>
      <c r="BS85" s="172"/>
      <c r="BT85" s="172"/>
      <c r="BU85" s="172"/>
      <c r="BV85" s="1365" t="s">
        <v>46</v>
      </c>
    </row>
    <row r="86" spans="2:74" ht="16" x14ac:dyDescent="0.2">
      <c r="B86" s="1375"/>
      <c r="C86" s="1404"/>
      <c r="D86" s="1363"/>
      <c r="E86" s="173"/>
      <c r="F86" s="173"/>
      <c r="G86" s="173"/>
      <c r="H86" s="173"/>
      <c r="I86" s="173"/>
      <c r="J86" s="173"/>
      <c r="K86" s="173"/>
      <c r="L86" s="173"/>
      <c r="M86" s="173"/>
      <c r="N86" s="1366"/>
      <c r="P86" s="1363"/>
      <c r="Q86" s="173"/>
      <c r="R86" s="173"/>
      <c r="S86" s="173"/>
      <c r="T86" s="173"/>
      <c r="U86" s="173"/>
      <c r="V86" s="323"/>
      <c r="W86" s="323"/>
      <c r="X86" s="323"/>
      <c r="Y86" s="173"/>
      <c r="Z86" s="1366"/>
      <c r="AB86" s="1363"/>
      <c r="AC86" s="173"/>
      <c r="AD86" s="173"/>
      <c r="AE86" s="173"/>
      <c r="AF86" s="173"/>
      <c r="AG86" s="173"/>
      <c r="AH86" s="323"/>
      <c r="AI86" s="323"/>
      <c r="AJ86" s="323"/>
      <c r="AK86" s="173"/>
      <c r="AL86" s="1366"/>
      <c r="AN86" s="1363"/>
      <c r="AO86" s="173"/>
      <c r="AP86" s="173"/>
      <c r="AQ86" s="173"/>
      <c r="AR86" s="173"/>
      <c r="AS86" s="173"/>
      <c r="AT86" s="173"/>
      <c r="AU86" s="173"/>
      <c r="AV86" s="433"/>
      <c r="AW86" s="173"/>
      <c r="AX86" s="1366"/>
      <c r="AZ86" s="1363"/>
      <c r="BA86" s="173"/>
      <c r="BB86" s="173"/>
      <c r="BC86" s="173"/>
      <c r="BD86" s="173"/>
      <c r="BE86" s="173"/>
      <c r="BF86" s="173"/>
      <c r="BG86" s="173"/>
      <c r="BH86" s="173"/>
      <c r="BI86" s="173"/>
      <c r="BJ86" s="1366"/>
      <c r="BL86" s="1363"/>
      <c r="BM86" s="173"/>
      <c r="BN86" s="173"/>
      <c r="BO86" s="173"/>
      <c r="BP86" s="173"/>
      <c r="BQ86" s="173"/>
      <c r="BR86" s="173"/>
      <c r="BS86" s="173"/>
      <c r="BT86" s="173"/>
      <c r="BU86" s="173"/>
      <c r="BV86" s="1366"/>
    </row>
    <row r="87" spans="2:74" ht="21" x14ac:dyDescent="0.25">
      <c r="B87" s="1375"/>
      <c r="C87" s="1404"/>
      <c r="D87" s="1363"/>
      <c r="E87" s="174" t="str">
        <f>E79</f>
        <v>Demande mensuelle</v>
      </c>
      <c r="F87" s="174" t="s">
        <v>48</v>
      </c>
      <c r="G87" s="174" t="str">
        <f>G79</f>
        <v>Achalandage mensuel</v>
      </c>
      <c r="H87" s="174" t="s">
        <v>50</v>
      </c>
      <c r="I87" s="174" t="s">
        <v>51</v>
      </c>
      <c r="J87" s="174" t="str">
        <f>J79</f>
        <v>Um/A</v>
      </c>
      <c r="K87" s="174" t="s">
        <v>50</v>
      </c>
      <c r="L87" s="174" t="str">
        <f>L79</f>
        <v>PmO</v>
      </c>
      <c r="M87" s="174" t="s">
        <v>54</v>
      </c>
      <c r="N87" s="1366"/>
      <c r="P87" s="1363"/>
      <c r="Q87" s="174" t="str">
        <f>Q79</f>
        <v>Demande mensuelle</v>
      </c>
      <c r="R87" s="174" t="s">
        <v>48</v>
      </c>
      <c r="S87" s="174" t="str">
        <f>S79</f>
        <v>Achalandage mensuel</v>
      </c>
      <c r="T87" s="174" t="s">
        <v>50</v>
      </c>
      <c r="U87" s="174" t="s">
        <v>51</v>
      </c>
      <c r="V87" s="310" t="str">
        <f>V79</f>
        <v>Um/A</v>
      </c>
      <c r="W87" s="310" t="s">
        <v>50</v>
      </c>
      <c r="X87" s="310" t="str">
        <f>X79</f>
        <v>PmO</v>
      </c>
      <c r="Y87" s="174" t="s">
        <v>54</v>
      </c>
      <c r="Z87" s="1366"/>
      <c r="AB87" s="1363"/>
      <c r="AC87" s="174" t="str">
        <f>AC79</f>
        <v>Demande mensuelle</v>
      </c>
      <c r="AD87" s="174" t="s">
        <v>48</v>
      </c>
      <c r="AE87" s="174" t="str">
        <f>AE79</f>
        <v>Achalandage mensuel</v>
      </c>
      <c r="AF87" s="174" t="s">
        <v>50</v>
      </c>
      <c r="AG87" s="174" t="s">
        <v>51</v>
      </c>
      <c r="AH87" s="310" t="str">
        <f>AH79</f>
        <v>Um/A</v>
      </c>
      <c r="AI87" s="310" t="s">
        <v>50</v>
      </c>
      <c r="AJ87" s="310" t="str">
        <f>AJ79</f>
        <v>PmO</v>
      </c>
      <c r="AK87" s="174" t="s">
        <v>54</v>
      </c>
      <c r="AL87" s="1366"/>
      <c r="AN87" s="1363"/>
      <c r="AO87" s="174" t="str">
        <f>AO79</f>
        <v>Demande mensuelle</v>
      </c>
      <c r="AP87" s="174" t="s">
        <v>48</v>
      </c>
      <c r="AQ87" s="174" t="str">
        <f>AQ79</f>
        <v>Achalandage mensuel</v>
      </c>
      <c r="AR87" s="174" t="s">
        <v>50</v>
      </c>
      <c r="AS87" s="174" t="s">
        <v>51</v>
      </c>
      <c r="AT87" s="174" t="str">
        <f>AT79</f>
        <v>Um/A</v>
      </c>
      <c r="AU87" s="174" t="s">
        <v>50</v>
      </c>
      <c r="AV87" s="310" t="str">
        <f>AV79</f>
        <v>PmO</v>
      </c>
      <c r="AW87" s="174" t="s">
        <v>54</v>
      </c>
      <c r="AX87" s="1366"/>
      <c r="AZ87" s="1363"/>
      <c r="BA87" s="174" t="str">
        <f>BA79</f>
        <v>Coût mensuel</v>
      </c>
      <c r="BB87" s="174" t="s">
        <v>48</v>
      </c>
      <c r="BC87" s="174" t="str">
        <f>BC79</f>
        <v>Achalandage mensuel</v>
      </c>
      <c r="BD87" s="174" t="s">
        <v>50</v>
      </c>
      <c r="BE87" s="174" t="s">
        <v>51</v>
      </c>
      <c r="BF87" s="174" t="str">
        <f>BF79</f>
        <v>Um/A</v>
      </c>
      <c r="BG87" s="174" t="s">
        <v>50</v>
      </c>
      <c r="BH87" s="174" t="str">
        <f>BH79</f>
        <v>CmO</v>
      </c>
      <c r="BI87" s="174" t="s">
        <v>54</v>
      </c>
      <c r="BJ87" s="1366"/>
      <c r="BL87" s="1363"/>
      <c r="BM87" s="174" t="str">
        <f>BM79</f>
        <v>Bénéfice mensuel</v>
      </c>
      <c r="BN87" s="174" t="s">
        <v>48</v>
      </c>
      <c r="BO87" s="174" t="str">
        <f>BO79</f>
        <v>Achalandage mensuel</v>
      </c>
      <c r="BP87" s="174" t="s">
        <v>50</v>
      </c>
      <c r="BQ87" s="174" t="s">
        <v>51</v>
      </c>
      <c r="BR87" s="174" t="str">
        <f>BR79</f>
        <v>Um/A</v>
      </c>
      <c r="BS87" s="174" t="s">
        <v>50</v>
      </c>
      <c r="BT87" s="174" t="str">
        <f>BT79</f>
        <v>BmO</v>
      </c>
      <c r="BU87" s="174" t="s">
        <v>54</v>
      </c>
      <c r="BV87" s="1366"/>
    </row>
    <row r="88" spans="2:74" ht="19" x14ac:dyDescent="0.25">
      <c r="B88" s="1375"/>
      <c r="C88" s="1404"/>
      <c r="D88" s="1363"/>
      <c r="E88" s="175" t="s">
        <v>1</v>
      </c>
      <c r="F88" s="176"/>
      <c r="G88" s="175"/>
      <c r="H88" s="176"/>
      <c r="I88" s="176"/>
      <c r="J88" s="176"/>
      <c r="K88" s="176"/>
      <c r="L88" s="176"/>
      <c r="M88" s="176"/>
      <c r="N88" s="1366"/>
      <c r="P88" s="1363"/>
      <c r="Q88" s="175" t="s">
        <v>1</v>
      </c>
      <c r="R88" s="176"/>
      <c r="S88" s="175"/>
      <c r="T88" s="176"/>
      <c r="U88" s="176"/>
      <c r="V88" s="324"/>
      <c r="W88" s="324"/>
      <c r="X88" s="324"/>
      <c r="Y88" s="176"/>
      <c r="Z88" s="1366"/>
      <c r="AB88" s="1363"/>
      <c r="AC88" s="175" t="s">
        <v>1</v>
      </c>
      <c r="AD88" s="176"/>
      <c r="AE88" s="175"/>
      <c r="AF88" s="176"/>
      <c r="AG88" s="176"/>
      <c r="AH88" s="324"/>
      <c r="AI88" s="324"/>
      <c r="AJ88" s="324"/>
      <c r="AK88" s="176"/>
      <c r="AL88" s="1366"/>
      <c r="AN88" s="1363"/>
      <c r="AO88" s="175" t="s">
        <v>1</v>
      </c>
      <c r="AP88" s="176"/>
      <c r="AQ88" s="175"/>
      <c r="AR88" s="176"/>
      <c r="AS88" s="176"/>
      <c r="AT88" s="176"/>
      <c r="AU88" s="176"/>
      <c r="AV88" s="324"/>
      <c r="AW88" s="176"/>
      <c r="AX88" s="1366"/>
      <c r="AZ88" s="1363"/>
      <c r="BA88" s="175" t="s">
        <v>1</v>
      </c>
      <c r="BB88" s="176"/>
      <c r="BC88" s="175"/>
      <c r="BD88" s="176"/>
      <c r="BE88" s="176"/>
      <c r="BF88" s="176"/>
      <c r="BG88" s="176"/>
      <c r="BH88" s="176"/>
      <c r="BI88" s="176"/>
      <c r="BJ88" s="1366"/>
      <c r="BL88" s="1363"/>
      <c r="BM88" s="175" t="s">
        <v>1</v>
      </c>
      <c r="BN88" s="176"/>
      <c r="BO88" s="175"/>
      <c r="BP88" s="176"/>
      <c r="BQ88" s="176"/>
      <c r="BR88" s="176"/>
      <c r="BS88" s="176"/>
      <c r="BT88" s="176"/>
      <c r="BU88" s="176"/>
      <c r="BV88" s="1366"/>
    </row>
    <row r="89" spans="2:74" ht="26" x14ac:dyDescent="0.3">
      <c r="B89" s="1375"/>
      <c r="C89" s="1404"/>
      <c r="D89" s="1363"/>
      <c r="E89" s="177" t="str">
        <f>E81</f>
        <v>D</v>
      </c>
      <c r="F89" s="178"/>
      <c r="G89" s="177" t="str">
        <f>G81</f>
        <v>A</v>
      </c>
      <c r="H89" s="178"/>
      <c r="I89" s="178"/>
      <c r="J89" s="177" t="str">
        <f>+J87</f>
        <v>Um/A</v>
      </c>
      <c r="K89" s="178"/>
      <c r="L89" s="177" t="str">
        <f>+L87</f>
        <v>PmO</v>
      </c>
      <c r="M89" s="178"/>
      <c r="N89" s="1366"/>
      <c r="P89" s="1363"/>
      <c r="Q89" s="177" t="str">
        <f>Q81</f>
        <v>D</v>
      </c>
      <c r="R89" s="178"/>
      <c r="S89" s="177" t="str">
        <f>S81</f>
        <v>A</v>
      </c>
      <c r="T89" s="178"/>
      <c r="U89" s="178"/>
      <c r="V89" s="311" t="str">
        <f>+V87</f>
        <v>Um/A</v>
      </c>
      <c r="W89" s="325"/>
      <c r="X89" s="311" t="str">
        <f>+X87</f>
        <v>PmO</v>
      </c>
      <c r="Y89" s="178"/>
      <c r="Z89" s="1366"/>
      <c r="AB89" s="1363"/>
      <c r="AC89" s="177" t="str">
        <f>AC81</f>
        <v>D</v>
      </c>
      <c r="AD89" s="178"/>
      <c r="AE89" s="177" t="str">
        <f>AE81</f>
        <v>A</v>
      </c>
      <c r="AF89" s="178"/>
      <c r="AG89" s="178"/>
      <c r="AH89" s="311" t="str">
        <f>+AH87</f>
        <v>Um/A</v>
      </c>
      <c r="AI89" s="325"/>
      <c r="AJ89" s="311" t="str">
        <f>+AJ87</f>
        <v>PmO</v>
      </c>
      <c r="AK89" s="178"/>
      <c r="AL89" s="1366"/>
      <c r="AN89" s="1363"/>
      <c r="AO89" s="177" t="str">
        <f>AO81</f>
        <v>D</v>
      </c>
      <c r="AP89" s="178"/>
      <c r="AQ89" s="177" t="str">
        <f>AQ81</f>
        <v>A</v>
      </c>
      <c r="AR89" s="178"/>
      <c r="AS89" s="178"/>
      <c r="AT89" s="177" t="str">
        <f>+AT87</f>
        <v>Um/A</v>
      </c>
      <c r="AU89" s="178"/>
      <c r="AV89" s="311" t="str">
        <f>+AV87</f>
        <v>PmO</v>
      </c>
      <c r="AW89" s="178"/>
      <c r="AX89" s="1366"/>
      <c r="AZ89" s="1363"/>
      <c r="BA89" s="177" t="str">
        <f>BA81</f>
        <v xml:space="preserve">C </v>
      </c>
      <c r="BB89" s="178"/>
      <c r="BC89" s="177" t="str">
        <f>BC81</f>
        <v>A</v>
      </c>
      <c r="BD89" s="178"/>
      <c r="BE89" s="178"/>
      <c r="BF89" s="177" t="str">
        <f>+BF87</f>
        <v>Um/A</v>
      </c>
      <c r="BG89" s="178"/>
      <c r="BH89" s="177" t="str">
        <f>+BH87</f>
        <v>CmO</v>
      </c>
      <c r="BI89" s="178"/>
      <c r="BJ89" s="1366"/>
      <c r="BL89" s="1363"/>
      <c r="BM89" s="177" t="str">
        <f>BM81</f>
        <v xml:space="preserve">B </v>
      </c>
      <c r="BN89" s="178"/>
      <c r="BO89" s="177" t="str">
        <f>BO81</f>
        <v>A</v>
      </c>
      <c r="BP89" s="178"/>
      <c r="BQ89" s="178"/>
      <c r="BR89" s="177" t="str">
        <f>+BR87</f>
        <v>Um/A</v>
      </c>
      <c r="BS89" s="178"/>
      <c r="BT89" s="177" t="str">
        <f>+BT87</f>
        <v>BmO</v>
      </c>
      <c r="BU89" s="178"/>
      <c r="BV89" s="1366"/>
    </row>
    <row r="90" spans="2:74" ht="21" x14ac:dyDescent="0.25">
      <c r="B90" s="1375"/>
      <c r="C90" s="1404"/>
      <c r="D90" s="1363"/>
      <c r="E90" s="147">
        <f>+Q90+AC90+AO90</f>
        <v>112064.2375</v>
      </c>
      <c r="F90" s="174" t="s">
        <v>48</v>
      </c>
      <c r="G90" s="148">
        <f>'% Occupation'!N19</f>
        <v>5755</v>
      </c>
      <c r="H90" s="174" t="s">
        <v>50</v>
      </c>
      <c r="I90" s="174" t="s">
        <v>51</v>
      </c>
      <c r="J90" s="149">
        <f>+V90+AH90+AT90</f>
        <v>2.4</v>
      </c>
      <c r="K90" s="174" t="s">
        <v>50</v>
      </c>
      <c r="L90" s="147">
        <f>E90/G90/J90</f>
        <v>8.1135416666666664</v>
      </c>
      <c r="M90" s="174" t="s">
        <v>54</v>
      </c>
      <c r="N90" s="1366"/>
      <c r="P90" s="1363"/>
      <c r="Q90" s="147">
        <f>+S90*(V90*X90)</f>
        <v>31877.904166666667</v>
      </c>
      <c r="R90" s="174" t="s">
        <v>48</v>
      </c>
      <c r="S90" s="148">
        <f>G90</f>
        <v>5755</v>
      </c>
      <c r="T90" s="174" t="s">
        <v>50</v>
      </c>
      <c r="U90" s="174" t="s">
        <v>51</v>
      </c>
      <c r="V90" s="296">
        <f>'Calcul CmO et PmO'!L451</f>
        <v>1.1499999999999999</v>
      </c>
      <c r="W90" s="310" t="s">
        <v>50</v>
      </c>
      <c r="X90" s="297">
        <f>'Calcul CmO et PmO'!F451</f>
        <v>4.8166666666666673</v>
      </c>
      <c r="Y90" s="174" t="s">
        <v>54</v>
      </c>
      <c r="Z90" s="1366"/>
      <c r="AB90" s="1363"/>
      <c r="AC90" s="147">
        <f>+AE90*(AH90*AJ90)</f>
        <v>63093.98333333333</v>
      </c>
      <c r="AD90" s="174" t="s">
        <v>48</v>
      </c>
      <c r="AE90" s="148">
        <f>S90</f>
        <v>5755</v>
      </c>
      <c r="AF90" s="174" t="s">
        <v>50</v>
      </c>
      <c r="AG90" s="174" t="s">
        <v>51</v>
      </c>
      <c r="AH90" s="296">
        <f>'Calcul CmO et PmO'!L466</f>
        <v>1.1499999999999999</v>
      </c>
      <c r="AI90" s="310" t="s">
        <v>50</v>
      </c>
      <c r="AJ90" s="297">
        <f>'Calcul CmO et PmO'!F466</f>
        <v>9.5333333333333332</v>
      </c>
      <c r="AK90" s="174" t="s">
        <v>54</v>
      </c>
      <c r="AL90" s="1366"/>
      <c r="AN90" s="1363"/>
      <c r="AO90" s="147">
        <f>+AQ90*(AT90*AV90)</f>
        <v>17092.350000000002</v>
      </c>
      <c r="AP90" s="174" t="s">
        <v>48</v>
      </c>
      <c r="AQ90" s="148">
        <f>AE90</f>
        <v>5755</v>
      </c>
      <c r="AR90" s="174" t="s">
        <v>50</v>
      </c>
      <c r="AS90" s="174" t="s">
        <v>51</v>
      </c>
      <c r="AT90" s="150">
        <v>0.1</v>
      </c>
      <c r="AU90" s="174" t="s">
        <v>50</v>
      </c>
      <c r="AV90" s="297">
        <f>'Calcul CmO, PmO, Etc.'!E28</f>
        <v>29.7</v>
      </c>
      <c r="AW90" s="174" t="s">
        <v>54</v>
      </c>
      <c r="AX90" s="1366"/>
      <c r="AZ90" s="1363"/>
      <c r="BA90" s="147">
        <f>+'État des Résultats'!AI16+'État des Résultats'!AI21+'État des Résultats'!AI34+'État des Résultats'!AI38+'État des Résultats'!AI39+'État des Résultats'!AI43</f>
        <v>102031.76870932886</v>
      </c>
      <c r="BB90" s="174" t="s">
        <v>48</v>
      </c>
      <c r="BC90" s="148">
        <f>G90</f>
        <v>5755</v>
      </c>
      <c r="BD90" s="174" t="s">
        <v>50</v>
      </c>
      <c r="BE90" s="174" t="s">
        <v>51</v>
      </c>
      <c r="BF90" s="149">
        <f>J90</f>
        <v>2.4</v>
      </c>
      <c r="BG90" s="174" t="s">
        <v>50</v>
      </c>
      <c r="BH90" s="197">
        <f>+BA90/BC90/BF90</f>
        <v>7.3871827910026688</v>
      </c>
      <c r="BI90" s="174" t="s">
        <v>54</v>
      </c>
      <c r="BJ90" s="1366"/>
      <c r="BL90" s="1363"/>
      <c r="BM90" s="147">
        <f>E90-BA90</f>
        <v>10032.468790671148</v>
      </c>
      <c r="BN90" s="174" t="s">
        <v>48</v>
      </c>
      <c r="BO90" s="148">
        <f>G90</f>
        <v>5755</v>
      </c>
      <c r="BP90" s="174" t="s">
        <v>50</v>
      </c>
      <c r="BQ90" s="174" t="s">
        <v>51</v>
      </c>
      <c r="BR90" s="149">
        <f>J90</f>
        <v>2.4</v>
      </c>
      <c r="BS90" s="174" t="s">
        <v>50</v>
      </c>
      <c r="BT90" s="147">
        <f>BM90/BO90/BR90</f>
        <v>0.72635887566399859</v>
      </c>
      <c r="BU90" s="174" t="s">
        <v>54</v>
      </c>
      <c r="BV90" s="1366"/>
    </row>
    <row r="91" spans="2:74" ht="17" thickBot="1" x14ac:dyDescent="0.25">
      <c r="B91" s="1375"/>
      <c r="C91" s="1404"/>
      <c r="D91" s="1364"/>
      <c r="E91" s="179"/>
      <c r="F91" s="179"/>
      <c r="G91" s="179"/>
      <c r="H91" s="179"/>
      <c r="I91" s="179"/>
      <c r="J91" s="179"/>
      <c r="K91" s="179"/>
      <c r="L91" s="179"/>
      <c r="M91" s="179"/>
      <c r="N91" s="1367"/>
      <c r="P91" s="1364"/>
      <c r="Q91" s="179"/>
      <c r="R91" s="179"/>
      <c r="S91" s="179"/>
      <c r="T91" s="179"/>
      <c r="U91" s="179"/>
      <c r="V91" s="326"/>
      <c r="W91" s="326"/>
      <c r="X91" s="326"/>
      <c r="Y91" s="179"/>
      <c r="Z91" s="1367"/>
      <c r="AB91" s="1364"/>
      <c r="AC91" s="179"/>
      <c r="AD91" s="179"/>
      <c r="AE91" s="179"/>
      <c r="AF91" s="179"/>
      <c r="AG91" s="179"/>
      <c r="AH91" s="326"/>
      <c r="AI91" s="326"/>
      <c r="AJ91" s="326"/>
      <c r="AK91" s="179"/>
      <c r="AL91" s="1367"/>
      <c r="AN91" s="1364"/>
      <c r="AO91" s="179"/>
      <c r="AP91" s="179"/>
      <c r="AQ91" s="179"/>
      <c r="AR91" s="179"/>
      <c r="AS91" s="179"/>
      <c r="AT91" s="179"/>
      <c r="AU91" s="179"/>
      <c r="AV91" s="434"/>
      <c r="AW91" s="179"/>
      <c r="AX91" s="1367"/>
      <c r="AZ91" s="1364"/>
      <c r="BA91" s="179"/>
      <c r="BB91" s="179"/>
      <c r="BC91" s="179"/>
      <c r="BD91" s="179"/>
      <c r="BE91" s="179"/>
      <c r="BF91" s="179"/>
      <c r="BG91" s="179"/>
      <c r="BH91" s="179"/>
      <c r="BI91" s="179"/>
      <c r="BJ91" s="1367"/>
      <c r="BL91" s="1364"/>
      <c r="BM91" s="179"/>
      <c r="BN91" s="179"/>
      <c r="BO91" s="179"/>
      <c r="BP91" s="179"/>
      <c r="BQ91" s="179"/>
      <c r="BR91" s="179"/>
      <c r="BS91" s="179"/>
      <c r="BT91" s="179"/>
      <c r="BU91" s="179"/>
      <c r="BV91" s="1367"/>
    </row>
    <row r="92" spans="2:74" ht="5" customHeight="1" thickTop="1" thickBot="1" x14ac:dyDescent="0.2">
      <c r="B92" s="1375"/>
      <c r="C92" s="139"/>
      <c r="V92" s="302"/>
      <c r="W92" s="302"/>
      <c r="X92" s="302"/>
      <c r="AH92" s="302"/>
      <c r="AI92" s="302"/>
      <c r="AJ92" s="302"/>
      <c r="AV92" s="302"/>
    </row>
    <row r="93" spans="2:74" ht="17" thickTop="1" x14ac:dyDescent="0.2">
      <c r="B93" s="1375"/>
      <c r="C93" s="1404">
        <v>12</v>
      </c>
      <c r="D93" s="1362" t="s">
        <v>45</v>
      </c>
      <c r="E93" s="172"/>
      <c r="F93" s="172"/>
      <c r="G93" s="203" t="str">
        <f>'Achalandage journalier'!O5</f>
        <v>Pér.12</v>
      </c>
      <c r="H93" s="172"/>
      <c r="I93" s="172"/>
      <c r="J93" s="172"/>
      <c r="K93" s="172"/>
      <c r="L93" s="172"/>
      <c r="M93" s="172"/>
      <c r="N93" s="1365" t="s">
        <v>46</v>
      </c>
      <c r="P93" s="1362" t="s">
        <v>45</v>
      </c>
      <c r="Q93" s="172"/>
      <c r="R93" s="172"/>
      <c r="S93" s="202" t="str">
        <f>G93</f>
        <v>Pér.12</v>
      </c>
      <c r="T93" s="172"/>
      <c r="U93" s="172"/>
      <c r="V93" s="322"/>
      <c r="W93" s="322"/>
      <c r="X93" s="322"/>
      <c r="Y93" s="172"/>
      <c r="Z93" s="1365" t="s">
        <v>46</v>
      </c>
      <c r="AB93" s="1362" t="s">
        <v>45</v>
      </c>
      <c r="AC93" s="172"/>
      <c r="AD93" s="172"/>
      <c r="AE93" s="203" t="str">
        <f>S93</f>
        <v>Pér.12</v>
      </c>
      <c r="AF93" s="172"/>
      <c r="AG93" s="172"/>
      <c r="AH93" s="322"/>
      <c r="AI93" s="322"/>
      <c r="AJ93" s="322"/>
      <c r="AK93" s="172"/>
      <c r="AL93" s="1365" t="s">
        <v>46</v>
      </c>
      <c r="AN93" s="1362" t="s">
        <v>45</v>
      </c>
      <c r="AO93" s="172"/>
      <c r="AP93" s="172"/>
      <c r="AQ93" s="203" t="str">
        <f>AE93</f>
        <v>Pér.12</v>
      </c>
      <c r="AR93" s="172"/>
      <c r="AS93" s="172"/>
      <c r="AT93" s="172"/>
      <c r="AU93" s="172"/>
      <c r="AV93" s="432"/>
      <c r="AW93" s="172"/>
      <c r="AX93" s="1365" t="s">
        <v>46</v>
      </c>
      <c r="AZ93" s="1362" t="s">
        <v>45</v>
      </c>
      <c r="BA93" s="172"/>
      <c r="BB93" s="172"/>
      <c r="BC93" s="203" t="str">
        <f>AQ93</f>
        <v>Pér.12</v>
      </c>
      <c r="BD93" s="172"/>
      <c r="BE93" s="172"/>
      <c r="BF93" s="172"/>
      <c r="BG93" s="172"/>
      <c r="BH93" s="172"/>
      <c r="BI93" s="172"/>
      <c r="BJ93" s="1365" t="s">
        <v>46</v>
      </c>
      <c r="BL93" s="1362" t="s">
        <v>45</v>
      </c>
      <c r="BM93" s="172"/>
      <c r="BN93" s="172"/>
      <c r="BO93" s="203" t="str">
        <f>BC93</f>
        <v>Pér.12</v>
      </c>
      <c r="BP93" s="172"/>
      <c r="BQ93" s="172"/>
      <c r="BR93" s="172"/>
      <c r="BS93" s="172"/>
      <c r="BT93" s="172"/>
      <c r="BU93" s="172"/>
      <c r="BV93" s="1365" t="s">
        <v>46</v>
      </c>
    </row>
    <row r="94" spans="2:74" ht="16" x14ac:dyDescent="0.2">
      <c r="B94" s="1375"/>
      <c r="C94" s="1404"/>
      <c r="D94" s="1363"/>
      <c r="E94" s="173"/>
      <c r="F94" s="173"/>
      <c r="G94" s="173"/>
      <c r="H94" s="173"/>
      <c r="I94" s="173"/>
      <c r="J94" s="173"/>
      <c r="K94" s="173"/>
      <c r="L94" s="173"/>
      <c r="M94" s="173"/>
      <c r="N94" s="1366"/>
      <c r="P94" s="1363"/>
      <c r="Q94" s="173"/>
      <c r="R94" s="173"/>
      <c r="S94" s="173"/>
      <c r="T94" s="173"/>
      <c r="U94" s="173"/>
      <c r="V94" s="323"/>
      <c r="W94" s="323"/>
      <c r="X94" s="323"/>
      <c r="Y94" s="173"/>
      <c r="Z94" s="1366"/>
      <c r="AB94" s="1363"/>
      <c r="AC94" s="173"/>
      <c r="AD94" s="173"/>
      <c r="AE94" s="173"/>
      <c r="AF94" s="173"/>
      <c r="AG94" s="173"/>
      <c r="AH94" s="323"/>
      <c r="AI94" s="323"/>
      <c r="AJ94" s="323"/>
      <c r="AK94" s="173"/>
      <c r="AL94" s="1366"/>
      <c r="AN94" s="1363"/>
      <c r="AO94" s="173"/>
      <c r="AP94" s="173"/>
      <c r="AQ94" s="173"/>
      <c r="AR94" s="173"/>
      <c r="AS94" s="173"/>
      <c r="AT94" s="173"/>
      <c r="AU94" s="173"/>
      <c r="AV94" s="433"/>
      <c r="AW94" s="173"/>
      <c r="AX94" s="1366"/>
      <c r="AZ94" s="1363"/>
      <c r="BA94" s="173"/>
      <c r="BB94" s="173"/>
      <c r="BC94" s="173"/>
      <c r="BD94" s="173"/>
      <c r="BE94" s="173"/>
      <c r="BF94" s="173"/>
      <c r="BG94" s="173"/>
      <c r="BH94" s="173"/>
      <c r="BI94" s="173"/>
      <c r="BJ94" s="1366"/>
      <c r="BL94" s="1363"/>
      <c r="BM94" s="173"/>
      <c r="BN94" s="173"/>
      <c r="BO94" s="173"/>
      <c r="BP94" s="173"/>
      <c r="BQ94" s="173"/>
      <c r="BR94" s="173"/>
      <c r="BS94" s="173"/>
      <c r="BT94" s="173"/>
      <c r="BU94" s="173"/>
      <c r="BV94" s="1366"/>
    </row>
    <row r="95" spans="2:74" ht="21" x14ac:dyDescent="0.25">
      <c r="B95" s="1375"/>
      <c r="C95" s="1404"/>
      <c r="D95" s="1363"/>
      <c r="E95" s="174" t="str">
        <f>E87</f>
        <v>Demande mensuelle</v>
      </c>
      <c r="F95" s="174" t="s">
        <v>48</v>
      </c>
      <c r="G95" s="174" t="str">
        <f>G87</f>
        <v>Achalandage mensuel</v>
      </c>
      <c r="H95" s="174" t="s">
        <v>50</v>
      </c>
      <c r="I95" s="174" t="s">
        <v>51</v>
      </c>
      <c r="J95" s="174" t="str">
        <f>J87</f>
        <v>Um/A</v>
      </c>
      <c r="K95" s="174" t="s">
        <v>50</v>
      </c>
      <c r="L95" s="174" t="str">
        <f>L87</f>
        <v>PmO</v>
      </c>
      <c r="M95" s="174" t="s">
        <v>54</v>
      </c>
      <c r="N95" s="1366"/>
      <c r="P95" s="1363"/>
      <c r="Q95" s="174" t="str">
        <f>Q87</f>
        <v>Demande mensuelle</v>
      </c>
      <c r="R95" s="174" t="s">
        <v>48</v>
      </c>
      <c r="S95" s="174" t="str">
        <f>S87</f>
        <v>Achalandage mensuel</v>
      </c>
      <c r="T95" s="174" t="s">
        <v>50</v>
      </c>
      <c r="U95" s="174" t="s">
        <v>51</v>
      </c>
      <c r="V95" s="310" t="str">
        <f>V87</f>
        <v>Um/A</v>
      </c>
      <c r="W95" s="310" t="s">
        <v>50</v>
      </c>
      <c r="X95" s="310" t="str">
        <f>X87</f>
        <v>PmO</v>
      </c>
      <c r="Y95" s="174" t="s">
        <v>54</v>
      </c>
      <c r="Z95" s="1366"/>
      <c r="AB95" s="1363"/>
      <c r="AC95" s="174" t="str">
        <f>AC87</f>
        <v>Demande mensuelle</v>
      </c>
      <c r="AD95" s="174" t="s">
        <v>48</v>
      </c>
      <c r="AE95" s="174" t="str">
        <f>AE87</f>
        <v>Achalandage mensuel</v>
      </c>
      <c r="AF95" s="174" t="s">
        <v>50</v>
      </c>
      <c r="AG95" s="174" t="s">
        <v>51</v>
      </c>
      <c r="AH95" s="310" t="str">
        <f>AH87</f>
        <v>Um/A</v>
      </c>
      <c r="AI95" s="310" t="s">
        <v>50</v>
      </c>
      <c r="AJ95" s="310" t="str">
        <f>AJ87</f>
        <v>PmO</v>
      </c>
      <c r="AK95" s="174" t="s">
        <v>54</v>
      </c>
      <c r="AL95" s="1366"/>
      <c r="AN95" s="1363"/>
      <c r="AO95" s="174" t="str">
        <f>AO87</f>
        <v>Demande mensuelle</v>
      </c>
      <c r="AP95" s="174" t="s">
        <v>48</v>
      </c>
      <c r="AQ95" s="174" t="str">
        <f>AQ87</f>
        <v>Achalandage mensuel</v>
      </c>
      <c r="AR95" s="174" t="s">
        <v>50</v>
      </c>
      <c r="AS95" s="174" t="s">
        <v>51</v>
      </c>
      <c r="AT95" s="174" t="str">
        <f>AT87</f>
        <v>Um/A</v>
      </c>
      <c r="AU95" s="174" t="s">
        <v>50</v>
      </c>
      <c r="AV95" s="310" t="str">
        <f>AV87</f>
        <v>PmO</v>
      </c>
      <c r="AW95" s="174" t="s">
        <v>54</v>
      </c>
      <c r="AX95" s="1366"/>
      <c r="AZ95" s="1363"/>
      <c r="BA95" s="174" t="str">
        <f>BA87</f>
        <v>Coût mensuel</v>
      </c>
      <c r="BB95" s="174" t="s">
        <v>48</v>
      </c>
      <c r="BC95" s="174" t="str">
        <f>BC87</f>
        <v>Achalandage mensuel</v>
      </c>
      <c r="BD95" s="174" t="s">
        <v>50</v>
      </c>
      <c r="BE95" s="174" t="s">
        <v>51</v>
      </c>
      <c r="BF95" s="174" t="str">
        <f>BF87</f>
        <v>Um/A</v>
      </c>
      <c r="BG95" s="174" t="s">
        <v>50</v>
      </c>
      <c r="BH95" s="174" t="str">
        <f>BH87</f>
        <v>CmO</v>
      </c>
      <c r="BI95" s="174" t="s">
        <v>54</v>
      </c>
      <c r="BJ95" s="1366"/>
      <c r="BL95" s="1363"/>
      <c r="BM95" s="174" t="str">
        <f>BM87</f>
        <v>Bénéfice mensuel</v>
      </c>
      <c r="BN95" s="174" t="s">
        <v>48</v>
      </c>
      <c r="BO95" s="174" t="str">
        <f>BO87</f>
        <v>Achalandage mensuel</v>
      </c>
      <c r="BP95" s="174" t="s">
        <v>50</v>
      </c>
      <c r="BQ95" s="174" t="s">
        <v>51</v>
      </c>
      <c r="BR95" s="174" t="str">
        <f>BR87</f>
        <v>Um/A</v>
      </c>
      <c r="BS95" s="174" t="s">
        <v>50</v>
      </c>
      <c r="BT95" s="174" t="str">
        <f>BT87</f>
        <v>BmO</v>
      </c>
      <c r="BU95" s="174" t="s">
        <v>54</v>
      </c>
      <c r="BV95" s="1366"/>
    </row>
    <row r="96" spans="2:74" ht="19" x14ac:dyDescent="0.25">
      <c r="B96" s="1375"/>
      <c r="C96" s="1404"/>
      <c r="D96" s="1363"/>
      <c r="E96" s="175" t="s">
        <v>1</v>
      </c>
      <c r="F96" s="176"/>
      <c r="G96" s="175"/>
      <c r="H96" s="176"/>
      <c r="I96" s="176"/>
      <c r="J96" s="176"/>
      <c r="K96" s="176"/>
      <c r="L96" s="176"/>
      <c r="M96" s="176"/>
      <c r="N96" s="1366"/>
      <c r="P96" s="1363"/>
      <c r="Q96" s="175" t="s">
        <v>1</v>
      </c>
      <c r="R96" s="176"/>
      <c r="S96" s="175"/>
      <c r="T96" s="176"/>
      <c r="U96" s="176"/>
      <c r="V96" s="324"/>
      <c r="W96" s="324"/>
      <c r="X96" s="324"/>
      <c r="Y96" s="176"/>
      <c r="Z96" s="1366"/>
      <c r="AB96" s="1363"/>
      <c r="AC96" s="175" t="s">
        <v>1</v>
      </c>
      <c r="AD96" s="176"/>
      <c r="AE96" s="175"/>
      <c r="AF96" s="176"/>
      <c r="AG96" s="176"/>
      <c r="AH96" s="324"/>
      <c r="AI96" s="324"/>
      <c r="AJ96" s="324"/>
      <c r="AK96" s="176"/>
      <c r="AL96" s="1366"/>
      <c r="AN96" s="1363"/>
      <c r="AO96" s="175" t="s">
        <v>1</v>
      </c>
      <c r="AP96" s="176"/>
      <c r="AQ96" s="175"/>
      <c r="AR96" s="176"/>
      <c r="AS96" s="176"/>
      <c r="AT96" s="176"/>
      <c r="AU96" s="176"/>
      <c r="AV96" s="324"/>
      <c r="AW96" s="176"/>
      <c r="AX96" s="1366"/>
      <c r="AZ96" s="1363"/>
      <c r="BA96" s="175" t="s">
        <v>1</v>
      </c>
      <c r="BB96" s="176"/>
      <c r="BC96" s="175"/>
      <c r="BD96" s="176"/>
      <c r="BE96" s="176"/>
      <c r="BF96" s="176"/>
      <c r="BG96" s="176"/>
      <c r="BH96" s="176"/>
      <c r="BI96" s="176"/>
      <c r="BJ96" s="1366"/>
      <c r="BL96" s="1363"/>
      <c r="BM96" s="175" t="s">
        <v>1</v>
      </c>
      <c r="BN96" s="176"/>
      <c r="BO96" s="175"/>
      <c r="BP96" s="176"/>
      <c r="BQ96" s="176"/>
      <c r="BR96" s="176"/>
      <c r="BS96" s="176"/>
      <c r="BT96" s="176"/>
      <c r="BU96" s="176"/>
      <c r="BV96" s="1366"/>
    </row>
    <row r="97" spans="1:84" ht="26" x14ac:dyDescent="0.3">
      <c r="B97" s="1375"/>
      <c r="C97" s="1404"/>
      <c r="D97" s="1363"/>
      <c r="E97" s="177" t="str">
        <f>E89</f>
        <v>D</v>
      </c>
      <c r="F97" s="178"/>
      <c r="G97" s="177" t="str">
        <f>G89</f>
        <v>A</v>
      </c>
      <c r="H97" s="178"/>
      <c r="I97" s="178"/>
      <c r="J97" s="177" t="str">
        <f>+J95</f>
        <v>Um/A</v>
      </c>
      <c r="K97" s="178"/>
      <c r="L97" s="177" t="str">
        <f>+L95</f>
        <v>PmO</v>
      </c>
      <c r="M97" s="178"/>
      <c r="N97" s="1366"/>
      <c r="P97" s="1363"/>
      <c r="Q97" s="177" t="str">
        <f>Q89</f>
        <v>D</v>
      </c>
      <c r="R97" s="178"/>
      <c r="S97" s="177" t="str">
        <f>S89</f>
        <v>A</v>
      </c>
      <c r="T97" s="178"/>
      <c r="U97" s="178"/>
      <c r="V97" s="311" t="str">
        <f>+V95</f>
        <v>Um/A</v>
      </c>
      <c r="W97" s="325"/>
      <c r="X97" s="311" t="str">
        <f>+X95</f>
        <v>PmO</v>
      </c>
      <c r="Y97" s="178"/>
      <c r="Z97" s="1366"/>
      <c r="AB97" s="1363"/>
      <c r="AC97" s="177" t="str">
        <f>AC89</f>
        <v>D</v>
      </c>
      <c r="AD97" s="178"/>
      <c r="AE97" s="177" t="str">
        <f>AE89</f>
        <v>A</v>
      </c>
      <c r="AF97" s="178"/>
      <c r="AG97" s="178"/>
      <c r="AH97" s="311" t="str">
        <f>+AH95</f>
        <v>Um/A</v>
      </c>
      <c r="AI97" s="325"/>
      <c r="AJ97" s="311" t="str">
        <f>+AJ95</f>
        <v>PmO</v>
      </c>
      <c r="AK97" s="178"/>
      <c r="AL97" s="1366"/>
      <c r="AN97" s="1363"/>
      <c r="AO97" s="177" t="str">
        <f>AO89</f>
        <v>D</v>
      </c>
      <c r="AP97" s="178"/>
      <c r="AQ97" s="177" t="str">
        <f>AQ89</f>
        <v>A</v>
      </c>
      <c r="AR97" s="178"/>
      <c r="AS97" s="178"/>
      <c r="AT97" s="177" t="str">
        <f>+AT95</f>
        <v>Um/A</v>
      </c>
      <c r="AU97" s="178"/>
      <c r="AV97" s="311" t="str">
        <f>+AV95</f>
        <v>PmO</v>
      </c>
      <c r="AW97" s="178"/>
      <c r="AX97" s="1366"/>
      <c r="AZ97" s="1363"/>
      <c r="BA97" s="177" t="str">
        <f>BA89</f>
        <v xml:space="preserve">C </v>
      </c>
      <c r="BB97" s="178"/>
      <c r="BC97" s="177" t="str">
        <f>BC89</f>
        <v>A</v>
      </c>
      <c r="BD97" s="178"/>
      <c r="BE97" s="178"/>
      <c r="BF97" s="177" t="str">
        <f>+BF95</f>
        <v>Um/A</v>
      </c>
      <c r="BG97" s="178"/>
      <c r="BH97" s="177" t="str">
        <f>+BH95</f>
        <v>CmO</v>
      </c>
      <c r="BI97" s="178"/>
      <c r="BJ97" s="1366"/>
      <c r="BL97" s="1363"/>
      <c r="BM97" s="177" t="str">
        <f>BM89</f>
        <v xml:space="preserve">B </v>
      </c>
      <c r="BN97" s="178"/>
      <c r="BO97" s="177" t="str">
        <f>BO89</f>
        <v>A</v>
      </c>
      <c r="BP97" s="178"/>
      <c r="BQ97" s="178"/>
      <c r="BR97" s="177" t="str">
        <f>+BR95</f>
        <v>Um/A</v>
      </c>
      <c r="BS97" s="178"/>
      <c r="BT97" s="177" t="str">
        <f>+BT95</f>
        <v>BmO</v>
      </c>
      <c r="BU97" s="178"/>
      <c r="BV97" s="1366"/>
    </row>
    <row r="98" spans="1:84" ht="21" x14ac:dyDescent="0.25">
      <c r="B98" s="1375"/>
      <c r="C98" s="1404"/>
      <c r="D98" s="1363"/>
      <c r="E98" s="147">
        <f>+Q98+AC98+AO98</f>
        <v>98530.849999999991</v>
      </c>
      <c r="F98" s="174" t="s">
        <v>48</v>
      </c>
      <c r="G98" s="148">
        <f>'% Occupation'!O19</f>
        <v>5060</v>
      </c>
      <c r="H98" s="174" t="s">
        <v>50</v>
      </c>
      <c r="I98" s="174" t="s">
        <v>51</v>
      </c>
      <c r="J98" s="149">
        <f>+V98+AH98+AT98</f>
        <v>2.4</v>
      </c>
      <c r="K98" s="174" t="s">
        <v>50</v>
      </c>
      <c r="L98" s="147">
        <f>E98/G98/J98</f>
        <v>8.1135416666666664</v>
      </c>
      <c r="M98" s="174" t="s">
        <v>54</v>
      </c>
      <c r="N98" s="1366"/>
      <c r="P98" s="1363"/>
      <c r="Q98" s="147">
        <f>+S98*(V98*X98)</f>
        <v>28028.183333333334</v>
      </c>
      <c r="R98" s="174" t="s">
        <v>48</v>
      </c>
      <c r="S98" s="148">
        <f>G98</f>
        <v>5060</v>
      </c>
      <c r="T98" s="174" t="s">
        <v>50</v>
      </c>
      <c r="U98" s="174" t="s">
        <v>51</v>
      </c>
      <c r="V98" s="296">
        <f>'Calcul CmO et PmO'!L494</f>
        <v>1.1499999999999999</v>
      </c>
      <c r="W98" s="310" t="s">
        <v>50</v>
      </c>
      <c r="X98" s="297">
        <f>'Calcul CmO et PmO'!F494</f>
        <v>4.8166666666666673</v>
      </c>
      <c r="Y98" s="174" t="s">
        <v>54</v>
      </c>
      <c r="Z98" s="1366"/>
      <c r="AB98" s="1363"/>
      <c r="AC98" s="147">
        <f>+AE98*(AH98*AJ98)</f>
        <v>55474.466666666667</v>
      </c>
      <c r="AD98" s="174" t="s">
        <v>48</v>
      </c>
      <c r="AE98" s="148">
        <f>S98</f>
        <v>5060</v>
      </c>
      <c r="AF98" s="174" t="s">
        <v>50</v>
      </c>
      <c r="AG98" s="174" t="s">
        <v>51</v>
      </c>
      <c r="AH98" s="296">
        <f>'Calcul CmO et PmO'!L509</f>
        <v>1.1499999999999999</v>
      </c>
      <c r="AI98" s="310" t="s">
        <v>50</v>
      </c>
      <c r="AJ98" s="297">
        <f>'Calcul CmO et PmO'!F509</f>
        <v>9.5333333333333332</v>
      </c>
      <c r="AK98" s="174" t="s">
        <v>54</v>
      </c>
      <c r="AL98" s="1366"/>
      <c r="AN98" s="1363"/>
      <c r="AO98" s="147">
        <f>+AQ98*(AT98*AV98)</f>
        <v>15028.2</v>
      </c>
      <c r="AP98" s="174" t="s">
        <v>48</v>
      </c>
      <c r="AQ98" s="148">
        <f>AE98</f>
        <v>5060</v>
      </c>
      <c r="AR98" s="174" t="s">
        <v>50</v>
      </c>
      <c r="AS98" s="174" t="s">
        <v>51</v>
      </c>
      <c r="AT98" s="150">
        <v>0.1</v>
      </c>
      <c r="AU98" s="174" t="s">
        <v>50</v>
      </c>
      <c r="AV98" s="297">
        <f>'Calcul CmO, PmO, Etc.'!E28</f>
        <v>29.7</v>
      </c>
      <c r="AW98" s="174" t="s">
        <v>54</v>
      </c>
      <c r="AX98" s="1366"/>
      <c r="AZ98" s="1363"/>
      <c r="BA98" s="147">
        <f>+'État des Résultats'!AL16+'État des Résultats'!AL21+'État des Résultats'!AL34+'État des Résultats'!AL38+'État des Résultats'!AL39+'État des Résultats'!AL43</f>
        <v>90836.809564253854</v>
      </c>
      <c r="BB98" s="174" t="s">
        <v>48</v>
      </c>
      <c r="BC98" s="148">
        <f>G98</f>
        <v>5060</v>
      </c>
      <c r="BD98" s="174" t="s">
        <v>50</v>
      </c>
      <c r="BE98" s="174" t="s">
        <v>51</v>
      </c>
      <c r="BF98" s="149">
        <f>J98</f>
        <v>2.4</v>
      </c>
      <c r="BG98" s="174" t="s">
        <v>50</v>
      </c>
      <c r="BH98" s="197">
        <v>10.06372</v>
      </c>
      <c r="BI98" s="174" t="s">
        <v>54</v>
      </c>
      <c r="BJ98" s="1366"/>
      <c r="BL98" s="1363"/>
      <c r="BM98" s="147">
        <f>E98-BA98</f>
        <v>7694.0404357461375</v>
      </c>
      <c r="BN98" s="174" t="s">
        <v>48</v>
      </c>
      <c r="BO98" s="148">
        <f>G98</f>
        <v>5060</v>
      </c>
      <c r="BP98" s="174" t="s">
        <v>50</v>
      </c>
      <c r="BQ98" s="174" t="s">
        <v>51</v>
      </c>
      <c r="BR98" s="149">
        <f>J98</f>
        <v>2.4</v>
      </c>
      <c r="BS98" s="174" t="s">
        <v>50</v>
      </c>
      <c r="BT98" s="147">
        <f>BM98/BO98/BR98</f>
        <v>0.63356722955748834</v>
      </c>
      <c r="BU98" s="174" t="s">
        <v>54</v>
      </c>
      <c r="BV98" s="1366"/>
    </row>
    <row r="99" spans="1:84" ht="17" thickBot="1" x14ac:dyDescent="0.25">
      <c r="B99" s="1375"/>
      <c r="C99" s="1404"/>
      <c r="D99" s="1364"/>
      <c r="E99" s="179"/>
      <c r="F99" s="179"/>
      <c r="G99" s="179"/>
      <c r="H99" s="179"/>
      <c r="I99" s="179"/>
      <c r="J99" s="179"/>
      <c r="K99" s="179"/>
      <c r="L99" s="179"/>
      <c r="M99" s="179"/>
      <c r="N99" s="1367"/>
      <c r="P99" s="1364"/>
      <c r="Q99" s="179"/>
      <c r="R99" s="179"/>
      <c r="S99" s="179"/>
      <c r="T99" s="179"/>
      <c r="U99" s="179"/>
      <c r="V99" s="326"/>
      <c r="W99" s="326"/>
      <c r="X99" s="326"/>
      <c r="Y99" s="179"/>
      <c r="Z99" s="1367"/>
      <c r="AB99" s="1364"/>
      <c r="AC99" s="179"/>
      <c r="AD99" s="179"/>
      <c r="AE99" s="179"/>
      <c r="AF99" s="179"/>
      <c r="AG99" s="179"/>
      <c r="AH99" s="326"/>
      <c r="AI99" s="326"/>
      <c r="AJ99" s="326"/>
      <c r="AK99" s="179"/>
      <c r="AL99" s="1367"/>
      <c r="AN99" s="1364"/>
      <c r="AO99" s="179"/>
      <c r="AP99" s="179"/>
      <c r="AQ99" s="179"/>
      <c r="AR99" s="179"/>
      <c r="AS99" s="179"/>
      <c r="AT99" s="179"/>
      <c r="AU99" s="179"/>
      <c r="AV99" s="434"/>
      <c r="AW99" s="179"/>
      <c r="AX99" s="1367"/>
      <c r="AZ99" s="1364"/>
      <c r="BA99" s="179"/>
      <c r="BB99" s="179"/>
      <c r="BC99" s="179"/>
      <c r="BD99" s="179"/>
      <c r="BE99" s="179"/>
      <c r="BF99" s="179"/>
      <c r="BG99" s="179"/>
      <c r="BH99" s="179"/>
      <c r="BI99" s="179"/>
      <c r="BJ99" s="1367"/>
      <c r="BL99" s="1364"/>
      <c r="BM99" s="179"/>
      <c r="BN99" s="179"/>
      <c r="BO99" s="179"/>
      <c r="BP99" s="179"/>
      <c r="BQ99" s="179"/>
      <c r="BR99" s="179"/>
      <c r="BS99" s="179"/>
      <c r="BT99" s="179"/>
      <c r="BU99" s="179"/>
      <c r="BV99" s="1367"/>
    </row>
    <row r="100" spans="1:84" ht="10" customHeight="1" thickTop="1" thickBot="1" x14ac:dyDescent="0.25">
      <c r="B100" s="1376"/>
      <c r="C100" s="191"/>
      <c r="D100" s="192"/>
      <c r="E100" s="193"/>
      <c r="F100" s="193"/>
      <c r="G100" s="193"/>
      <c r="H100" s="193"/>
      <c r="I100" s="193"/>
      <c r="J100" s="193"/>
      <c r="K100" s="193"/>
      <c r="L100" s="193"/>
      <c r="M100" s="193"/>
      <c r="N100" s="192"/>
      <c r="O100" s="194"/>
      <c r="P100" s="192"/>
      <c r="Q100" s="193"/>
      <c r="R100" s="193"/>
      <c r="S100" s="193"/>
      <c r="T100" s="193"/>
      <c r="U100" s="193"/>
      <c r="V100" s="327"/>
      <c r="W100" s="327"/>
      <c r="X100" s="327"/>
      <c r="Y100" s="193"/>
      <c r="Z100" s="192"/>
      <c r="AA100" s="194"/>
      <c r="AB100" s="192"/>
      <c r="AC100" s="193"/>
      <c r="AD100" s="193"/>
      <c r="AE100" s="193"/>
      <c r="AF100" s="193"/>
      <c r="AG100" s="193"/>
      <c r="AH100" s="327"/>
      <c r="AI100" s="327"/>
      <c r="AJ100" s="327"/>
      <c r="AK100" s="193"/>
      <c r="AL100" s="192"/>
      <c r="AM100" s="194"/>
      <c r="AN100" s="192"/>
      <c r="AO100" s="193"/>
      <c r="AP100" s="193"/>
      <c r="AQ100" s="193"/>
      <c r="AR100" s="193"/>
      <c r="AS100" s="193"/>
      <c r="AT100" s="193"/>
      <c r="AU100" s="193"/>
      <c r="AV100" s="435"/>
      <c r="AW100" s="193"/>
      <c r="AX100" s="192"/>
      <c r="AY100" s="194"/>
      <c r="AZ100" s="192"/>
      <c r="BA100" s="193"/>
      <c r="BB100" s="193"/>
      <c r="BC100" s="193"/>
      <c r="BD100" s="193"/>
      <c r="BE100" s="193"/>
      <c r="BF100" s="193"/>
      <c r="BG100" s="193"/>
      <c r="BH100" s="193"/>
      <c r="BI100" s="193"/>
      <c r="BJ100" s="192"/>
      <c r="BK100" s="194"/>
      <c r="BL100" s="192"/>
      <c r="BM100" s="193"/>
      <c r="BN100" s="193"/>
      <c r="BO100" s="193"/>
      <c r="BP100" s="193"/>
      <c r="BQ100" s="193"/>
      <c r="BR100" s="193"/>
      <c r="BS100" s="193"/>
      <c r="BT100" s="193"/>
      <c r="BU100" s="193"/>
      <c r="BV100" s="192"/>
      <c r="BW100" s="194"/>
      <c r="BX100" s="194"/>
      <c r="BY100" s="194"/>
      <c r="BZ100" s="194"/>
      <c r="CA100" s="194"/>
      <c r="CB100" s="194"/>
      <c r="CC100" s="194"/>
      <c r="CD100" s="194"/>
      <c r="CE100" s="194"/>
      <c r="CF100" s="194"/>
    </row>
    <row r="101" spans="1:84" ht="20" customHeight="1" thickTop="1" x14ac:dyDescent="0.2">
      <c r="A101" s="195"/>
      <c r="B101" s="1376"/>
      <c r="C101" s="191"/>
      <c r="D101" s="1362" t="s">
        <v>45</v>
      </c>
      <c r="E101" s="172"/>
      <c r="F101" s="172"/>
      <c r="G101" s="203" t="str">
        <f>'Achalandage journalier'!P5</f>
        <v>Pér.13</v>
      </c>
      <c r="H101" s="172"/>
      <c r="I101" s="172"/>
      <c r="J101" s="172"/>
      <c r="K101" s="172"/>
      <c r="L101" s="172"/>
      <c r="M101" s="172"/>
      <c r="N101" s="1365" t="s">
        <v>46</v>
      </c>
      <c r="O101" s="194"/>
      <c r="P101" s="1362" t="s">
        <v>45</v>
      </c>
      <c r="Q101" s="172"/>
      <c r="R101" s="172"/>
      <c r="S101" s="203" t="str">
        <f>G101</f>
        <v>Pér.13</v>
      </c>
      <c r="T101" s="172"/>
      <c r="U101" s="172"/>
      <c r="V101" s="322"/>
      <c r="W101" s="322"/>
      <c r="X101" s="322"/>
      <c r="Y101" s="172"/>
      <c r="Z101" s="1365" t="s">
        <v>46</v>
      </c>
      <c r="AA101" s="194"/>
      <c r="AB101" s="1362" t="s">
        <v>45</v>
      </c>
      <c r="AC101" s="172"/>
      <c r="AD101" s="172"/>
      <c r="AE101" s="203" t="str">
        <f>S101</f>
        <v>Pér.13</v>
      </c>
      <c r="AF101" s="172"/>
      <c r="AG101" s="172"/>
      <c r="AH101" s="322"/>
      <c r="AI101" s="322"/>
      <c r="AJ101" s="322"/>
      <c r="AK101" s="172"/>
      <c r="AL101" s="1365" t="s">
        <v>46</v>
      </c>
      <c r="AM101" s="194"/>
      <c r="AN101" s="1362" t="s">
        <v>45</v>
      </c>
      <c r="AO101" s="172"/>
      <c r="AP101" s="172"/>
      <c r="AQ101" s="203" t="str">
        <f>AE101</f>
        <v>Pér.13</v>
      </c>
      <c r="AR101" s="172"/>
      <c r="AS101" s="172"/>
      <c r="AT101" s="172"/>
      <c r="AU101" s="172"/>
      <c r="AV101" s="432"/>
      <c r="AW101" s="172"/>
      <c r="AX101" s="1365" t="s">
        <v>46</v>
      </c>
      <c r="AY101" s="194"/>
      <c r="AZ101" s="1362" t="s">
        <v>45</v>
      </c>
      <c r="BA101" s="172"/>
      <c r="BB101" s="172"/>
      <c r="BC101" s="203" t="str">
        <f>AQ101</f>
        <v>Pér.13</v>
      </c>
      <c r="BD101" s="172"/>
      <c r="BE101" s="172"/>
      <c r="BF101" s="172"/>
      <c r="BG101" s="172"/>
      <c r="BH101" s="172"/>
      <c r="BI101" s="172"/>
      <c r="BJ101" s="1365" t="s">
        <v>46</v>
      </c>
      <c r="BK101" s="194"/>
      <c r="BL101" s="1362" t="s">
        <v>45</v>
      </c>
      <c r="BM101" s="172"/>
      <c r="BN101" s="172"/>
      <c r="BO101" s="203" t="str">
        <f>BC101</f>
        <v>Pér.13</v>
      </c>
      <c r="BP101" s="172"/>
      <c r="BQ101" s="172"/>
      <c r="BR101" s="172"/>
      <c r="BS101" s="172"/>
      <c r="BT101" s="172"/>
      <c r="BU101" s="172"/>
      <c r="BV101" s="1365" t="s">
        <v>46</v>
      </c>
      <c r="BW101" s="194"/>
      <c r="BX101" s="194"/>
      <c r="BY101" s="194"/>
      <c r="BZ101" s="194"/>
      <c r="CA101" s="194"/>
      <c r="CB101" s="194"/>
      <c r="CC101" s="194"/>
      <c r="CD101" s="194"/>
      <c r="CE101" s="194"/>
      <c r="CF101" s="194"/>
    </row>
    <row r="102" spans="1:84" ht="20" customHeight="1" x14ac:dyDescent="0.2">
      <c r="A102" s="196"/>
      <c r="B102" s="1376"/>
      <c r="C102" s="191"/>
      <c r="D102" s="1363"/>
      <c r="E102" s="173"/>
      <c r="F102" s="173"/>
      <c r="G102" s="173"/>
      <c r="H102" s="173"/>
      <c r="I102" s="173"/>
      <c r="J102" s="173"/>
      <c r="K102" s="173"/>
      <c r="L102" s="173"/>
      <c r="M102" s="173"/>
      <c r="N102" s="1366"/>
      <c r="O102" s="194"/>
      <c r="P102" s="1363"/>
      <c r="Q102" s="173"/>
      <c r="R102" s="173"/>
      <c r="S102" s="173"/>
      <c r="T102" s="173"/>
      <c r="U102" s="173"/>
      <c r="V102" s="323"/>
      <c r="W102" s="323"/>
      <c r="X102" s="323"/>
      <c r="Y102" s="173"/>
      <c r="Z102" s="1366"/>
      <c r="AA102" s="194"/>
      <c r="AB102" s="1363"/>
      <c r="AC102" s="173"/>
      <c r="AD102" s="173"/>
      <c r="AE102" s="173"/>
      <c r="AF102" s="173"/>
      <c r="AG102" s="173"/>
      <c r="AH102" s="323"/>
      <c r="AI102" s="323"/>
      <c r="AJ102" s="323"/>
      <c r="AK102" s="173"/>
      <c r="AL102" s="1366"/>
      <c r="AM102" s="194"/>
      <c r="AN102" s="1363"/>
      <c r="AO102" s="173"/>
      <c r="AP102" s="173"/>
      <c r="AQ102" s="173"/>
      <c r="AR102" s="173"/>
      <c r="AS102" s="173"/>
      <c r="AT102" s="173"/>
      <c r="AU102" s="173"/>
      <c r="AV102" s="433"/>
      <c r="AW102" s="173"/>
      <c r="AX102" s="1366"/>
      <c r="AY102" s="194"/>
      <c r="AZ102" s="1363"/>
      <c r="BA102" s="173"/>
      <c r="BB102" s="173"/>
      <c r="BC102" s="173"/>
      <c r="BD102" s="173"/>
      <c r="BE102" s="173"/>
      <c r="BF102" s="173"/>
      <c r="BG102" s="173"/>
      <c r="BH102" s="173"/>
      <c r="BI102" s="173"/>
      <c r="BJ102" s="1366"/>
      <c r="BK102" s="194"/>
      <c r="BL102" s="1363"/>
      <c r="BM102" s="173"/>
      <c r="BN102" s="173"/>
      <c r="BO102" s="173"/>
      <c r="BP102" s="173"/>
      <c r="BQ102" s="173"/>
      <c r="BR102" s="173"/>
      <c r="BS102" s="173"/>
      <c r="BT102" s="173"/>
      <c r="BU102" s="173"/>
      <c r="BV102" s="1366"/>
      <c r="BW102" s="194"/>
      <c r="BX102" s="194"/>
      <c r="BY102" s="194"/>
      <c r="BZ102" s="194"/>
      <c r="CA102" s="194"/>
      <c r="CB102" s="194"/>
      <c r="CC102" s="194"/>
      <c r="CD102" s="194"/>
      <c r="CE102" s="194"/>
      <c r="CF102" s="194"/>
    </row>
    <row r="103" spans="1:84" ht="20" customHeight="1" x14ac:dyDescent="0.25">
      <c r="A103" s="196"/>
      <c r="B103" s="1376"/>
      <c r="C103" s="191"/>
      <c r="D103" s="1363"/>
      <c r="E103" s="174" t="str">
        <f>E95</f>
        <v>Demande mensuelle</v>
      </c>
      <c r="F103" s="174" t="s">
        <v>48</v>
      </c>
      <c r="G103" s="174" t="str">
        <f>G95</f>
        <v>Achalandage mensuel</v>
      </c>
      <c r="H103" s="174" t="s">
        <v>50</v>
      </c>
      <c r="I103" s="174" t="s">
        <v>51</v>
      </c>
      <c r="J103" s="174" t="str">
        <f>J95</f>
        <v>Um/A</v>
      </c>
      <c r="K103" s="174" t="s">
        <v>50</v>
      </c>
      <c r="L103" s="174" t="str">
        <f>L95</f>
        <v>PmO</v>
      </c>
      <c r="M103" s="174" t="s">
        <v>54</v>
      </c>
      <c r="N103" s="1366"/>
      <c r="O103" s="194"/>
      <c r="P103" s="1363"/>
      <c r="Q103" s="174" t="str">
        <f>Q95</f>
        <v>Demande mensuelle</v>
      </c>
      <c r="R103" s="174" t="s">
        <v>48</v>
      </c>
      <c r="S103" s="174" t="str">
        <f>S95</f>
        <v>Achalandage mensuel</v>
      </c>
      <c r="T103" s="174" t="s">
        <v>50</v>
      </c>
      <c r="U103" s="174" t="s">
        <v>51</v>
      </c>
      <c r="V103" s="310" t="str">
        <f>V95</f>
        <v>Um/A</v>
      </c>
      <c r="W103" s="310" t="s">
        <v>50</v>
      </c>
      <c r="X103" s="310" t="str">
        <f>X95</f>
        <v>PmO</v>
      </c>
      <c r="Y103" s="174" t="s">
        <v>54</v>
      </c>
      <c r="Z103" s="1366"/>
      <c r="AA103" s="194"/>
      <c r="AB103" s="1363"/>
      <c r="AC103" s="174" t="str">
        <f>AC95</f>
        <v>Demande mensuelle</v>
      </c>
      <c r="AD103" s="174" t="s">
        <v>48</v>
      </c>
      <c r="AE103" s="174" t="str">
        <f>AE95</f>
        <v>Achalandage mensuel</v>
      </c>
      <c r="AF103" s="174" t="s">
        <v>50</v>
      </c>
      <c r="AG103" s="174" t="s">
        <v>51</v>
      </c>
      <c r="AH103" s="310" t="str">
        <f>AH95</f>
        <v>Um/A</v>
      </c>
      <c r="AI103" s="310" t="s">
        <v>50</v>
      </c>
      <c r="AJ103" s="310" t="str">
        <f>AJ95</f>
        <v>PmO</v>
      </c>
      <c r="AK103" s="174" t="s">
        <v>54</v>
      </c>
      <c r="AL103" s="1366"/>
      <c r="AM103" s="194"/>
      <c r="AN103" s="1363"/>
      <c r="AO103" s="174" t="str">
        <f>AO95</f>
        <v>Demande mensuelle</v>
      </c>
      <c r="AP103" s="174" t="s">
        <v>48</v>
      </c>
      <c r="AQ103" s="174" t="str">
        <f>AQ95</f>
        <v>Achalandage mensuel</v>
      </c>
      <c r="AR103" s="174" t="s">
        <v>50</v>
      </c>
      <c r="AS103" s="174" t="s">
        <v>51</v>
      </c>
      <c r="AT103" s="174" t="str">
        <f>AT95</f>
        <v>Um/A</v>
      </c>
      <c r="AU103" s="174" t="s">
        <v>50</v>
      </c>
      <c r="AV103" s="310" t="str">
        <f>AV95</f>
        <v>PmO</v>
      </c>
      <c r="AW103" s="174" t="s">
        <v>54</v>
      </c>
      <c r="AX103" s="1366"/>
      <c r="AY103" s="194"/>
      <c r="AZ103" s="1363"/>
      <c r="BA103" s="174" t="str">
        <f>BA95</f>
        <v>Coût mensuel</v>
      </c>
      <c r="BB103" s="174" t="s">
        <v>48</v>
      </c>
      <c r="BC103" s="174" t="str">
        <f>BC95</f>
        <v>Achalandage mensuel</v>
      </c>
      <c r="BD103" s="174" t="s">
        <v>50</v>
      </c>
      <c r="BE103" s="174" t="s">
        <v>51</v>
      </c>
      <c r="BF103" s="174" t="str">
        <f>BF95</f>
        <v>Um/A</v>
      </c>
      <c r="BG103" s="174" t="s">
        <v>50</v>
      </c>
      <c r="BH103" s="174" t="str">
        <f>BH95</f>
        <v>CmO</v>
      </c>
      <c r="BI103" s="174" t="s">
        <v>54</v>
      </c>
      <c r="BJ103" s="1366"/>
      <c r="BK103" s="194"/>
      <c r="BL103" s="1363"/>
      <c r="BM103" s="174" t="str">
        <f>BM95</f>
        <v>Bénéfice mensuel</v>
      </c>
      <c r="BN103" s="174" t="s">
        <v>48</v>
      </c>
      <c r="BO103" s="174" t="str">
        <f>BO95</f>
        <v>Achalandage mensuel</v>
      </c>
      <c r="BP103" s="174" t="s">
        <v>50</v>
      </c>
      <c r="BQ103" s="174" t="s">
        <v>51</v>
      </c>
      <c r="BR103" s="174" t="str">
        <f>BR95</f>
        <v>Um/A</v>
      </c>
      <c r="BS103" s="174" t="s">
        <v>50</v>
      </c>
      <c r="BT103" s="174" t="str">
        <f>BT95</f>
        <v>BmO</v>
      </c>
      <c r="BU103" s="174" t="s">
        <v>54</v>
      </c>
      <c r="BV103" s="1366"/>
      <c r="BW103" s="194"/>
      <c r="BX103" s="194"/>
      <c r="BY103" s="194"/>
      <c r="BZ103" s="194"/>
      <c r="CA103" s="194"/>
      <c r="CB103" s="194"/>
      <c r="CC103" s="194"/>
      <c r="CD103" s="194"/>
      <c r="CE103" s="194"/>
      <c r="CF103" s="194"/>
    </row>
    <row r="104" spans="1:84" ht="20" customHeight="1" x14ac:dyDescent="0.25">
      <c r="A104" s="196"/>
      <c r="B104" s="1376"/>
      <c r="C104" s="191"/>
      <c r="D104" s="1363"/>
      <c r="E104" s="175" t="s">
        <v>1</v>
      </c>
      <c r="F104" s="176"/>
      <c r="G104" s="175"/>
      <c r="H104" s="176"/>
      <c r="I104" s="176"/>
      <c r="J104" s="176"/>
      <c r="K104" s="176"/>
      <c r="L104" s="176"/>
      <c r="M104" s="176"/>
      <c r="N104" s="1366"/>
      <c r="O104" s="194"/>
      <c r="P104" s="1363"/>
      <c r="Q104" s="175" t="s">
        <v>1</v>
      </c>
      <c r="R104" s="176"/>
      <c r="S104" s="175"/>
      <c r="T104" s="176"/>
      <c r="U104" s="176"/>
      <c r="V104" s="324"/>
      <c r="W104" s="324"/>
      <c r="X104" s="324"/>
      <c r="Y104" s="176"/>
      <c r="Z104" s="1366"/>
      <c r="AA104" s="194"/>
      <c r="AB104" s="1363"/>
      <c r="AC104" s="175" t="s">
        <v>1</v>
      </c>
      <c r="AD104" s="176"/>
      <c r="AE104" s="175"/>
      <c r="AF104" s="176"/>
      <c r="AG104" s="176"/>
      <c r="AH104" s="324"/>
      <c r="AI104" s="324"/>
      <c r="AJ104" s="324"/>
      <c r="AK104" s="176"/>
      <c r="AL104" s="1366"/>
      <c r="AM104" s="194"/>
      <c r="AN104" s="1363"/>
      <c r="AO104" s="175" t="s">
        <v>1</v>
      </c>
      <c r="AP104" s="176"/>
      <c r="AQ104" s="175"/>
      <c r="AR104" s="176"/>
      <c r="AS104" s="176"/>
      <c r="AT104" s="176"/>
      <c r="AU104" s="176"/>
      <c r="AV104" s="324"/>
      <c r="AW104" s="176"/>
      <c r="AX104" s="1366"/>
      <c r="AY104" s="194"/>
      <c r="AZ104" s="1363"/>
      <c r="BA104" s="175" t="s">
        <v>1</v>
      </c>
      <c r="BB104" s="176"/>
      <c r="BC104" s="175"/>
      <c r="BD104" s="176"/>
      <c r="BE104" s="176"/>
      <c r="BF104" s="176"/>
      <c r="BG104" s="176"/>
      <c r="BH104" s="176"/>
      <c r="BI104" s="176"/>
      <c r="BJ104" s="1366"/>
      <c r="BK104" s="194"/>
      <c r="BL104" s="1363"/>
      <c r="BM104" s="175" t="s">
        <v>1</v>
      </c>
      <c r="BN104" s="176"/>
      <c r="BO104" s="175"/>
      <c r="BP104" s="176"/>
      <c r="BQ104" s="176"/>
      <c r="BR104" s="176"/>
      <c r="BS104" s="176"/>
      <c r="BT104" s="176"/>
      <c r="BU104" s="176"/>
      <c r="BV104" s="1366"/>
      <c r="BW104" s="194"/>
      <c r="BX104" s="194"/>
      <c r="BY104" s="194"/>
      <c r="BZ104" s="194"/>
      <c r="CA104" s="194"/>
      <c r="CB104" s="194"/>
      <c r="CC104" s="194"/>
      <c r="CD104" s="194"/>
      <c r="CE104" s="194"/>
      <c r="CF104" s="194"/>
    </row>
    <row r="105" spans="1:84" ht="20" customHeight="1" x14ac:dyDescent="0.3">
      <c r="A105" s="196"/>
      <c r="B105" s="1376"/>
      <c r="C105" s="191"/>
      <c r="D105" s="1363"/>
      <c r="E105" s="177" t="str">
        <f>E97</f>
        <v>D</v>
      </c>
      <c r="F105" s="178"/>
      <c r="G105" s="177" t="str">
        <f>G97</f>
        <v>A</v>
      </c>
      <c r="H105" s="178"/>
      <c r="I105" s="178"/>
      <c r="J105" s="177" t="str">
        <f>+J103</f>
        <v>Um/A</v>
      </c>
      <c r="K105" s="178"/>
      <c r="L105" s="177" t="str">
        <f>+L103</f>
        <v>PmO</v>
      </c>
      <c r="M105" s="178"/>
      <c r="N105" s="1366"/>
      <c r="O105" s="194"/>
      <c r="P105" s="1363"/>
      <c r="Q105" s="177" t="str">
        <f>Q97</f>
        <v>D</v>
      </c>
      <c r="R105" s="178"/>
      <c r="S105" s="177" t="str">
        <f>S97</f>
        <v>A</v>
      </c>
      <c r="T105" s="178"/>
      <c r="U105" s="178"/>
      <c r="V105" s="311" t="str">
        <f>+V103</f>
        <v>Um/A</v>
      </c>
      <c r="W105" s="325"/>
      <c r="X105" s="311" t="str">
        <f>+X103</f>
        <v>PmO</v>
      </c>
      <c r="Y105" s="178"/>
      <c r="Z105" s="1366"/>
      <c r="AA105" s="194"/>
      <c r="AB105" s="1363"/>
      <c r="AC105" s="177" t="str">
        <f>AC97</f>
        <v>D</v>
      </c>
      <c r="AD105" s="178"/>
      <c r="AE105" s="177" t="str">
        <f>AE97</f>
        <v>A</v>
      </c>
      <c r="AF105" s="178"/>
      <c r="AG105" s="178"/>
      <c r="AH105" s="311" t="str">
        <f>+AH103</f>
        <v>Um/A</v>
      </c>
      <c r="AI105" s="325"/>
      <c r="AJ105" s="311" t="str">
        <f>+AJ103</f>
        <v>PmO</v>
      </c>
      <c r="AK105" s="178"/>
      <c r="AL105" s="1366"/>
      <c r="AM105" s="194"/>
      <c r="AN105" s="1363"/>
      <c r="AO105" s="177" t="str">
        <f>AO97</f>
        <v>D</v>
      </c>
      <c r="AP105" s="178"/>
      <c r="AQ105" s="177" t="str">
        <f>AQ97</f>
        <v>A</v>
      </c>
      <c r="AR105" s="178"/>
      <c r="AS105" s="178"/>
      <c r="AT105" s="177" t="str">
        <f>+AT103</f>
        <v>Um/A</v>
      </c>
      <c r="AU105" s="178"/>
      <c r="AV105" s="311" t="str">
        <f>+AV103</f>
        <v>PmO</v>
      </c>
      <c r="AW105" s="178"/>
      <c r="AX105" s="1366"/>
      <c r="AY105" s="194"/>
      <c r="AZ105" s="1363"/>
      <c r="BA105" s="177" t="str">
        <f>BA97</f>
        <v xml:space="preserve">C </v>
      </c>
      <c r="BB105" s="178"/>
      <c r="BC105" s="177" t="str">
        <f>BC97</f>
        <v>A</v>
      </c>
      <c r="BD105" s="178"/>
      <c r="BE105" s="178"/>
      <c r="BF105" s="177" t="str">
        <f>+BF103</f>
        <v>Um/A</v>
      </c>
      <c r="BG105" s="178"/>
      <c r="BH105" s="177" t="str">
        <f>+BH103</f>
        <v>CmO</v>
      </c>
      <c r="BI105" s="178"/>
      <c r="BJ105" s="1366"/>
      <c r="BK105" s="194"/>
      <c r="BL105" s="1363"/>
      <c r="BM105" s="177" t="str">
        <f>BM97</f>
        <v xml:space="preserve">B </v>
      </c>
      <c r="BN105" s="178"/>
      <c r="BO105" s="177" t="str">
        <f>BO97</f>
        <v>A</v>
      </c>
      <c r="BP105" s="178"/>
      <c r="BQ105" s="178"/>
      <c r="BR105" s="177" t="str">
        <f>+BR103</f>
        <v>Um/A</v>
      </c>
      <c r="BS105" s="178"/>
      <c r="BT105" s="177" t="str">
        <f>+BT103</f>
        <v>BmO</v>
      </c>
      <c r="BU105" s="178"/>
      <c r="BV105" s="1366"/>
      <c r="BW105" s="194"/>
      <c r="BX105" s="194"/>
      <c r="BY105" s="194"/>
      <c r="BZ105" s="194"/>
      <c r="CA105" s="194"/>
      <c r="CB105" s="194"/>
      <c r="CC105" s="194"/>
      <c r="CD105" s="194"/>
      <c r="CE105" s="194"/>
      <c r="CF105" s="194"/>
    </row>
    <row r="106" spans="1:84" ht="20" customHeight="1" x14ac:dyDescent="0.25">
      <c r="A106" s="196"/>
      <c r="B106" s="1376"/>
      <c r="C106" s="191"/>
      <c r="D106" s="1363"/>
      <c r="E106" s="147">
        <f>+Q106+AC106+AO106</f>
        <v>102161.4</v>
      </c>
      <c r="F106" s="174" t="s">
        <v>48</v>
      </c>
      <c r="G106" s="148">
        <f>'% Occupation'!P19</f>
        <v>5060</v>
      </c>
      <c r="H106" s="174" t="s">
        <v>50</v>
      </c>
      <c r="I106" s="174" t="s">
        <v>51</v>
      </c>
      <c r="J106" s="149">
        <f>+V106+AH106+AT106</f>
        <v>2.5</v>
      </c>
      <c r="K106" s="174" t="s">
        <v>50</v>
      </c>
      <c r="L106" s="147">
        <f>E106/G106/J106</f>
        <v>8.0759999999999987</v>
      </c>
      <c r="M106" s="174" t="s">
        <v>54</v>
      </c>
      <c r="N106" s="1366"/>
      <c r="O106" s="194"/>
      <c r="P106" s="1363"/>
      <c r="Q106" s="147">
        <f>+S106*(V106*X106)</f>
        <v>29246.800000000003</v>
      </c>
      <c r="R106" s="174" t="s">
        <v>48</v>
      </c>
      <c r="S106" s="148">
        <f>G106</f>
        <v>5060</v>
      </c>
      <c r="T106" s="174" t="s">
        <v>50</v>
      </c>
      <c r="U106" s="174" t="s">
        <v>51</v>
      </c>
      <c r="V106" s="296">
        <f>'Calcul CmO et PmO'!L537</f>
        <v>1.2</v>
      </c>
      <c r="W106" s="310" t="s">
        <v>50</v>
      </c>
      <c r="X106" s="297">
        <f>'Calcul CmO et PmO'!F537</f>
        <v>4.8166666666666673</v>
      </c>
      <c r="Y106" s="174" t="s">
        <v>54</v>
      </c>
      <c r="Z106" s="1366"/>
      <c r="AA106" s="194"/>
      <c r="AB106" s="1363"/>
      <c r="AC106" s="147">
        <f>+AE106*(AH106*AJ106)</f>
        <v>57886.399999999994</v>
      </c>
      <c r="AD106" s="174" t="s">
        <v>48</v>
      </c>
      <c r="AE106" s="148">
        <f>S106</f>
        <v>5060</v>
      </c>
      <c r="AF106" s="174" t="s">
        <v>50</v>
      </c>
      <c r="AG106" s="174" t="s">
        <v>51</v>
      </c>
      <c r="AH106" s="296">
        <f>'Calcul CmO et PmO'!L552</f>
        <v>1.2</v>
      </c>
      <c r="AI106" s="310" t="s">
        <v>50</v>
      </c>
      <c r="AJ106" s="297">
        <f>'Calcul CmO et PmO'!F552</f>
        <v>9.5333333333333332</v>
      </c>
      <c r="AK106" s="174" t="s">
        <v>54</v>
      </c>
      <c r="AL106" s="1366"/>
      <c r="AM106" s="194"/>
      <c r="AN106" s="1363"/>
      <c r="AO106" s="147">
        <f>+AQ106*(AT106*AV106)</f>
        <v>15028.2</v>
      </c>
      <c r="AP106" s="174" t="s">
        <v>48</v>
      </c>
      <c r="AQ106" s="148">
        <f>AE106</f>
        <v>5060</v>
      </c>
      <c r="AR106" s="174" t="s">
        <v>50</v>
      </c>
      <c r="AS106" s="174" t="s">
        <v>51</v>
      </c>
      <c r="AT106" s="150">
        <v>0.1</v>
      </c>
      <c r="AU106" s="174" t="s">
        <v>50</v>
      </c>
      <c r="AV106" s="297">
        <f>'Calcul CmO, PmO, Etc.'!E28</f>
        <v>29.7</v>
      </c>
      <c r="AW106" s="174" t="s">
        <v>54</v>
      </c>
      <c r="AX106" s="1366"/>
      <c r="AY106" s="194"/>
      <c r="AZ106" s="1363"/>
      <c r="BA106" s="147">
        <f>+'État des Résultats'!AO16+'État des Résultats'!AO21+'État des Résultats'!AO34+'État des Résultats'!AO38+'État des Résultats'!AO39+'État des Résultats'!AO43</f>
        <v>93750.015786553835</v>
      </c>
      <c r="BB106" s="174" t="s">
        <v>48</v>
      </c>
      <c r="BC106" s="148">
        <f>G106</f>
        <v>5060</v>
      </c>
      <c r="BD106" s="174" t="s">
        <v>50</v>
      </c>
      <c r="BE106" s="174" t="s">
        <v>51</v>
      </c>
      <c r="BF106" s="149">
        <f>J106</f>
        <v>2.5</v>
      </c>
      <c r="BG106" s="174" t="s">
        <v>50</v>
      </c>
      <c r="BH106" s="1263">
        <v>10.06372</v>
      </c>
      <c r="BI106" s="174" t="s">
        <v>54</v>
      </c>
      <c r="BJ106" s="1366"/>
      <c r="BK106" s="194"/>
      <c r="BL106" s="1363"/>
      <c r="BM106" s="147">
        <f>E106-BA106</f>
        <v>8411.3842134461593</v>
      </c>
      <c r="BN106" s="174" t="s">
        <v>48</v>
      </c>
      <c r="BO106" s="148">
        <f>G106</f>
        <v>5060</v>
      </c>
      <c r="BP106" s="174" t="s">
        <v>50</v>
      </c>
      <c r="BQ106" s="174" t="s">
        <v>51</v>
      </c>
      <c r="BR106" s="149">
        <f>J106</f>
        <v>2.5</v>
      </c>
      <c r="BS106" s="174" t="s">
        <v>50</v>
      </c>
      <c r="BT106" s="147">
        <f>BM106/BO106/BR106</f>
        <v>0.66493155837519047</v>
      </c>
      <c r="BU106" s="174" t="s">
        <v>54</v>
      </c>
      <c r="BV106" s="1366"/>
      <c r="BW106" s="194"/>
      <c r="BX106" s="194"/>
      <c r="BY106" s="194"/>
      <c r="BZ106" s="194"/>
      <c r="CA106" s="194"/>
      <c r="CB106" s="194"/>
      <c r="CC106" s="194"/>
      <c r="CD106" s="194"/>
      <c r="CE106" s="194"/>
      <c r="CF106" s="194"/>
    </row>
    <row r="107" spans="1:84" ht="20" customHeight="1" thickBot="1" x14ac:dyDescent="0.25">
      <c r="A107" s="196"/>
      <c r="B107" s="1376"/>
      <c r="C107" s="191"/>
      <c r="D107" s="1364"/>
      <c r="E107" s="179"/>
      <c r="F107" s="179"/>
      <c r="G107" s="179"/>
      <c r="H107" s="179"/>
      <c r="I107" s="179"/>
      <c r="J107" s="179"/>
      <c r="K107" s="179"/>
      <c r="L107" s="179"/>
      <c r="M107" s="179"/>
      <c r="N107" s="1367"/>
      <c r="O107" s="194"/>
      <c r="P107" s="1364"/>
      <c r="Q107" s="179"/>
      <c r="R107" s="179"/>
      <c r="S107" s="179"/>
      <c r="T107" s="179"/>
      <c r="U107" s="179"/>
      <c r="V107" s="179"/>
      <c r="W107" s="179"/>
      <c r="X107" s="179"/>
      <c r="Y107" s="179"/>
      <c r="Z107" s="1367"/>
      <c r="AA107" s="194"/>
      <c r="AB107" s="1364"/>
      <c r="AC107" s="179"/>
      <c r="AD107" s="179"/>
      <c r="AE107" s="179"/>
      <c r="AF107" s="179"/>
      <c r="AG107" s="179"/>
      <c r="AH107" s="179"/>
      <c r="AI107" s="179"/>
      <c r="AJ107" s="179"/>
      <c r="AK107" s="179"/>
      <c r="AL107" s="1367"/>
      <c r="AM107" s="194"/>
      <c r="AN107" s="1364"/>
      <c r="AO107" s="179"/>
      <c r="AP107" s="179"/>
      <c r="AQ107" s="179"/>
      <c r="AR107" s="179"/>
      <c r="AS107" s="179"/>
      <c r="AT107" s="179"/>
      <c r="AU107" s="179"/>
      <c r="AV107" s="434"/>
      <c r="AW107" s="179"/>
      <c r="AX107" s="1367"/>
      <c r="AY107" s="194"/>
      <c r="AZ107" s="1364"/>
      <c r="BA107" s="179"/>
      <c r="BB107" s="179"/>
      <c r="BC107" s="179"/>
      <c r="BD107" s="179"/>
      <c r="BE107" s="179"/>
      <c r="BF107" s="179"/>
      <c r="BG107" s="179"/>
      <c r="BH107" s="179"/>
      <c r="BI107" s="179"/>
      <c r="BJ107" s="1367"/>
      <c r="BK107" s="194"/>
      <c r="BL107" s="1364"/>
      <c r="BM107" s="179"/>
      <c r="BN107" s="179"/>
      <c r="BO107" s="179"/>
      <c r="BP107" s="179"/>
      <c r="BQ107" s="179"/>
      <c r="BR107" s="179"/>
      <c r="BS107" s="179"/>
      <c r="BT107" s="179"/>
      <c r="BU107" s="179"/>
      <c r="BV107" s="1367"/>
      <c r="BW107" s="194"/>
      <c r="BX107" s="194"/>
      <c r="BY107" s="194"/>
      <c r="BZ107" s="194"/>
      <c r="CA107" s="194"/>
      <c r="CB107" s="194"/>
      <c r="CC107" s="194"/>
      <c r="CD107" s="194"/>
      <c r="CE107" s="194"/>
      <c r="CF107" s="194"/>
    </row>
    <row r="108" spans="1:84" ht="10" customHeight="1" thickTop="1" thickBot="1" x14ac:dyDescent="0.2">
      <c r="C108" s="139"/>
    </row>
    <row r="109" spans="1:84" ht="17" thickTop="1" x14ac:dyDescent="0.2">
      <c r="B109" s="1405" t="s">
        <v>63</v>
      </c>
      <c r="C109" s="1408" t="s">
        <v>63</v>
      </c>
      <c r="D109" s="1409" t="s">
        <v>45</v>
      </c>
      <c r="E109" s="180"/>
      <c r="F109" s="180"/>
      <c r="G109" s="205" t="s">
        <v>36</v>
      </c>
      <c r="H109" s="180"/>
      <c r="I109" s="180"/>
      <c r="J109" s="180"/>
      <c r="K109" s="180"/>
      <c r="L109" s="180"/>
      <c r="M109" s="180"/>
      <c r="N109" s="1412" t="s">
        <v>46</v>
      </c>
      <c r="P109" s="1409" t="s">
        <v>45</v>
      </c>
      <c r="Q109" s="180"/>
      <c r="R109" s="180"/>
      <c r="S109" s="205" t="s">
        <v>36</v>
      </c>
      <c r="T109" s="180"/>
      <c r="U109" s="180"/>
      <c r="V109" s="180"/>
      <c r="W109" s="180"/>
      <c r="X109" s="180"/>
      <c r="Y109" s="180"/>
      <c r="Z109" s="1412" t="s">
        <v>46</v>
      </c>
      <c r="AB109" s="1409" t="s">
        <v>45</v>
      </c>
      <c r="AC109" s="180"/>
      <c r="AD109" s="180"/>
      <c r="AE109" s="205" t="s">
        <v>36</v>
      </c>
      <c r="AF109" s="180"/>
      <c r="AG109" s="180"/>
      <c r="AH109" s="180"/>
      <c r="AI109" s="180"/>
      <c r="AJ109" s="180"/>
      <c r="AK109" s="180"/>
      <c r="AL109" s="1412" t="s">
        <v>46</v>
      </c>
      <c r="AN109" s="1409" t="s">
        <v>45</v>
      </c>
      <c r="AO109" s="180"/>
      <c r="AP109" s="180"/>
      <c r="AQ109" s="205" t="s">
        <v>36</v>
      </c>
      <c r="AR109" s="180"/>
      <c r="AS109" s="180"/>
      <c r="AT109" s="180"/>
      <c r="AU109" s="180"/>
      <c r="AV109" s="180"/>
      <c r="AW109" s="180"/>
      <c r="AX109" s="1412" t="s">
        <v>46</v>
      </c>
      <c r="AZ109" s="1409" t="s">
        <v>45</v>
      </c>
      <c r="BA109" s="180"/>
      <c r="BB109" s="180"/>
      <c r="BC109" s="205" t="s">
        <v>36</v>
      </c>
      <c r="BD109" s="180"/>
      <c r="BE109" s="180"/>
      <c r="BF109" s="180"/>
      <c r="BG109" s="180"/>
      <c r="BH109" s="180"/>
      <c r="BI109" s="180"/>
      <c r="BJ109" s="1412" t="s">
        <v>46</v>
      </c>
      <c r="BL109" s="1409" t="s">
        <v>45</v>
      </c>
      <c r="BM109" s="180"/>
      <c r="BN109" s="180"/>
      <c r="BO109" s="205" t="s">
        <v>36</v>
      </c>
      <c r="BP109" s="180"/>
      <c r="BQ109" s="180"/>
      <c r="BR109" s="180"/>
      <c r="BS109" s="180"/>
      <c r="BT109" s="180"/>
      <c r="BU109" s="180"/>
      <c r="BV109" s="1412" t="s">
        <v>46</v>
      </c>
    </row>
    <row r="110" spans="1:84" ht="16" x14ac:dyDescent="0.2">
      <c r="B110" s="1406"/>
      <c r="C110" s="1408"/>
      <c r="D110" s="1410"/>
      <c r="E110" s="181"/>
      <c r="F110" s="181"/>
      <c r="G110" s="181"/>
      <c r="H110" s="181"/>
      <c r="I110" s="181"/>
      <c r="J110" s="181"/>
      <c r="K110" s="181"/>
      <c r="L110" s="181"/>
      <c r="M110" s="181"/>
      <c r="N110" s="1413"/>
      <c r="P110" s="1410"/>
      <c r="Q110" s="181"/>
      <c r="R110" s="181"/>
      <c r="S110" s="181"/>
      <c r="T110" s="181"/>
      <c r="U110" s="181"/>
      <c r="V110" s="181"/>
      <c r="W110" s="181"/>
      <c r="X110" s="181"/>
      <c r="Y110" s="181"/>
      <c r="Z110" s="1413"/>
      <c r="AB110" s="1410"/>
      <c r="AC110" s="181"/>
      <c r="AD110" s="181"/>
      <c r="AE110" s="181"/>
      <c r="AF110" s="181"/>
      <c r="AG110" s="181"/>
      <c r="AH110" s="181"/>
      <c r="AI110" s="181"/>
      <c r="AJ110" s="181"/>
      <c r="AK110" s="181"/>
      <c r="AL110" s="1413"/>
      <c r="AN110" s="1410"/>
      <c r="AO110" s="181"/>
      <c r="AP110" s="181"/>
      <c r="AQ110" s="181"/>
      <c r="AR110" s="181"/>
      <c r="AS110" s="181"/>
      <c r="AT110" s="181"/>
      <c r="AU110" s="181"/>
      <c r="AV110" s="181"/>
      <c r="AW110" s="181"/>
      <c r="AX110" s="1413"/>
      <c r="AZ110" s="1410"/>
      <c r="BA110" s="181"/>
      <c r="BB110" s="181"/>
      <c r="BC110" s="181"/>
      <c r="BD110" s="181"/>
      <c r="BE110" s="181"/>
      <c r="BF110" s="181"/>
      <c r="BG110" s="181"/>
      <c r="BH110" s="181"/>
      <c r="BI110" s="181"/>
      <c r="BJ110" s="1413"/>
      <c r="BL110" s="1410"/>
      <c r="BM110" s="181"/>
      <c r="BN110" s="181"/>
      <c r="BO110" s="181"/>
      <c r="BP110" s="181"/>
      <c r="BQ110" s="181"/>
      <c r="BR110" s="181"/>
      <c r="BS110" s="181"/>
      <c r="BT110" s="181"/>
      <c r="BU110" s="181"/>
      <c r="BV110" s="1413"/>
    </row>
    <row r="111" spans="1:84" ht="21" x14ac:dyDescent="0.25">
      <c r="B111" s="1406"/>
      <c r="C111" s="1408"/>
      <c r="D111" s="1410"/>
      <c r="E111" s="182" t="str">
        <f>E95</f>
        <v>Demande mensuelle</v>
      </c>
      <c r="F111" s="182" t="s">
        <v>48</v>
      </c>
      <c r="G111" s="182" t="s">
        <v>64</v>
      </c>
      <c r="H111" s="182" t="s">
        <v>50</v>
      </c>
      <c r="I111" s="182" t="s">
        <v>51</v>
      </c>
      <c r="J111" s="182" t="str">
        <f>J95</f>
        <v>Um/A</v>
      </c>
      <c r="K111" s="182" t="s">
        <v>50</v>
      </c>
      <c r="L111" s="182" t="str">
        <f>L95</f>
        <v>PmO</v>
      </c>
      <c r="M111" s="182" t="s">
        <v>54</v>
      </c>
      <c r="N111" s="1413"/>
      <c r="P111" s="1410"/>
      <c r="Q111" s="182" t="str">
        <f>E111</f>
        <v>Demande mensuelle</v>
      </c>
      <c r="R111" s="182" t="s">
        <v>48</v>
      </c>
      <c r="S111" s="182" t="str">
        <f>G111</f>
        <v>Achalandage annuelle</v>
      </c>
      <c r="T111" s="182" t="s">
        <v>50</v>
      </c>
      <c r="U111" s="182" t="s">
        <v>51</v>
      </c>
      <c r="V111" s="182" t="str">
        <f>J111</f>
        <v>Um/A</v>
      </c>
      <c r="W111" s="182" t="s">
        <v>50</v>
      </c>
      <c r="X111" s="182" t="str">
        <f>L111</f>
        <v>PmO</v>
      </c>
      <c r="Y111" s="182" t="s">
        <v>54</v>
      </c>
      <c r="Z111" s="1413"/>
      <c r="AB111" s="1410"/>
      <c r="AC111" s="182" t="str">
        <f>AC95</f>
        <v>Demande mensuelle</v>
      </c>
      <c r="AD111" s="182" t="s">
        <v>48</v>
      </c>
      <c r="AE111" s="182" t="str">
        <f>S111</f>
        <v>Achalandage annuelle</v>
      </c>
      <c r="AF111" s="182" t="s">
        <v>50</v>
      </c>
      <c r="AG111" s="182" t="s">
        <v>51</v>
      </c>
      <c r="AH111" s="182" t="str">
        <f>V111</f>
        <v>Um/A</v>
      </c>
      <c r="AI111" s="182" t="s">
        <v>50</v>
      </c>
      <c r="AJ111" s="182" t="str">
        <f>X111</f>
        <v>PmO</v>
      </c>
      <c r="AK111" s="182" t="s">
        <v>54</v>
      </c>
      <c r="AL111" s="1413"/>
      <c r="AN111" s="1410"/>
      <c r="AO111" s="182" t="str">
        <f>AC111</f>
        <v>Demande mensuelle</v>
      </c>
      <c r="AP111" s="182" t="s">
        <v>48</v>
      </c>
      <c r="AQ111" s="182" t="str">
        <f>AE111</f>
        <v>Achalandage annuelle</v>
      </c>
      <c r="AR111" s="182" t="s">
        <v>50</v>
      </c>
      <c r="AS111" s="182" t="s">
        <v>51</v>
      </c>
      <c r="AT111" s="182" t="str">
        <f>AH111</f>
        <v>Um/A</v>
      </c>
      <c r="AU111" s="182" t="s">
        <v>50</v>
      </c>
      <c r="AV111" s="182" t="str">
        <f>AJ111</f>
        <v>PmO</v>
      </c>
      <c r="AW111" s="182" t="s">
        <v>54</v>
      </c>
      <c r="AX111" s="1413"/>
      <c r="AZ111" s="1410"/>
      <c r="BA111" s="182" t="s">
        <v>65</v>
      </c>
      <c r="BB111" s="182" t="s">
        <v>48</v>
      </c>
      <c r="BC111" s="182" t="s">
        <v>64</v>
      </c>
      <c r="BD111" s="182" t="s">
        <v>50</v>
      </c>
      <c r="BE111" s="182" t="s">
        <v>51</v>
      </c>
      <c r="BF111" s="182" t="str">
        <f>AT111</f>
        <v>Um/A</v>
      </c>
      <c r="BG111" s="182" t="s">
        <v>50</v>
      </c>
      <c r="BH111" s="182" t="s">
        <v>56</v>
      </c>
      <c r="BI111" s="182" t="s">
        <v>54</v>
      </c>
      <c r="BJ111" s="1413"/>
      <c r="BL111" s="1410"/>
      <c r="BM111" s="182" t="s">
        <v>66</v>
      </c>
      <c r="BN111" s="182" t="s">
        <v>48</v>
      </c>
      <c r="BO111" s="182" t="str">
        <f>BC111</f>
        <v>Achalandage annuelle</v>
      </c>
      <c r="BP111" s="182" t="s">
        <v>50</v>
      </c>
      <c r="BQ111" s="182" t="s">
        <v>51</v>
      </c>
      <c r="BR111" s="182" t="str">
        <f>BF111</f>
        <v>Um/A</v>
      </c>
      <c r="BS111" s="182" t="s">
        <v>50</v>
      </c>
      <c r="BT111" s="182" t="s">
        <v>58</v>
      </c>
      <c r="BU111" s="182" t="s">
        <v>54</v>
      </c>
      <c r="BV111" s="1413"/>
    </row>
    <row r="112" spans="1:84" ht="19" x14ac:dyDescent="0.25">
      <c r="B112" s="1406"/>
      <c r="C112" s="1408"/>
      <c r="D112" s="1410"/>
      <c r="E112" s="183" t="s">
        <v>1</v>
      </c>
      <c r="F112" s="184"/>
      <c r="G112" s="183"/>
      <c r="H112" s="184"/>
      <c r="I112" s="184"/>
      <c r="J112" s="184"/>
      <c r="K112" s="184"/>
      <c r="L112" s="184"/>
      <c r="M112" s="184"/>
      <c r="N112" s="1413"/>
      <c r="P112" s="1410"/>
      <c r="Q112" s="183" t="s">
        <v>1</v>
      </c>
      <c r="R112" s="184"/>
      <c r="S112" s="183"/>
      <c r="T112" s="184"/>
      <c r="U112" s="184"/>
      <c r="V112" s="184"/>
      <c r="W112" s="184"/>
      <c r="X112" s="184"/>
      <c r="Y112" s="184"/>
      <c r="Z112" s="1413"/>
      <c r="AB112" s="1410"/>
      <c r="AC112" s="183" t="s">
        <v>1</v>
      </c>
      <c r="AD112" s="184"/>
      <c r="AE112" s="183"/>
      <c r="AF112" s="184"/>
      <c r="AG112" s="184"/>
      <c r="AH112" s="184"/>
      <c r="AI112" s="184"/>
      <c r="AJ112" s="184"/>
      <c r="AK112" s="184"/>
      <c r="AL112" s="1413"/>
      <c r="AN112" s="1410"/>
      <c r="AO112" s="183" t="s">
        <v>1</v>
      </c>
      <c r="AP112" s="184"/>
      <c r="AQ112" s="183"/>
      <c r="AR112" s="184"/>
      <c r="AS112" s="184"/>
      <c r="AT112" s="184"/>
      <c r="AU112" s="184"/>
      <c r="AV112" s="184"/>
      <c r="AW112" s="184"/>
      <c r="AX112" s="1413"/>
      <c r="AZ112" s="1410"/>
      <c r="BA112" s="183" t="s">
        <v>1</v>
      </c>
      <c r="BB112" s="184"/>
      <c r="BC112" s="183"/>
      <c r="BD112" s="184"/>
      <c r="BE112" s="184"/>
      <c r="BF112" s="184"/>
      <c r="BG112" s="184"/>
      <c r="BH112" s="184"/>
      <c r="BI112" s="184"/>
      <c r="BJ112" s="1413"/>
      <c r="BL112" s="1410"/>
      <c r="BM112" s="183" t="s">
        <v>1</v>
      </c>
      <c r="BN112" s="184"/>
      <c r="BO112" s="183"/>
      <c r="BP112" s="184"/>
      <c r="BQ112" s="184"/>
      <c r="BR112" s="184"/>
      <c r="BS112" s="184"/>
      <c r="BT112" s="184"/>
      <c r="BU112" s="184"/>
      <c r="BV112" s="1413"/>
    </row>
    <row r="113" spans="2:74" ht="26" x14ac:dyDescent="0.3">
      <c r="B113" s="1406"/>
      <c r="C113" s="1408"/>
      <c r="D113" s="1410"/>
      <c r="E113" s="185" t="str">
        <f>E97</f>
        <v>D</v>
      </c>
      <c r="F113" s="186"/>
      <c r="G113" s="185" t="str">
        <f>G97</f>
        <v>A</v>
      </c>
      <c r="H113" s="186"/>
      <c r="I113" s="186"/>
      <c r="J113" s="185" t="str">
        <f>J111</f>
        <v>Um/A</v>
      </c>
      <c r="K113" s="186"/>
      <c r="L113" s="185" t="str">
        <f>L111</f>
        <v>PmO</v>
      </c>
      <c r="M113" s="186"/>
      <c r="N113" s="1413"/>
      <c r="P113" s="1410"/>
      <c r="Q113" s="185" t="str">
        <f>E113</f>
        <v>D</v>
      </c>
      <c r="R113" s="186"/>
      <c r="S113" s="185" t="str">
        <f>G113</f>
        <v>A</v>
      </c>
      <c r="T113" s="186"/>
      <c r="U113" s="186"/>
      <c r="V113" s="185" t="str">
        <f>V111</f>
        <v>Um/A</v>
      </c>
      <c r="W113" s="186"/>
      <c r="X113" s="185" t="str">
        <f>X111</f>
        <v>PmO</v>
      </c>
      <c r="Y113" s="186"/>
      <c r="Z113" s="1413"/>
      <c r="AB113" s="1410"/>
      <c r="AC113" s="185" t="str">
        <f>AC97</f>
        <v>D</v>
      </c>
      <c r="AD113" s="186"/>
      <c r="AE113" s="185" t="str">
        <f>S113</f>
        <v>A</v>
      </c>
      <c r="AF113" s="186"/>
      <c r="AG113" s="186"/>
      <c r="AH113" s="185" t="str">
        <f>AH111</f>
        <v>Um/A</v>
      </c>
      <c r="AI113" s="186"/>
      <c r="AJ113" s="185" t="str">
        <f>AJ111</f>
        <v>PmO</v>
      </c>
      <c r="AK113" s="186"/>
      <c r="AL113" s="1413"/>
      <c r="AN113" s="1410"/>
      <c r="AO113" s="185" t="str">
        <f>AC113</f>
        <v>D</v>
      </c>
      <c r="AP113" s="186"/>
      <c r="AQ113" s="185" t="str">
        <f>AE113</f>
        <v>A</v>
      </c>
      <c r="AR113" s="186"/>
      <c r="AS113" s="186"/>
      <c r="AT113" s="185" t="str">
        <f>AT111</f>
        <v>Um/A</v>
      </c>
      <c r="AU113" s="186"/>
      <c r="AV113" s="185" t="str">
        <f>AV111</f>
        <v>PmO</v>
      </c>
      <c r="AW113" s="186"/>
      <c r="AX113" s="1413"/>
      <c r="AZ113" s="1410"/>
      <c r="BA113" s="185" t="s">
        <v>61</v>
      </c>
      <c r="BB113" s="186"/>
      <c r="BC113" s="185" t="s">
        <v>60</v>
      </c>
      <c r="BD113" s="186"/>
      <c r="BE113" s="186"/>
      <c r="BF113" s="185" t="str">
        <f>BF111</f>
        <v>Um/A</v>
      </c>
      <c r="BG113" s="186"/>
      <c r="BH113" s="185" t="str">
        <f>+BH111</f>
        <v>CmO</v>
      </c>
      <c r="BI113" s="186"/>
      <c r="BJ113" s="1413"/>
      <c r="BL113" s="1410"/>
      <c r="BM113" s="185" t="s">
        <v>62</v>
      </c>
      <c r="BN113" s="186"/>
      <c r="BO113" s="185" t="str">
        <f>BC113</f>
        <v>A</v>
      </c>
      <c r="BP113" s="186"/>
      <c r="BQ113" s="186"/>
      <c r="BR113" s="185" t="str">
        <f>BR111</f>
        <v>Um/A</v>
      </c>
      <c r="BS113" s="186"/>
      <c r="BT113" s="185" t="str">
        <f>+BT111</f>
        <v>BmO</v>
      </c>
      <c r="BU113" s="186"/>
      <c r="BV113" s="1413"/>
    </row>
    <row r="114" spans="2:74" ht="21" x14ac:dyDescent="0.25">
      <c r="B114" s="1406"/>
      <c r="C114" s="1408"/>
      <c r="D114" s="1410"/>
      <c r="E114" s="147">
        <f>+Q114+AC114+AO114</f>
        <v>1028409.155</v>
      </c>
      <c r="F114" s="182" t="s">
        <v>48</v>
      </c>
      <c r="G114" s="148">
        <f>+G10+G18+G26+G34+G42+G50+G58+G66+G74+G82+G90+G98+G106</f>
        <v>54651</v>
      </c>
      <c r="H114" s="182" t="s">
        <v>50</v>
      </c>
      <c r="I114" s="182" t="s">
        <v>51</v>
      </c>
      <c r="J114" s="149">
        <f>+V114+AH114+AT114</f>
        <v>2.2692307692307692</v>
      </c>
      <c r="K114" s="182" t="s">
        <v>50</v>
      </c>
      <c r="L114" s="151">
        <f>E114/G114/J114</f>
        <v>8.2925702136422537</v>
      </c>
      <c r="M114" s="182" t="s">
        <v>54</v>
      </c>
      <c r="N114" s="1413"/>
      <c r="P114" s="1410"/>
      <c r="Q114" s="187">
        <f>+Q10+Q18+Q26+Q34+Q42+Q50+Q58+Q66+Q74+Q82+Q90+Q98+Q106</f>
        <v>290710.39833333337</v>
      </c>
      <c r="R114" s="182" t="s">
        <v>48</v>
      </c>
      <c r="S114" s="148">
        <f>+S10+S18+S26+S34+S42+S50+S58+S66+S74+S82+S90+S98+S106</f>
        <v>54651</v>
      </c>
      <c r="T114" s="182" t="s">
        <v>50</v>
      </c>
      <c r="U114" s="182" t="s">
        <v>51</v>
      </c>
      <c r="V114" s="149">
        <f>+(V10+V18+V26+V34+V42+V50+V58+V66+V74+V82+V90+V98+V106)/13</f>
        <v>1.0846153846153845</v>
      </c>
      <c r="W114" s="182" t="s">
        <v>50</v>
      </c>
      <c r="X114" s="151">
        <f>Q114/S114/V114</f>
        <v>4.9044091363668372</v>
      </c>
      <c r="Y114" s="182" t="s">
        <v>54</v>
      </c>
      <c r="Z114" s="1413"/>
      <c r="AB114" s="1410"/>
      <c r="AC114" s="187">
        <f>+AC10+AC18+AC26+AC34+AC42+AC50+AC58+AC66+AC74+AC82+AC90+AC98+AC106</f>
        <v>575385.28666666674</v>
      </c>
      <c r="AD114" s="182" t="s">
        <v>48</v>
      </c>
      <c r="AE114" s="148">
        <f>+AE10+AE18+AE26+AE34+AE42+AE50+AE58+AE66+AE74+AE82+AE90+AE98+AE106</f>
        <v>54651</v>
      </c>
      <c r="AF114" s="182" t="s">
        <v>50</v>
      </c>
      <c r="AG114" s="182" t="s">
        <v>51</v>
      </c>
      <c r="AH114" s="149">
        <f>+(AH10+AH18+AH26+AH34+AH42+AH50+AH58+AH66+AH74+AH82+AH90+AH98+AH106)/13</f>
        <v>1.0846153846153845</v>
      </c>
      <c r="AI114" s="182" t="s">
        <v>50</v>
      </c>
      <c r="AJ114" s="151">
        <f>AC114/AE114/AH114</f>
        <v>9.7069966297641201</v>
      </c>
      <c r="AK114" s="182" t="s">
        <v>54</v>
      </c>
      <c r="AL114" s="1413"/>
      <c r="AN114" s="1410"/>
      <c r="AO114" s="187">
        <f>+AO10+AO18+AO26+AO34+AO42+AO50+AO58+AO66+AO74+AO82+AO90+AO98+AO106</f>
        <v>162313.47000000003</v>
      </c>
      <c r="AP114" s="182" t="s">
        <v>48</v>
      </c>
      <c r="AQ114" s="148">
        <f>+AQ10+AQ18+AQ26+AQ34+AQ42+AQ50+AQ58+AQ66+AQ74+AQ82+AQ90+AQ98+AQ106</f>
        <v>54651</v>
      </c>
      <c r="AR114" s="182" t="s">
        <v>50</v>
      </c>
      <c r="AS114" s="182" t="s">
        <v>51</v>
      </c>
      <c r="AT114" s="149">
        <f>+(AT10+AT18+AT26+AT34+AT42+AT50+AT58+AT66+AT74+AT82+AT90+AT98+AT106)/13</f>
        <v>0.1</v>
      </c>
      <c r="AU114" s="182" t="s">
        <v>50</v>
      </c>
      <c r="AV114" s="147">
        <f>AO114/AQ114/AT114</f>
        <v>29.700000000000006</v>
      </c>
      <c r="AW114" s="182" t="s">
        <v>54</v>
      </c>
      <c r="AX114" s="1413"/>
      <c r="AZ114" s="1410"/>
      <c r="BA114" s="187">
        <f>+BA10+BA18+BA26+BA34+BA42+BA50+BA58+BA66+BA74+BA82+BA90+BA98+BA106</f>
        <v>974274.53405683022</v>
      </c>
      <c r="BB114" s="182" t="s">
        <v>48</v>
      </c>
      <c r="BC114" s="148">
        <f>G114</f>
        <v>54651</v>
      </c>
      <c r="BD114" s="182" t="s">
        <v>50</v>
      </c>
      <c r="BE114" s="182" t="s">
        <v>51</v>
      </c>
      <c r="BF114" s="149">
        <f>J114</f>
        <v>2.2692307692307692</v>
      </c>
      <c r="BG114" s="182" t="s">
        <v>50</v>
      </c>
      <c r="BH114" s="147">
        <f>BA114/BC114/BF114</f>
        <v>7.8560560665466408</v>
      </c>
      <c r="BI114" s="182" t="s">
        <v>54</v>
      </c>
      <c r="BJ114" s="1413"/>
      <c r="BL114" s="1410"/>
      <c r="BM114" s="187">
        <f>+BM10+BM18+BM26+BM34+BM42+BM50+BM58+BM66+BM74+BM82+BM90+BM98+BM106</f>
        <v>54134.620943169961</v>
      </c>
      <c r="BN114" s="182" t="s">
        <v>48</v>
      </c>
      <c r="BO114" s="148">
        <f>S114</f>
        <v>54651</v>
      </c>
      <c r="BP114" s="182" t="s">
        <v>50</v>
      </c>
      <c r="BQ114" s="182" t="s">
        <v>51</v>
      </c>
      <c r="BR114" s="149">
        <f>J114</f>
        <v>2.2692307692307692</v>
      </c>
      <c r="BS114" s="182" t="s">
        <v>50</v>
      </c>
      <c r="BT114" s="147">
        <f>BM114/BO114/BR114</f>
        <v>0.4365141470956132</v>
      </c>
      <c r="BU114" s="182" t="s">
        <v>54</v>
      </c>
      <c r="BV114" s="1413"/>
    </row>
    <row r="115" spans="2:74" ht="16" x14ac:dyDescent="0.2">
      <c r="B115" s="1406"/>
      <c r="C115" s="1408"/>
      <c r="D115" s="1411"/>
      <c r="E115" s="188"/>
      <c r="F115" s="188"/>
      <c r="G115" s="188"/>
      <c r="H115" s="188"/>
      <c r="I115" s="188"/>
      <c r="J115" s="188"/>
      <c r="K115" s="188"/>
      <c r="L115" s="188"/>
      <c r="M115" s="188"/>
      <c r="N115" s="1414"/>
      <c r="P115" s="1411"/>
      <c r="Q115" s="188"/>
      <c r="R115" s="188"/>
      <c r="S115" s="188"/>
      <c r="T115" s="188"/>
      <c r="U115" s="188"/>
      <c r="V115" s="188"/>
      <c r="W115" s="188"/>
      <c r="X115" s="188"/>
      <c r="Y115" s="188"/>
      <c r="Z115" s="1414"/>
      <c r="AB115" s="1411"/>
      <c r="AC115" s="188"/>
      <c r="AD115" s="188"/>
      <c r="AE115" s="188"/>
      <c r="AF115" s="188"/>
      <c r="AG115" s="188"/>
      <c r="AH115" s="188"/>
      <c r="AI115" s="188"/>
      <c r="AJ115" s="188"/>
      <c r="AK115" s="188"/>
      <c r="AL115" s="1414"/>
      <c r="AN115" s="1411"/>
      <c r="AO115" s="188"/>
      <c r="AP115" s="188"/>
      <c r="AQ115" s="188"/>
      <c r="AR115" s="188"/>
      <c r="AS115" s="188"/>
      <c r="AT115" s="188"/>
      <c r="AU115" s="188"/>
      <c r="AV115" s="188"/>
      <c r="AW115" s="188"/>
      <c r="AX115" s="1414"/>
      <c r="AZ115" s="1411"/>
      <c r="BA115" s="188"/>
      <c r="BB115" s="188"/>
      <c r="BC115" s="188"/>
      <c r="BD115" s="188"/>
      <c r="BE115" s="188"/>
      <c r="BF115" s="188"/>
      <c r="BG115" s="188"/>
      <c r="BH115" s="188"/>
      <c r="BI115" s="188"/>
      <c r="BJ115" s="1414"/>
      <c r="BL115" s="1411"/>
      <c r="BM115" s="188"/>
      <c r="BN115" s="188"/>
      <c r="BO115" s="188"/>
      <c r="BP115" s="188"/>
      <c r="BQ115" s="188"/>
      <c r="BR115" s="188"/>
      <c r="BS115" s="188"/>
      <c r="BT115" s="188"/>
      <c r="BU115" s="188"/>
      <c r="BV115" s="1414"/>
    </row>
    <row r="116" spans="2:74" ht="5" customHeight="1" thickTop="1" thickBot="1" x14ac:dyDescent="0.2">
      <c r="B116" s="1406"/>
      <c r="C116" s="139"/>
    </row>
    <row r="117" spans="2:74" ht="17" thickTop="1" x14ac:dyDescent="0.2">
      <c r="B117" s="1406"/>
      <c r="C117" s="1408" t="s">
        <v>63</v>
      </c>
      <c r="D117" s="1409" t="s">
        <v>45</v>
      </c>
      <c r="E117" s="180"/>
      <c r="F117" s="180"/>
      <c r="G117" s="205" t="s">
        <v>36</v>
      </c>
      <c r="H117" s="180"/>
      <c r="I117" s="180"/>
      <c r="J117" s="180"/>
      <c r="K117" s="180"/>
      <c r="L117" s="180"/>
      <c r="M117" s="180"/>
      <c r="N117" s="1412" t="s">
        <v>46</v>
      </c>
      <c r="P117" s="1409" t="s">
        <v>45</v>
      </c>
      <c r="Q117" s="180"/>
      <c r="R117" s="180"/>
      <c r="S117" s="205" t="s">
        <v>36</v>
      </c>
      <c r="T117" s="180"/>
      <c r="U117" s="180"/>
      <c r="V117" s="180"/>
      <c r="W117" s="180"/>
      <c r="X117" s="180"/>
      <c r="Y117" s="180"/>
      <c r="Z117" s="1412" t="s">
        <v>46</v>
      </c>
      <c r="AB117" s="1409" t="s">
        <v>45</v>
      </c>
      <c r="AC117" s="180"/>
      <c r="AD117" s="180"/>
      <c r="AE117" s="205" t="s">
        <v>36</v>
      </c>
      <c r="AF117" s="180"/>
      <c r="AG117" s="180"/>
      <c r="AH117" s="180"/>
      <c r="AI117" s="180"/>
      <c r="AJ117" s="180"/>
      <c r="AK117" s="180"/>
      <c r="AL117" s="1412" t="s">
        <v>46</v>
      </c>
      <c r="AN117" s="1409" t="s">
        <v>45</v>
      </c>
      <c r="AO117" s="180"/>
      <c r="AP117" s="180"/>
      <c r="AQ117" s="205" t="s">
        <v>36</v>
      </c>
      <c r="AR117" s="180"/>
      <c r="AS117" s="180"/>
      <c r="AT117" s="180"/>
      <c r="AU117" s="180"/>
      <c r="AV117" s="180"/>
      <c r="AW117" s="180"/>
      <c r="AX117" s="1412" t="s">
        <v>46</v>
      </c>
      <c r="AZ117" s="1409" t="s">
        <v>45</v>
      </c>
      <c r="BA117" s="180"/>
      <c r="BB117" s="180"/>
      <c r="BC117" s="205" t="s">
        <v>36</v>
      </c>
      <c r="BD117" s="180"/>
      <c r="BE117" s="180"/>
      <c r="BF117" s="180"/>
      <c r="BG117" s="180"/>
      <c r="BH117" s="180"/>
      <c r="BI117" s="180"/>
      <c r="BJ117" s="1412" t="s">
        <v>46</v>
      </c>
      <c r="BL117" s="1409" t="s">
        <v>45</v>
      </c>
      <c r="BM117" s="180"/>
      <c r="BN117" s="180"/>
      <c r="BO117" s="205" t="s">
        <v>36</v>
      </c>
      <c r="BP117" s="180"/>
      <c r="BQ117" s="180"/>
      <c r="BR117" s="180"/>
      <c r="BS117" s="180"/>
      <c r="BT117" s="180"/>
      <c r="BU117" s="180"/>
      <c r="BV117" s="1412" t="s">
        <v>46</v>
      </c>
    </row>
    <row r="118" spans="2:74" ht="16" x14ac:dyDescent="0.2">
      <c r="B118" s="1406"/>
      <c r="C118" s="1408"/>
      <c r="D118" s="1410"/>
      <c r="E118" s="181"/>
      <c r="F118" s="181"/>
      <c r="G118" s="181"/>
      <c r="H118" s="181"/>
      <c r="I118" s="181"/>
      <c r="J118" s="181"/>
      <c r="K118" s="181"/>
      <c r="L118" s="181"/>
      <c r="M118" s="181"/>
      <c r="N118" s="1413"/>
      <c r="P118" s="1410"/>
      <c r="Q118" s="181"/>
      <c r="R118" s="181"/>
      <c r="S118" s="181"/>
      <c r="T118" s="181"/>
      <c r="U118" s="181"/>
      <c r="V118" s="181"/>
      <c r="W118" s="181"/>
      <c r="X118" s="181"/>
      <c r="Y118" s="181"/>
      <c r="Z118" s="1413"/>
      <c r="AB118" s="1410"/>
      <c r="AC118" s="181"/>
      <c r="AD118" s="181"/>
      <c r="AE118" s="181"/>
      <c r="AF118" s="181"/>
      <c r="AG118" s="181"/>
      <c r="AH118" s="181"/>
      <c r="AI118" s="181"/>
      <c r="AJ118" s="181"/>
      <c r="AK118" s="181"/>
      <c r="AL118" s="1413"/>
      <c r="AN118" s="1410"/>
      <c r="AO118" s="181"/>
      <c r="AP118" s="181"/>
      <c r="AQ118" s="181"/>
      <c r="AR118" s="181"/>
      <c r="AS118" s="181"/>
      <c r="AT118" s="181"/>
      <c r="AU118" s="181"/>
      <c r="AV118" s="181"/>
      <c r="AW118" s="181"/>
      <c r="AX118" s="1413"/>
      <c r="AZ118" s="1410"/>
      <c r="BA118" s="181"/>
      <c r="BB118" s="181"/>
      <c r="BC118" s="181"/>
      <c r="BD118" s="181"/>
      <c r="BE118" s="181"/>
      <c r="BF118" s="181"/>
      <c r="BG118" s="181"/>
      <c r="BH118" s="181"/>
      <c r="BI118" s="181"/>
      <c r="BJ118" s="1413"/>
      <c r="BL118" s="1410"/>
      <c r="BM118" s="181"/>
      <c r="BN118" s="181"/>
      <c r="BO118" s="181"/>
      <c r="BP118" s="181"/>
      <c r="BQ118" s="181"/>
      <c r="BR118" s="181"/>
      <c r="BS118" s="181"/>
      <c r="BT118" s="181"/>
      <c r="BU118" s="181"/>
      <c r="BV118" s="1413"/>
    </row>
    <row r="119" spans="2:74" ht="21" x14ac:dyDescent="0.25">
      <c r="B119" s="1406"/>
      <c r="C119" s="1408"/>
      <c r="D119" s="1410"/>
      <c r="E119" s="182" t="str">
        <f>E111</f>
        <v>Demande mensuelle</v>
      </c>
      <c r="F119" s="182" t="s">
        <v>48</v>
      </c>
      <c r="G119" s="182" t="str">
        <f>G111</f>
        <v>Achalandage annuelle</v>
      </c>
      <c r="H119" s="182" t="s">
        <v>50</v>
      </c>
      <c r="I119" s="182" t="s">
        <v>51</v>
      </c>
      <c r="J119" s="1423" t="s">
        <v>67</v>
      </c>
      <c r="K119" s="1416"/>
      <c r="L119" s="1416"/>
      <c r="M119" s="182" t="s">
        <v>54</v>
      </c>
      <c r="N119" s="1413"/>
      <c r="P119" s="1410"/>
      <c r="Q119" s="182" t="str">
        <f>Q111</f>
        <v>Demande mensuelle</v>
      </c>
      <c r="R119" s="182" t="s">
        <v>48</v>
      </c>
      <c r="S119" s="182" t="str">
        <f>S111</f>
        <v>Achalandage annuelle</v>
      </c>
      <c r="T119" s="182" t="s">
        <v>50</v>
      </c>
      <c r="U119" s="182" t="s">
        <v>51</v>
      </c>
      <c r="V119" s="1423" t="str">
        <f>J119</f>
        <v>Dm/A</v>
      </c>
      <c r="W119" s="1416"/>
      <c r="X119" s="1416"/>
      <c r="Y119" s="182" t="s">
        <v>54</v>
      </c>
      <c r="Z119" s="1413"/>
      <c r="AB119" s="1410"/>
      <c r="AC119" s="182" t="str">
        <f>AC111</f>
        <v>Demande mensuelle</v>
      </c>
      <c r="AD119" s="182" t="s">
        <v>48</v>
      </c>
      <c r="AE119" s="182" t="str">
        <f>AE111</f>
        <v>Achalandage annuelle</v>
      </c>
      <c r="AF119" s="182" t="s">
        <v>50</v>
      </c>
      <c r="AG119" s="182" t="s">
        <v>51</v>
      </c>
      <c r="AH119" s="1423" t="str">
        <f>V119</f>
        <v>Dm/A</v>
      </c>
      <c r="AI119" s="1416"/>
      <c r="AJ119" s="1416"/>
      <c r="AK119" s="182" t="s">
        <v>54</v>
      </c>
      <c r="AL119" s="1413"/>
      <c r="AN119" s="1410"/>
      <c r="AO119" s="182" t="str">
        <f>AO111</f>
        <v>Demande mensuelle</v>
      </c>
      <c r="AP119" s="182" t="s">
        <v>48</v>
      </c>
      <c r="AQ119" s="182" t="str">
        <f>AQ111</f>
        <v>Achalandage annuelle</v>
      </c>
      <c r="AR119" s="182" t="s">
        <v>50</v>
      </c>
      <c r="AS119" s="182" t="s">
        <v>51</v>
      </c>
      <c r="AT119" s="1423" t="str">
        <f>AH119</f>
        <v>Dm/A</v>
      </c>
      <c r="AU119" s="1416"/>
      <c r="AV119" s="1416"/>
      <c r="AW119" s="182" t="s">
        <v>54</v>
      </c>
      <c r="AX119" s="1413"/>
      <c r="AZ119" s="1410"/>
      <c r="BA119" s="182" t="str">
        <f>BA111</f>
        <v>Coût annuel</v>
      </c>
      <c r="BB119" s="182" t="s">
        <v>48</v>
      </c>
      <c r="BC119" s="182" t="str">
        <f>BC111</f>
        <v>Achalandage annuelle</v>
      </c>
      <c r="BD119" s="182" t="s">
        <v>50</v>
      </c>
      <c r="BE119" s="182" t="s">
        <v>51</v>
      </c>
      <c r="BF119" s="1423" t="s">
        <v>68</v>
      </c>
      <c r="BG119" s="1416"/>
      <c r="BH119" s="1416"/>
      <c r="BI119" s="182" t="s">
        <v>54</v>
      </c>
      <c r="BJ119" s="1413"/>
      <c r="BL119" s="1410"/>
      <c r="BM119" s="182" t="str">
        <f>BM111</f>
        <v>Bénéfice annuel</v>
      </c>
      <c r="BN119" s="182" t="s">
        <v>48</v>
      </c>
      <c r="BO119" s="182" t="str">
        <f>BO111</f>
        <v>Achalandage annuelle</v>
      </c>
      <c r="BP119" s="182" t="s">
        <v>50</v>
      </c>
      <c r="BQ119" s="182" t="s">
        <v>51</v>
      </c>
      <c r="BR119" s="1423" t="s">
        <v>69</v>
      </c>
      <c r="BS119" s="1416"/>
      <c r="BT119" s="1416"/>
      <c r="BU119" s="182" t="s">
        <v>54</v>
      </c>
      <c r="BV119" s="1413"/>
    </row>
    <row r="120" spans="2:74" ht="19" x14ac:dyDescent="0.25">
      <c r="B120" s="1406"/>
      <c r="C120" s="1408"/>
      <c r="D120" s="1410"/>
      <c r="E120" s="183" t="s">
        <v>1</v>
      </c>
      <c r="F120" s="184"/>
      <c r="G120" s="183"/>
      <c r="H120" s="184"/>
      <c r="I120" s="184"/>
      <c r="J120" s="184"/>
      <c r="K120" s="184"/>
      <c r="L120" s="184"/>
      <c r="M120" s="184"/>
      <c r="N120" s="1413"/>
      <c r="P120" s="1410"/>
      <c r="Q120" s="183" t="s">
        <v>1</v>
      </c>
      <c r="R120" s="184"/>
      <c r="S120" s="183"/>
      <c r="T120" s="184"/>
      <c r="U120" s="184"/>
      <c r="V120" s="184"/>
      <c r="W120" s="184"/>
      <c r="X120" s="184"/>
      <c r="Y120" s="184"/>
      <c r="Z120" s="1413"/>
      <c r="AB120" s="1410"/>
      <c r="AC120" s="183" t="s">
        <v>1</v>
      </c>
      <c r="AD120" s="184"/>
      <c r="AE120" s="183"/>
      <c r="AF120" s="184"/>
      <c r="AG120" s="184"/>
      <c r="AH120" s="184"/>
      <c r="AI120" s="184"/>
      <c r="AJ120" s="184"/>
      <c r="AK120" s="184"/>
      <c r="AL120" s="1413"/>
      <c r="AN120" s="1410"/>
      <c r="AO120" s="183" t="s">
        <v>1</v>
      </c>
      <c r="AP120" s="184"/>
      <c r="AQ120" s="183"/>
      <c r="AR120" s="184"/>
      <c r="AS120" s="184"/>
      <c r="AT120" s="184"/>
      <c r="AU120" s="184"/>
      <c r="AV120" s="184"/>
      <c r="AW120" s="184"/>
      <c r="AX120" s="1413"/>
      <c r="AZ120" s="1410"/>
      <c r="BA120" s="183" t="s">
        <v>1</v>
      </c>
      <c r="BB120" s="184"/>
      <c r="BC120" s="183"/>
      <c r="BD120" s="184"/>
      <c r="BE120" s="184"/>
      <c r="BF120" s="184"/>
      <c r="BG120" s="184"/>
      <c r="BH120" s="184"/>
      <c r="BI120" s="184"/>
      <c r="BJ120" s="1413"/>
      <c r="BL120" s="1410"/>
      <c r="BM120" s="183" t="s">
        <v>1</v>
      </c>
      <c r="BN120" s="184"/>
      <c r="BO120" s="183"/>
      <c r="BP120" s="184"/>
      <c r="BQ120" s="184"/>
      <c r="BR120" s="184"/>
      <c r="BS120" s="184"/>
      <c r="BT120" s="184"/>
      <c r="BU120" s="184"/>
      <c r="BV120" s="1413"/>
    </row>
    <row r="121" spans="2:74" ht="26" x14ac:dyDescent="0.3">
      <c r="B121" s="1406"/>
      <c r="C121" s="1408"/>
      <c r="D121" s="1410"/>
      <c r="E121" s="185" t="str">
        <f>E113</f>
        <v>D</v>
      </c>
      <c r="F121" s="186"/>
      <c r="G121" s="185" t="str">
        <f>G113</f>
        <v>A</v>
      </c>
      <c r="H121" s="186"/>
      <c r="I121" s="186"/>
      <c r="J121" s="1415" t="str">
        <f>J119</f>
        <v>Dm/A</v>
      </c>
      <c r="K121" s="1416"/>
      <c r="L121" s="1416"/>
      <c r="M121" s="186"/>
      <c r="N121" s="1413"/>
      <c r="P121" s="1410"/>
      <c r="Q121" s="185" t="str">
        <f>E121</f>
        <v>D</v>
      </c>
      <c r="R121" s="186"/>
      <c r="S121" s="185" t="str">
        <f>G121</f>
        <v>A</v>
      </c>
      <c r="T121" s="186"/>
      <c r="U121" s="186"/>
      <c r="V121" s="1415" t="str">
        <f>V119</f>
        <v>Dm/A</v>
      </c>
      <c r="W121" s="1416"/>
      <c r="X121" s="1416"/>
      <c r="Y121" s="186"/>
      <c r="Z121" s="1413"/>
      <c r="AB121" s="1410"/>
      <c r="AC121" s="185" t="str">
        <f>AC113</f>
        <v>D</v>
      </c>
      <c r="AD121" s="186"/>
      <c r="AE121" s="185" t="str">
        <f>AE113</f>
        <v>A</v>
      </c>
      <c r="AF121" s="186"/>
      <c r="AG121" s="186"/>
      <c r="AH121" s="1415" t="str">
        <f>AH119</f>
        <v>Dm/A</v>
      </c>
      <c r="AI121" s="1416"/>
      <c r="AJ121" s="1416"/>
      <c r="AK121" s="186"/>
      <c r="AL121" s="1413"/>
      <c r="AN121" s="1410"/>
      <c r="AO121" s="185" t="str">
        <f>AO113</f>
        <v>D</v>
      </c>
      <c r="AP121" s="186"/>
      <c r="AQ121" s="185" t="str">
        <f>AQ113</f>
        <v>A</v>
      </c>
      <c r="AR121" s="186"/>
      <c r="AS121" s="186"/>
      <c r="AT121" s="1415" t="str">
        <f>AT119</f>
        <v>Dm/A</v>
      </c>
      <c r="AU121" s="1416"/>
      <c r="AV121" s="1416"/>
      <c r="AW121" s="186"/>
      <c r="AX121" s="1413"/>
      <c r="AZ121" s="1410"/>
      <c r="BA121" s="185" t="str">
        <f>BA113</f>
        <v xml:space="preserve">C </v>
      </c>
      <c r="BB121" s="186"/>
      <c r="BC121" s="185" t="s">
        <v>60</v>
      </c>
      <c r="BD121" s="186"/>
      <c r="BE121" s="186"/>
      <c r="BF121" s="1415" t="str">
        <f>+BF119</f>
        <v>Cm/A</v>
      </c>
      <c r="BG121" s="1416"/>
      <c r="BH121" s="1416"/>
      <c r="BI121" s="186"/>
      <c r="BJ121" s="1413"/>
      <c r="BL121" s="1410"/>
      <c r="BM121" s="185" t="str">
        <f>BM113</f>
        <v xml:space="preserve">B </v>
      </c>
      <c r="BN121" s="186"/>
      <c r="BO121" s="185" t="str">
        <f>BO113</f>
        <v>A</v>
      </c>
      <c r="BP121" s="186"/>
      <c r="BQ121" s="186"/>
      <c r="BR121" s="1415" t="str">
        <f>+BR119</f>
        <v>Bm/A</v>
      </c>
      <c r="BS121" s="1416"/>
      <c r="BT121" s="1416"/>
      <c r="BU121" s="186"/>
      <c r="BV121" s="1413"/>
    </row>
    <row r="122" spans="2:74" ht="21" x14ac:dyDescent="0.25">
      <c r="B122" s="1406"/>
      <c r="C122" s="1408"/>
      <c r="D122" s="1410"/>
      <c r="E122" s="147">
        <f>+Q122+AC122+AO122</f>
        <v>1028409.155</v>
      </c>
      <c r="F122" s="182" t="s">
        <v>48</v>
      </c>
      <c r="G122" s="148">
        <f>'% Occupation'!Q19</f>
        <v>54651</v>
      </c>
      <c r="H122" s="182" t="s">
        <v>50</v>
      </c>
      <c r="I122" s="182" t="s">
        <v>51</v>
      </c>
      <c r="J122" s="1417">
        <f>+E122/G122</f>
        <v>18.817755484803573</v>
      </c>
      <c r="K122" s="1418"/>
      <c r="L122" s="1418"/>
      <c r="M122" s="182" t="s">
        <v>54</v>
      </c>
      <c r="N122" s="1413"/>
      <c r="P122" s="1410"/>
      <c r="Q122" s="187">
        <f>+Q114</f>
        <v>290710.39833333337</v>
      </c>
      <c r="R122" s="182" t="s">
        <v>48</v>
      </c>
      <c r="S122" s="148">
        <f>+S114</f>
        <v>54651</v>
      </c>
      <c r="T122" s="182" t="s">
        <v>50</v>
      </c>
      <c r="U122" s="182" t="s">
        <v>51</v>
      </c>
      <c r="V122" s="1419">
        <f>Q122/S122</f>
        <v>5.3193976017517226</v>
      </c>
      <c r="W122" s="1420"/>
      <c r="X122" s="1420"/>
      <c r="Y122" s="182" t="s">
        <v>54</v>
      </c>
      <c r="Z122" s="1413"/>
      <c r="AB122" s="1410"/>
      <c r="AC122" s="187">
        <f>+AC114</f>
        <v>575385.28666666674</v>
      </c>
      <c r="AD122" s="182" t="s">
        <v>48</v>
      </c>
      <c r="AE122" s="148">
        <f>+AE114</f>
        <v>54651</v>
      </c>
      <c r="AF122" s="182" t="s">
        <v>50</v>
      </c>
      <c r="AG122" s="182" t="s">
        <v>51</v>
      </c>
      <c r="AH122" s="1417">
        <f>AC122/AE122</f>
        <v>10.528357883051852</v>
      </c>
      <c r="AI122" s="1418"/>
      <c r="AJ122" s="1418"/>
      <c r="AK122" s="182" t="s">
        <v>54</v>
      </c>
      <c r="AL122" s="1413"/>
      <c r="AN122" s="1410"/>
      <c r="AO122" s="187">
        <f>+AO114</f>
        <v>162313.47000000003</v>
      </c>
      <c r="AP122" s="182" t="s">
        <v>48</v>
      </c>
      <c r="AQ122" s="148">
        <f>+AQ114</f>
        <v>54651</v>
      </c>
      <c r="AR122" s="182" t="s">
        <v>50</v>
      </c>
      <c r="AS122" s="182" t="s">
        <v>51</v>
      </c>
      <c r="AT122" s="1421">
        <f>AO122/AQ122</f>
        <v>2.9700000000000006</v>
      </c>
      <c r="AU122" s="1422"/>
      <c r="AV122" s="1422"/>
      <c r="AW122" s="182" t="s">
        <v>54</v>
      </c>
      <c r="AX122" s="1413"/>
      <c r="AZ122" s="1410"/>
      <c r="BA122" s="187">
        <f>+BA114</f>
        <v>974274.53405683022</v>
      </c>
      <c r="BB122" s="182" t="s">
        <v>48</v>
      </c>
      <c r="BC122" s="148">
        <f>G122</f>
        <v>54651</v>
      </c>
      <c r="BD122" s="182" t="s">
        <v>50</v>
      </c>
      <c r="BE122" s="182" t="s">
        <v>51</v>
      </c>
      <c r="BF122" s="1421">
        <f>BA122/BC122</f>
        <v>17.827204151009685</v>
      </c>
      <c r="BG122" s="1422"/>
      <c r="BH122" s="1422"/>
      <c r="BI122" s="182" t="s">
        <v>54</v>
      </c>
      <c r="BJ122" s="1413"/>
      <c r="BL122" s="1410"/>
      <c r="BM122" s="187">
        <f>+BM114</f>
        <v>54134.620943169961</v>
      </c>
      <c r="BN122" s="182" t="s">
        <v>48</v>
      </c>
      <c r="BO122" s="148">
        <f>S122</f>
        <v>54651</v>
      </c>
      <c r="BP122" s="182" t="s">
        <v>50</v>
      </c>
      <c r="BQ122" s="182" t="s">
        <v>51</v>
      </c>
      <c r="BR122" s="1421">
        <f>BM122/BO122</f>
        <v>0.99055133379389149</v>
      </c>
      <c r="BS122" s="1422"/>
      <c r="BT122" s="1422"/>
      <c r="BU122" s="182" t="s">
        <v>54</v>
      </c>
      <c r="BV122" s="1413"/>
    </row>
    <row r="123" spans="2:74" ht="17" thickBot="1" x14ac:dyDescent="0.25">
      <c r="B123" s="1407"/>
      <c r="C123" s="1408"/>
      <c r="D123" s="1411"/>
      <c r="E123" s="188"/>
      <c r="F123" s="188"/>
      <c r="G123" s="188"/>
      <c r="H123" s="188"/>
      <c r="I123" s="188"/>
      <c r="J123" s="188"/>
      <c r="K123" s="188"/>
      <c r="L123" s="188"/>
      <c r="M123" s="188"/>
      <c r="N123" s="1414"/>
      <c r="P123" s="1411"/>
      <c r="Q123" s="188"/>
      <c r="R123" s="188"/>
      <c r="S123" s="188"/>
      <c r="T123" s="188"/>
      <c r="U123" s="188"/>
      <c r="V123" s="188"/>
      <c r="W123" s="188"/>
      <c r="X123" s="188"/>
      <c r="Y123" s="188"/>
      <c r="Z123" s="1414"/>
      <c r="AB123" s="1411"/>
      <c r="AC123" s="188"/>
      <c r="AD123" s="188"/>
      <c r="AE123" s="188"/>
      <c r="AF123" s="188"/>
      <c r="AG123" s="188"/>
      <c r="AH123" s="188"/>
      <c r="AI123" s="188"/>
      <c r="AJ123" s="188"/>
      <c r="AK123" s="188"/>
      <c r="AL123" s="1414"/>
      <c r="AN123" s="1411"/>
      <c r="AO123" s="188"/>
      <c r="AP123" s="188"/>
      <c r="AQ123" s="188"/>
      <c r="AR123" s="188"/>
      <c r="AS123" s="188"/>
      <c r="AT123" s="188"/>
      <c r="AU123" s="188"/>
      <c r="AV123" s="188"/>
      <c r="AW123" s="188"/>
      <c r="AX123" s="1414"/>
      <c r="AZ123" s="1411"/>
      <c r="BA123" s="188"/>
      <c r="BB123" s="188"/>
      <c r="BC123" s="188"/>
      <c r="BD123" s="188"/>
      <c r="BE123" s="188"/>
      <c r="BF123" s="188"/>
      <c r="BG123" s="188"/>
      <c r="BH123" s="188"/>
      <c r="BI123" s="188"/>
      <c r="BJ123" s="1414"/>
      <c r="BL123" s="1411"/>
      <c r="BM123" s="188"/>
      <c r="BN123" s="188"/>
      <c r="BO123" s="188"/>
      <c r="BP123" s="188"/>
      <c r="BQ123" s="188"/>
      <c r="BR123" s="188"/>
      <c r="BS123" s="188"/>
      <c r="BT123" s="188"/>
      <c r="BU123" s="188"/>
      <c r="BV123" s="1414"/>
    </row>
    <row r="124" spans="2:74" x14ac:dyDescent="0.15">
      <c r="C124" s="139"/>
    </row>
    <row r="125" spans="2:74" ht="18" x14ac:dyDescent="0.2">
      <c r="D125" s="153" t="s">
        <v>70</v>
      </c>
      <c r="E125" s="153"/>
    </row>
    <row r="126" spans="2:74" ht="18" x14ac:dyDescent="0.2">
      <c r="D126" s="153" t="s">
        <v>71</v>
      </c>
      <c r="E126" s="153"/>
    </row>
    <row r="127" spans="2:74" ht="18" x14ac:dyDescent="0.2">
      <c r="D127" s="153" t="s">
        <v>72</v>
      </c>
      <c r="E127" s="153"/>
    </row>
    <row r="128" spans="2:74" ht="18" x14ac:dyDescent="0.2">
      <c r="D128" s="153" t="s">
        <v>73</v>
      </c>
      <c r="E128" s="153"/>
    </row>
    <row r="129" spans="3:9" ht="18" x14ac:dyDescent="0.2">
      <c r="D129" s="153" t="s">
        <v>74</v>
      </c>
      <c r="E129" s="153"/>
    </row>
    <row r="130" spans="3:9" ht="18" x14ac:dyDescent="0.2">
      <c r="C130" s="153"/>
      <c r="D130" s="153"/>
    </row>
    <row r="131" spans="3:9" ht="18" x14ac:dyDescent="0.2">
      <c r="D131" s="189" t="s">
        <v>75</v>
      </c>
      <c r="E131" s="189"/>
      <c r="F131" s="190"/>
      <c r="G131" s="190"/>
      <c r="H131" s="190"/>
      <c r="I131" s="190"/>
    </row>
  </sheetData>
  <sheetProtection algorithmName="SHA-512" hashValue="u2mU6pdjurEMGDt/B2rLfMVabtbr47euFHF9UqQpKXEiQ1dEVxgS92npmf0nwH7g4z/lqFJwAjfwMvF8Gszmsg==" saltValue="a0TUSjPloKa/rRvZqmFiVA==" spinCount="100000" sheet="1" objects="1" scenarios="1"/>
  <mergeCells count="226">
    <mergeCell ref="C117:C123"/>
    <mergeCell ref="D117:D123"/>
    <mergeCell ref="N117:N123"/>
    <mergeCell ref="P117:P123"/>
    <mergeCell ref="Z117:Z123"/>
    <mergeCell ref="BR121:BT121"/>
    <mergeCell ref="J122:L122"/>
    <mergeCell ref="V122:X122"/>
    <mergeCell ref="AH122:AJ122"/>
    <mergeCell ref="AT122:AV122"/>
    <mergeCell ref="BF122:BH122"/>
    <mergeCell ref="BR122:BT122"/>
    <mergeCell ref="BL117:BL123"/>
    <mergeCell ref="J119:L119"/>
    <mergeCell ref="V119:X119"/>
    <mergeCell ref="AH119:AJ119"/>
    <mergeCell ref="AT119:AV119"/>
    <mergeCell ref="BF119:BH119"/>
    <mergeCell ref="BR119:BT119"/>
    <mergeCell ref="J121:L121"/>
    <mergeCell ref="V121:X121"/>
    <mergeCell ref="AB117:AB123"/>
    <mergeCell ref="AL117:AL123"/>
    <mergeCell ref="AN117:AN123"/>
    <mergeCell ref="Z93:Z99"/>
    <mergeCell ref="AB93:AB99"/>
    <mergeCell ref="AT121:AV121"/>
    <mergeCell ref="BF121:BH121"/>
    <mergeCell ref="AX109:AX115"/>
    <mergeCell ref="AZ109:AZ115"/>
    <mergeCell ref="BJ109:BJ115"/>
    <mergeCell ref="BL109:BL115"/>
    <mergeCell ref="BV109:BV115"/>
    <mergeCell ref="BV117:BV123"/>
    <mergeCell ref="AX117:AX123"/>
    <mergeCell ref="AZ117:AZ123"/>
    <mergeCell ref="BJ117:BJ123"/>
    <mergeCell ref="AH121:AJ121"/>
    <mergeCell ref="BV77:BV83"/>
    <mergeCell ref="AN77:AN83"/>
    <mergeCell ref="AX77:AX83"/>
    <mergeCell ref="AZ77:AZ83"/>
    <mergeCell ref="BV93:BV99"/>
    <mergeCell ref="B109:B123"/>
    <mergeCell ref="C109:C115"/>
    <mergeCell ref="D109:D115"/>
    <mergeCell ref="N109:N115"/>
    <mergeCell ref="P109:P115"/>
    <mergeCell ref="Z109:Z115"/>
    <mergeCell ref="AB109:AB115"/>
    <mergeCell ref="AL109:AL115"/>
    <mergeCell ref="AN109:AN115"/>
    <mergeCell ref="AL93:AL99"/>
    <mergeCell ref="AN93:AN99"/>
    <mergeCell ref="AX93:AX99"/>
    <mergeCell ref="AZ93:AZ99"/>
    <mergeCell ref="BJ93:BJ99"/>
    <mergeCell ref="BL93:BL99"/>
    <mergeCell ref="C93:C99"/>
    <mergeCell ref="D93:D99"/>
    <mergeCell ref="N93:N99"/>
    <mergeCell ref="P93:P99"/>
    <mergeCell ref="BL69:BL75"/>
    <mergeCell ref="BV69:BV75"/>
    <mergeCell ref="C77:C83"/>
    <mergeCell ref="D77:D83"/>
    <mergeCell ref="N77:N83"/>
    <mergeCell ref="P77:P83"/>
    <mergeCell ref="C85:C91"/>
    <mergeCell ref="D85:D91"/>
    <mergeCell ref="N85:N91"/>
    <mergeCell ref="P85:P91"/>
    <mergeCell ref="Z85:Z91"/>
    <mergeCell ref="AB85:AB91"/>
    <mergeCell ref="AL85:AL91"/>
    <mergeCell ref="Z77:Z83"/>
    <mergeCell ref="AB77:AB83"/>
    <mergeCell ref="AL77:AL83"/>
    <mergeCell ref="AN85:AN91"/>
    <mergeCell ref="AX85:AX91"/>
    <mergeCell ref="AZ85:AZ91"/>
    <mergeCell ref="BJ85:BJ91"/>
    <mergeCell ref="BL85:BL91"/>
    <mergeCell ref="BV85:BV91"/>
    <mergeCell ref="BJ77:BJ83"/>
    <mergeCell ref="BL77:BL83"/>
    <mergeCell ref="C61:C67"/>
    <mergeCell ref="D61:D67"/>
    <mergeCell ref="N61:N67"/>
    <mergeCell ref="P61:P67"/>
    <mergeCell ref="Z61:Z67"/>
    <mergeCell ref="BL61:BL67"/>
    <mergeCell ref="BV61:BV67"/>
    <mergeCell ref="C69:C75"/>
    <mergeCell ref="D69:D75"/>
    <mergeCell ref="N69:N75"/>
    <mergeCell ref="P69:P75"/>
    <mergeCell ref="Z69:Z75"/>
    <mergeCell ref="AB69:AB75"/>
    <mergeCell ref="AL69:AL75"/>
    <mergeCell ref="AN69:AN75"/>
    <mergeCell ref="AB61:AB67"/>
    <mergeCell ref="AL61:AL67"/>
    <mergeCell ref="AN61:AN67"/>
    <mergeCell ref="AX61:AX67"/>
    <mergeCell ref="AZ61:AZ67"/>
    <mergeCell ref="BJ61:BJ67"/>
    <mergeCell ref="AX69:AX75"/>
    <mergeCell ref="AZ69:AZ75"/>
    <mergeCell ref="BJ69:BJ75"/>
    <mergeCell ref="N45:N51"/>
    <mergeCell ref="P45:P51"/>
    <mergeCell ref="Z45:Z51"/>
    <mergeCell ref="AB45:AB51"/>
    <mergeCell ref="AX53:AX59"/>
    <mergeCell ref="AZ53:AZ59"/>
    <mergeCell ref="BJ53:BJ59"/>
    <mergeCell ref="BL53:BL59"/>
    <mergeCell ref="BV53:BV59"/>
    <mergeCell ref="BJ29:BJ35"/>
    <mergeCell ref="BL29:BL35"/>
    <mergeCell ref="BV29:BV35"/>
    <mergeCell ref="AN29:AN35"/>
    <mergeCell ref="AX29:AX35"/>
    <mergeCell ref="AZ29:AZ35"/>
    <mergeCell ref="BV45:BV51"/>
    <mergeCell ref="B53:B75"/>
    <mergeCell ref="C53:C59"/>
    <mergeCell ref="D53:D59"/>
    <mergeCell ref="N53:N59"/>
    <mergeCell ref="P53:P59"/>
    <mergeCell ref="Z53:Z59"/>
    <mergeCell ref="AB53:AB59"/>
    <mergeCell ref="AL53:AL59"/>
    <mergeCell ref="AN53:AN59"/>
    <mergeCell ref="AL45:AL51"/>
    <mergeCell ref="AN45:AN51"/>
    <mergeCell ref="AX45:AX51"/>
    <mergeCell ref="AZ45:AZ51"/>
    <mergeCell ref="BJ45:BJ51"/>
    <mergeCell ref="BL45:BL51"/>
    <mergeCell ref="C45:C51"/>
    <mergeCell ref="D45:D51"/>
    <mergeCell ref="BL21:BL27"/>
    <mergeCell ref="BV21:BV27"/>
    <mergeCell ref="B29:B51"/>
    <mergeCell ref="C29:C35"/>
    <mergeCell ref="D29:D35"/>
    <mergeCell ref="N29:N35"/>
    <mergeCell ref="P29:P35"/>
    <mergeCell ref="B5:B27"/>
    <mergeCell ref="C37:C43"/>
    <mergeCell ref="D37:D43"/>
    <mergeCell ref="N37:N43"/>
    <mergeCell ref="P37:P43"/>
    <mergeCell ref="Z37:Z43"/>
    <mergeCell ref="AB37:AB43"/>
    <mergeCell ref="AL37:AL43"/>
    <mergeCell ref="Z29:Z35"/>
    <mergeCell ref="AB29:AB35"/>
    <mergeCell ref="AL29:AL35"/>
    <mergeCell ref="AN37:AN43"/>
    <mergeCell ref="AX37:AX43"/>
    <mergeCell ref="AZ37:AZ43"/>
    <mergeCell ref="BJ37:BJ43"/>
    <mergeCell ref="BL37:BL43"/>
    <mergeCell ref="BV37:BV43"/>
    <mergeCell ref="C21:C27"/>
    <mergeCell ref="D21:D27"/>
    <mergeCell ref="N21:N27"/>
    <mergeCell ref="P21:P27"/>
    <mergeCell ref="Z21:Z27"/>
    <mergeCell ref="AB21:AB27"/>
    <mergeCell ref="AL21:AL27"/>
    <mergeCell ref="AN21:AN27"/>
    <mergeCell ref="AB13:AB19"/>
    <mergeCell ref="AL13:AL19"/>
    <mergeCell ref="AN13:AN19"/>
    <mergeCell ref="B77:B107"/>
    <mergeCell ref="AX5:AX11"/>
    <mergeCell ref="AZ5:AZ11"/>
    <mergeCell ref="BJ5:BJ11"/>
    <mergeCell ref="BL5:BL11"/>
    <mergeCell ref="BV5:BV11"/>
    <mergeCell ref="C13:C19"/>
    <mergeCell ref="D13:D19"/>
    <mergeCell ref="N13:N19"/>
    <mergeCell ref="P13:P19"/>
    <mergeCell ref="Z13:Z19"/>
    <mergeCell ref="Z5:Z11"/>
    <mergeCell ref="AA5:AA11"/>
    <mergeCell ref="AB5:AB11"/>
    <mergeCell ref="AL5:AL11"/>
    <mergeCell ref="AM5:AM11"/>
    <mergeCell ref="AN5:AN11"/>
    <mergeCell ref="C5:C11"/>
    <mergeCell ref="D5:D11"/>
    <mergeCell ref="N5:N11"/>
    <mergeCell ref="O5:O11"/>
    <mergeCell ref="P5:P11"/>
    <mergeCell ref="BL13:BL19"/>
    <mergeCell ref="BV13:BV19"/>
    <mergeCell ref="D2:N3"/>
    <mergeCell ref="P2:Z3"/>
    <mergeCell ref="AB2:AL3"/>
    <mergeCell ref="AN2:AX3"/>
    <mergeCell ref="AZ2:BJ3"/>
    <mergeCell ref="BL2:BV3"/>
    <mergeCell ref="D101:D107"/>
    <mergeCell ref="N101:N107"/>
    <mergeCell ref="P101:P107"/>
    <mergeCell ref="Z101:Z107"/>
    <mergeCell ref="AB101:AB107"/>
    <mergeCell ref="AL101:AL107"/>
    <mergeCell ref="AN101:AN107"/>
    <mergeCell ref="AX101:AX107"/>
    <mergeCell ref="AZ101:AZ107"/>
    <mergeCell ref="BJ101:BJ107"/>
    <mergeCell ref="BL101:BL107"/>
    <mergeCell ref="BV101:BV107"/>
    <mergeCell ref="AX13:AX19"/>
    <mergeCell ref="AZ13:AZ19"/>
    <mergeCell ref="BJ13:BJ19"/>
    <mergeCell ref="AX21:AX27"/>
    <mergeCell ref="AZ21:AZ27"/>
    <mergeCell ref="BJ21:BJ27"/>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281FF-E23D-A14C-B46B-4515C5A5CCF5}">
  <sheetPr codeName="Feuil7">
    <tabColor rgb="FFFF0000"/>
    <pageSetUpPr fitToPage="1"/>
  </sheetPr>
  <dimension ref="C1:BN57"/>
  <sheetViews>
    <sheetView zoomScale="150" zoomScaleNormal="160" zoomScalePageLayoutView="150" workbookViewId="0">
      <pane xSplit="3" ySplit="9" topLeftCell="X19" activePane="bottomRight" state="frozen"/>
      <selection pane="topRight" activeCell="C1" sqref="C1"/>
      <selection pane="bottomLeft" activeCell="A10" sqref="A10"/>
      <selection pane="bottomRight" activeCell="AR39" sqref="AR39"/>
    </sheetView>
  </sheetViews>
  <sheetFormatPr baseColWidth="10" defaultRowHeight="13" x14ac:dyDescent="0.15"/>
  <cols>
    <col min="1" max="1" width="3.1640625" style="138" customWidth="1"/>
    <col min="2" max="2" width="1.5" style="138" customWidth="1"/>
    <col min="3" max="3" width="56.33203125" style="138" bestFit="1" customWidth="1"/>
    <col min="4" max="4" width="1" style="138" customWidth="1"/>
    <col min="5" max="5" width="14.6640625" style="138" customWidth="1"/>
    <col min="6" max="6" width="9.1640625" style="138" customWidth="1"/>
    <col min="7" max="7" width="1" style="138" customWidth="1"/>
    <col min="8" max="8" width="14.6640625" style="138" customWidth="1"/>
    <col min="9" max="9" width="9.1640625" style="138" customWidth="1"/>
    <col min="10" max="10" width="0.83203125" style="138" customWidth="1"/>
    <col min="11" max="11" width="14.6640625" style="138" customWidth="1"/>
    <col min="12" max="12" width="9.5" style="138" bestFit="1" customWidth="1"/>
    <col min="13" max="13" width="0.83203125" style="138" customWidth="1"/>
    <col min="14" max="14" width="14.6640625" style="138" customWidth="1"/>
    <col min="15" max="15" width="9.1640625" style="138" customWidth="1"/>
    <col min="16" max="16" width="0.83203125" style="138" customWidth="1"/>
    <col min="17" max="17" width="14.6640625" style="138" customWidth="1"/>
    <col min="18" max="18" width="9.1640625" style="138" customWidth="1"/>
    <col min="19" max="19" width="0.83203125" style="138" customWidth="1"/>
    <col min="20" max="20" width="14.6640625" style="138" customWidth="1"/>
    <col min="21" max="21" width="9.1640625" style="138" customWidth="1"/>
    <col min="22" max="22" width="1.6640625" style="138" customWidth="1"/>
    <col min="23" max="23" width="12.5" style="138" customWidth="1"/>
    <col min="24" max="24" width="9.6640625" style="138" customWidth="1"/>
    <col min="25" max="25" width="0.83203125" style="138" customWidth="1"/>
    <col min="26" max="26" width="14.6640625" style="138" customWidth="1"/>
    <col min="27" max="27" width="9.1640625" style="138" customWidth="1"/>
    <col min="28" max="28" width="0.83203125" style="138" customWidth="1"/>
    <col min="29" max="29" width="14.6640625" style="138" customWidth="1"/>
    <col min="30" max="30" width="9.1640625" style="138" customWidth="1"/>
    <col min="31" max="31" width="0.83203125" style="138" customWidth="1"/>
    <col min="32" max="32" width="14.6640625" style="138" customWidth="1"/>
    <col min="33" max="33" width="9.1640625" style="138" customWidth="1"/>
    <col min="34" max="34" width="0.83203125" style="138" customWidth="1"/>
    <col min="35" max="35" width="14.6640625" style="138" customWidth="1"/>
    <col min="36" max="36" width="9.1640625" style="138" customWidth="1"/>
    <col min="37" max="37" width="0.83203125" style="138" customWidth="1"/>
    <col min="38" max="38" width="14.6640625" style="138" customWidth="1"/>
    <col min="39" max="39" width="9.1640625" style="138" customWidth="1"/>
    <col min="40" max="40" width="0.83203125" style="138" customWidth="1"/>
    <col min="41" max="41" width="15.5" style="138" bestFit="1" customWidth="1"/>
    <col min="42" max="42" width="9.5" style="138" bestFit="1" customWidth="1"/>
    <col min="43" max="43" width="1.1640625" style="138" customWidth="1"/>
    <col min="44" max="44" width="14.6640625" style="138" customWidth="1"/>
    <col min="45" max="45" width="9.1640625" style="138" customWidth="1"/>
    <col min="46" max="46" width="1.1640625" style="138" customWidth="1"/>
    <col min="47" max="48" width="14.6640625" style="138" customWidth="1"/>
    <col min="49" max="49" width="0.83203125" style="138" customWidth="1"/>
    <col min="50" max="50" width="14.6640625" style="138" customWidth="1"/>
    <col min="51" max="51" width="2.1640625" style="138" customWidth="1"/>
    <col min="52" max="52" width="12" style="138" customWidth="1"/>
    <col min="53" max="53" width="16.83203125" style="138" customWidth="1"/>
    <col min="54" max="54" width="17.33203125" style="138" customWidth="1"/>
    <col min="55" max="55" width="2.33203125" style="138" customWidth="1"/>
    <col min="56" max="56" width="8.5" style="138" bestFit="1" customWidth="1"/>
    <col min="57" max="57" width="19.1640625" style="138" bestFit="1" customWidth="1"/>
    <col min="58" max="58" width="2.5" style="138" bestFit="1" customWidth="1"/>
    <col min="59" max="59" width="26.83203125" style="138" bestFit="1" customWidth="1"/>
    <col min="60" max="60" width="2.33203125" style="138" bestFit="1" customWidth="1"/>
    <col min="61" max="61" width="2" style="138" bestFit="1" customWidth="1"/>
    <col min="62" max="62" width="10.83203125" style="138"/>
    <col min="63" max="63" width="2.33203125" style="138" bestFit="1" customWidth="1"/>
    <col min="64" max="64" width="10.83203125" style="138"/>
    <col min="65" max="65" width="2" style="138" bestFit="1" customWidth="1"/>
    <col min="66" max="66" width="8.5" style="138" bestFit="1" customWidth="1"/>
    <col min="67" max="16384" width="10.83203125" style="138"/>
  </cols>
  <sheetData>
    <row r="1" spans="3:66" ht="14" thickBot="1" x14ac:dyDescent="0.2"/>
    <row r="2" spans="3:66" ht="20" customHeight="1" thickTop="1" x14ac:dyDescent="0.2">
      <c r="C2" s="687" t="s">
        <v>35</v>
      </c>
      <c r="E2" s="138" t="s">
        <v>1</v>
      </c>
      <c r="F2" s="138" t="s">
        <v>1</v>
      </c>
      <c r="AL2" s="138" t="s">
        <v>1</v>
      </c>
      <c r="AU2" s="1424" t="s">
        <v>137</v>
      </c>
      <c r="AV2" s="1425"/>
      <c r="BD2" s="1430" t="s">
        <v>45</v>
      </c>
      <c r="BE2" s="328"/>
      <c r="BF2" s="328"/>
      <c r="BG2" s="328"/>
      <c r="BH2" s="328"/>
      <c r="BI2" s="328"/>
      <c r="BJ2" s="328"/>
      <c r="BK2" s="328"/>
      <c r="BL2" s="328"/>
      <c r="BM2" s="328"/>
      <c r="BN2" s="1433" t="s">
        <v>46</v>
      </c>
    </row>
    <row r="3" spans="3:66" ht="20" customHeight="1" x14ac:dyDescent="0.2">
      <c r="C3" s="688" t="s">
        <v>138</v>
      </c>
      <c r="E3" s="138" t="s">
        <v>1</v>
      </c>
      <c r="AL3" s="138" t="s">
        <v>1</v>
      </c>
      <c r="AU3" s="1426"/>
      <c r="AV3" s="1427"/>
      <c r="BD3" s="1431"/>
      <c r="BE3" s="329"/>
      <c r="BF3" s="329"/>
      <c r="BG3" s="329"/>
      <c r="BH3" s="329"/>
      <c r="BI3" s="329"/>
      <c r="BJ3" s="329"/>
      <c r="BK3" s="329"/>
      <c r="BL3" s="329"/>
      <c r="BM3" s="329"/>
      <c r="BN3" s="1434"/>
    </row>
    <row r="4" spans="3:66" ht="20" customHeight="1" thickBot="1" x14ac:dyDescent="0.3">
      <c r="C4" s="689" t="s">
        <v>241</v>
      </c>
      <c r="AU4" s="1428"/>
      <c r="AV4" s="1429"/>
      <c r="BD4" s="1431"/>
      <c r="BE4" s="330" t="str">
        <f>'[1]Formule pour le calcul D'!BM103</f>
        <v>Bénéfice annuel</v>
      </c>
      <c r="BF4" s="330" t="s">
        <v>48</v>
      </c>
      <c r="BG4" s="330" t="str">
        <f>'[1]Formule pour le calcul D'!BO103</f>
        <v>Achalandage annuelle</v>
      </c>
      <c r="BH4" s="330" t="s">
        <v>50</v>
      </c>
      <c r="BI4" s="330" t="s">
        <v>51</v>
      </c>
      <c r="BJ4" s="330" t="str">
        <f>'[1]Formule pour le calcul D'!BR103</f>
        <v>Um/A</v>
      </c>
      <c r="BK4" s="330" t="s">
        <v>50</v>
      </c>
      <c r="BL4" s="330" t="str">
        <f>'[1]Formule pour le calcul D'!BT103</f>
        <v>BmO</v>
      </c>
      <c r="BM4" s="330" t="s">
        <v>54</v>
      </c>
      <c r="BN4" s="1434"/>
    </row>
    <row r="5" spans="3:66" ht="21" thickTop="1" thickBot="1" x14ac:dyDescent="0.3">
      <c r="C5" s="331"/>
      <c r="G5" s="138" t="s">
        <v>1</v>
      </c>
      <c r="BD5" s="1431"/>
      <c r="BE5" s="332" t="s">
        <v>1</v>
      </c>
      <c r="BF5" s="184"/>
      <c r="BG5" s="332"/>
      <c r="BH5" s="184"/>
      <c r="BI5" s="184"/>
      <c r="BJ5" s="184"/>
      <c r="BK5" s="184"/>
      <c r="BL5" s="184"/>
      <c r="BM5" s="184"/>
      <c r="BN5" s="1434"/>
    </row>
    <row r="6" spans="3:66" ht="27" thickTop="1" x14ac:dyDescent="0.3">
      <c r="C6" s="333" t="s">
        <v>26</v>
      </c>
      <c r="D6" s="138" t="s">
        <v>1</v>
      </c>
      <c r="E6" s="334" t="s">
        <v>139</v>
      </c>
      <c r="F6" s="335">
        <f>E14/C7/'Achalandage journalier'!D8</f>
        <v>32.68119047619048</v>
      </c>
      <c r="G6" s="336" t="s">
        <v>1</v>
      </c>
      <c r="H6" s="334" t="str">
        <f>E6</f>
        <v>Rev. / place / jour</v>
      </c>
      <c r="I6" s="335">
        <f>H14/C7/'Achalandage journalier'!E8</f>
        <v>32.68119047619048</v>
      </c>
      <c r="J6" s="336"/>
      <c r="K6" s="334" t="str">
        <f>H6</f>
        <v>Rev. / place / jour</v>
      </c>
      <c r="L6" s="335">
        <f>K14/C7/'Achalandage journalier'!F8</f>
        <v>47.011428571428567</v>
      </c>
      <c r="M6" s="336"/>
      <c r="N6" s="337" t="str">
        <f>K6</f>
        <v>Rev. / place / jour</v>
      </c>
      <c r="O6" s="335">
        <f>N14/C7/'Achalandage journalier'!G8</f>
        <v>63.8828125</v>
      </c>
      <c r="P6" s="338"/>
      <c r="Q6" s="334" t="str">
        <f>N6</f>
        <v>Rev. / place / jour</v>
      </c>
      <c r="R6" s="335">
        <f>Q14/C7/'Achalandage journalier'!H8</f>
        <v>78.806696428571428</v>
      </c>
      <c r="S6" s="336"/>
      <c r="T6" s="334" t="str">
        <f>Q6</f>
        <v>Rev. / place / jour</v>
      </c>
      <c r="U6" s="335">
        <f>T14/C7/'Achalandage journalier'!I8</f>
        <v>93.730580357142884</v>
      </c>
      <c r="V6" s="336" t="s">
        <v>1</v>
      </c>
      <c r="W6" s="334" t="str">
        <f>T6</f>
        <v>Rev. / place / jour</v>
      </c>
      <c r="X6" s="335">
        <f>W14/C7/'Achalandage journalier'!J8</f>
        <v>112.77560119047621</v>
      </c>
      <c r="Y6" s="336"/>
      <c r="Z6" s="334" t="str">
        <f>W6</f>
        <v>Rev. / place / jour</v>
      </c>
      <c r="AA6" s="335">
        <f>Z14/C7/'Achalandage journalier'!K8</f>
        <v>128.4940773809524</v>
      </c>
      <c r="AB6" s="336"/>
      <c r="AC6" s="334" t="str">
        <f>Z6</f>
        <v>Rev. / place / jour</v>
      </c>
      <c r="AD6" s="335">
        <f>AC14/C7/'Achalandage journalier'!L8</f>
        <v>128.4940773809524</v>
      </c>
      <c r="AE6" s="336"/>
      <c r="AF6" s="334" t="str">
        <f>AC6</f>
        <v>Rev. / place / jour</v>
      </c>
      <c r="AG6" s="335">
        <f>AF14/C7/'Achalandage journalier'!M8</f>
        <v>133.40980654761907</v>
      </c>
      <c r="AH6" s="336"/>
      <c r="AI6" s="334" t="str">
        <f>AF6</f>
        <v>Rev. / place / jour</v>
      </c>
      <c r="AJ6" s="335">
        <f>AI14/C7/'Achalandage journalier'!N8</f>
        <v>133.40980654761907</v>
      </c>
      <c r="AK6" s="336"/>
      <c r="AL6" s="334" t="str">
        <f>AI6</f>
        <v>Rev. / place / jour</v>
      </c>
      <c r="AM6" s="335">
        <f>AL14/C7/'Achalandage journalier'!O8</f>
        <v>117.29863095238093</v>
      </c>
      <c r="AN6" s="336"/>
      <c r="AO6" s="334" t="str">
        <f>AL6</f>
        <v>Rev. / place / jour</v>
      </c>
      <c r="AP6" s="335">
        <f>AO14/C7/'Achalandage journalier'!P8</f>
        <v>121.62071428571427</v>
      </c>
      <c r="AQ6" s="336"/>
      <c r="AR6" s="339" t="str">
        <f>AL6</f>
        <v>Rev. / place / jour</v>
      </c>
      <c r="AS6" s="340">
        <f>AR14/C7/'Achalandage journalier'!Q8</f>
        <v>94.176662545787536</v>
      </c>
      <c r="AT6" s="336"/>
      <c r="AU6" s="339" t="str">
        <f>+AR6</f>
        <v>Rev. / place / jour</v>
      </c>
      <c r="AV6" s="340">
        <f>AU14/C7/'Achalandage journalier'!Q8</f>
        <v>47.852804029304025</v>
      </c>
      <c r="AW6" s="336"/>
      <c r="AX6" s="336"/>
      <c r="AY6" s="336"/>
      <c r="AZ6"/>
      <c r="BA6" s="1436" t="s">
        <v>152</v>
      </c>
      <c r="BB6" s="1437"/>
      <c r="BD6" s="1431"/>
      <c r="BE6" s="341" t="str">
        <f>'[1]Formule pour le calcul D'!BM105</f>
        <v xml:space="preserve">B </v>
      </c>
      <c r="BF6" s="342"/>
      <c r="BG6" s="341" t="str">
        <f>'[1]Formule pour le calcul D'!BO105</f>
        <v>A</v>
      </c>
      <c r="BH6" s="342"/>
      <c r="BI6" s="342"/>
      <c r="BJ6" s="341" t="str">
        <f>BJ4</f>
        <v>Um/A</v>
      </c>
      <c r="BK6" s="342"/>
      <c r="BL6" s="341" t="str">
        <f>BL4</f>
        <v>BmO</v>
      </c>
      <c r="BM6" s="342"/>
      <c r="BN6" s="1434"/>
    </row>
    <row r="7" spans="3:66" ht="21" x14ac:dyDescent="0.25">
      <c r="C7" s="386">
        <f>'Achalandage journalier'!D7</f>
        <v>30</v>
      </c>
      <c r="D7" s="138" t="s">
        <v>1</v>
      </c>
      <c r="E7" s="343">
        <f>E14/$AR$14</f>
        <v>2.6693850270129112E-2</v>
      </c>
      <c r="F7" s="344"/>
      <c r="G7" s="345" t="s">
        <v>1</v>
      </c>
      <c r="H7" s="343">
        <f>H14/$AR$14</f>
        <v>2.6693850270129112E-2</v>
      </c>
      <c r="I7" s="344"/>
      <c r="J7" s="345"/>
      <c r="K7" s="343">
        <f>K14/$AR$14</f>
        <v>3.8398724678797715E-2</v>
      </c>
      <c r="L7" s="344"/>
      <c r="M7" s="345"/>
      <c r="N7" s="346">
        <f>N14/$AR$14</f>
        <v>5.217919564319709E-2</v>
      </c>
      <c r="O7" s="347"/>
      <c r="P7" s="348"/>
      <c r="Q7" s="343">
        <f>Q14/$AR$14</f>
        <v>6.4368957314464986E-2</v>
      </c>
      <c r="R7" s="344"/>
      <c r="S7" s="345"/>
      <c r="T7" s="343">
        <f>T14/$AR$14</f>
        <v>7.6558718985732896E-2</v>
      </c>
      <c r="U7" s="344"/>
      <c r="V7" s="345"/>
      <c r="W7" s="343">
        <f>W14/$AR$14</f>
        <v>9.2114606856062098E-2</v>
      </c>
      <c r="X7" s="344"/>
      <c r="Y7" s="345"/>
      <c r="Z7" s="343">
        <f>Z14/$AR$14</f>
        <v>0.10495338793439662</v>
      </c>
      <c r="AA7" s="344"/>
      <c r="AB7" s="345"/>
      <c r="AC7" s="343">
        <f>AC14/$AR$14</f>
        <v>0.10495338793439662</v>
      </c>
      <c r="AD7" s="344"/>
      <c r="AE7" s="345"/>
      <c r="AF7" s="343">
        <f>AF14/$AR$14</f>
        <v>0.10896853354052455</v>
      </c>
      <c r="AG7" s="344"/>
      <c r="AH7" s="345"/>
      <c r="AI7" s="343">
        <f>AI14/$AR$14</f>
        <v>0.10896853354052455</v>
      </c>
      <c r="AJ7" s="344"/>
      <c r="AK7" s="345"/>
      <c r="AL7" s="343">
        <f>AL14/$AR$14</f>
        <v>9.5808997344058067E-2</v>
      </c>
      <c r="AM7" s="349"/>
      <c r="AN7" s="336"/>
      <c r="AO7" s="343">
        <f>AO14/$AR$14</f>
        <v>9.9339255687586725E-2</v>
      </c>
      <c r="AP7" s="349"/>
      <c r="AQ7" s="336"/>
      <c r="AR7" s="350">
        <f>+E7+H7+K7+N7+Q7+T7+W7+Z7+AC7+AF7+AI7+AL7+AO7</f>
        <v>1.0000000000000002</v>
      </c>
      <c r="AS7" s="351" t="s">
        <v>151</v>
      </c>
      <c r="AT7" s="336"/>
      <c r="AU7" s="350" t="s">
        <v>1</v>
      </c>
      <c r="AV7" s="351" t="str">
        <f>+AS7</f>
        <v>364 jours</v>
      </c>
      <c r="AW7" s="336"/>
      <c r="AX7" s="336"/>
      <c r="AY7" s="336"/>
      <c r="AZ7"/>
      <c r="BA7" s="1438" t="s">
        <v>153</v>
      </c>
      <c r="BB7" s="1439"/>
      <c r="BD7" s="1431"/>
      <c r="BE7" s="684">
        <f>AR45</f>
        <v>54134.620943169786</v>
      </c>
      <c r="BF7" s="330" t="s">
        <v>48</v>
      </c>
      <c r="BG7" s="685">
        <f>'% Occupation'!Q19</f>
        <v>54651</v>
      </c>
      <c r="BH7" s="330" t="s">
        <v>50</v>
      </c>
      <c r="BI7" s="330" t="s">
        <v>51</v>
      </c>
      <c r="BJ7" s="686">
        <f>'Formule pour le calcul D'!BR114</f>
        <v>2.2692307692307692</v>
      </c>
      <c r="BK7" s="330" t="s">
        <v>50</v>
      </c>
      <c r="BL7" s="684">
        <f>BE7/BG7/BJ7</f>
        <v>0.43651414709561182</v>
      </c>
      <c r="BM7" s="330" t="s">
        <v>54</v>
      </c>
      <c r="BN7" s="1434"/>
    </row>
    <row r="8" spans="3:66" ht="17" thickBot="1" x14ac:dyDescent="0.25">
      <c r="C8" s="352" t="s">
        <v>140</v>
      </c>
      <c r="D8" s="138" t="s">
        <v>1</v>
      </c>
      <c r="E8" s="353" t="str">
        <f>'Achalandage journalier'!D5</f>
        <v>Pér.01</v>
      </c>
      <c r="F8" s="354" t="s">
        <v>141</v>
      </c>
      <c r="G8" s="355" t="s">
        <v>1</v>
      </c>
      <c r="H8" s="353" t="str">
        <f>'Achalandage journalier'!E5</f>
        <v>Pér.02</v>
      </c>
      <c r="I8" s="356" t="str">
        <f>+F8</f>
        <v>(%)</v>
      </c>
      <c r="J8" s="355"/>
      <c r="K8" s="353" t="str">
        <f>'Achalandage journalier'!F5</f>
        <v>Pér.03</v>
      </c>
      <c r="L8" s="356" t="str">
        <f>+I8</f>
        <v>(%)</v>
      </c>
      <c r="M8" s="355"/>
      <c r="N8" s="357" t="str">
        <f>'Achalandage journalier'!G5</f>
        <v>Pér.04</v>
      </c>
      <c r="O8" s="358" t="str">
        <f>+L8</f>
        <v>(%)</v>
      </c>
      <c r="P8" s="359"/>
      <c r="Q8" s="353" t="str">
        <f>'Achalandage journalier'!H5</f>
        <v>Pér.05</v>
      </c>
      <c r="R8" s="356" t="str">
        <f>+O8</f>
        <v>(%)</v>
      </c>
      <c r="S8" s="355"/>
      <c r="T8" s="353" t="str">
        <f>'Achalandage journalier'!I5</f>
        <v>Pér.06</v>
      </c>
      <c r="U8" s="356" t="str">
        <f>+R8</f>
        <v>(%)</v>
      </c>
      <c r="V8" s="355"/>
      <c r="W8" s="353" t="str">
        <f>'Achalandage journalier'!J5</f>
        <v>Pér.07</v>
      </c>
      <c r="X8" s="356" t="str">
        <f>+U8</f>
        <v>(%)</v>
      </c>
      <c r="Y8" s="355"/>
      <c r="Z8" s="353" t="str">
        <f>'Achalandage journalier'!K5</f>
        <v>Pér.08</v>
      </c>
      <c r="AA8" s="356" t="str">
        <f>+X8</f>
        <v>(%)</v>
      </c>
      <c r="AB8" s="355"/>
      <c r="AC8" s="353" t="str">
        <f>'Achalandage journalier'!L5</f>
        <v>Pér.09</v>
      </c>
      <c r="AD8" s="356" t="str">
        <f>+AA8</f>
        <v>(%)</v>
      </c>
      <c r="AE8" s="355"/>
      <c r="AF8" s="353" t="str">
        <f>'Achalandage journalier'!M5</f>
        <v>Pér.10</v>
      </c>
      <c r="AG8" s="356" t="str">
        <f>+AD8</f>
        <v>(%)</v>
      </c>
      <c r="AH8" s="355"/>
      <c r="AI8" s="353" t="str">
        <f>'Achalandage journalier'!N5</f>
        <v>Pér.11</v>
      </c>
      <c r="AJ8" s="356" t="str">
        <f>+AG8</f>
        <v>(%)</v>
      </c>
      <c r="AK8" s="355"/>
      <c r="AL8" s="353" t="str">
        <f>'Achalandage journalier'!O5</f>
        <v>Pér.12</v>
      </c>
      <c r="AM8" s="356" t="str">
        <f>+AJ8</f>
        <v>(%)</v>
      </c>
      <c r="AN8" s="355"/>
      <c r="AO8" s="353" t="str">
        <f>'Achalandage journalier'!P5</f>
        <v>Pér.13</v>
      </c>
      <c r="AP8" s="356" t="str">
        <f>+AM8</f>
        <v>(%)</v>
      </c>
      <c r="AQ8" s="355"/>
      <c r="AR8" s="350" t="s">
        <v>9</v>
      </c>
      <c r="AS8" s="362" t="str">
        <f>+AM8</f>
        <v>(%)</v>
      </c>
      <c r="AU8" s="350" t="str">
        <f>+AR8</f>
        <v>Total</v>
      </c>
      <c r="AV8" s="362" t="str">
        <f>+AS8</f>
        <v>(%)</v>
      </c>
      <c r="AZ8"/>
      <c r="BA8" s="1440"/>
      <c r="BB8" s="1441"/>
      <c r="BD8" s="1432"/>
      <c r="BE8" s="363"/>
      <c r="BF8" s="363"/>
      <c r="BG8" s="363"/>
      <c r="BH8" s="363"/>
      <c r="BI8" s="363"/>
      <c r="BJ8" s="363"/>
      <c r="BK8" s="363"/>
      <c r="BL8" s="363"/>
      <c r="BM8" s="363"/>
      <c r="BN8" s="1435"/>
    </row>
    <row r="9" spans="3:66" ht="20" thickTop="1" thickBot="1" x14ac:dyDescent="0.2">
      <c r="C9" s="364">
        <f>+AR14/C7</f>
        <v>34280.305166666665</v>
      </c>
      <c r="D9" s="138" t="s">
        <v>1</v>
      </c>
      <c r="E9" s="594">
        <f>'Achalandage journalier'!D6</f>
        <v>44928</v>
      </c>
      <c r="F9" s="595" t="s">
        <v>1</v>
      </c>
      <c r="G9" s="546" t="s">
        <v>1</v>
      </c>
      <c r="H9" s="594">
        <f>'Achalandage journalier'!E6</f>
        <v>44956</v>
      </c>
      <c r="I9" s="595" t="str">
        <f>+F9</f>
        <v xml:space="preserve"> </v>
      </c>
      <c r="J9" s="576"/>
      <c r="K9" s="594">
        <f>'Achalandage journalier'!F6</f>
        <v>44984</v>
      </c>
      <c r="L9" s="595" t="str">
        <f>+I9</f>
        <v xml:space="preserve"> </v>
      </c>
      <c r="M9" s="546"/>
      <c r="N9" s="596">
        <f>'Achalandage journalier'!G6</f>
        <v>45012</v>
      </c>
      <c r="O9" s="597" t="str">
        <f>+L9</f>
        <v xml:space="preserve"> </v>
      </c>
      <c r="P9" s="598"/>
      <c r="Q9" s="594">
        <f>'Achalandage journalier'!H6</f>
        <v>45040</v>
      </c>
      <c r="R9" s="595" t="str">
        <f>+O9</f>
        <v xml:space="preserve"> </v>
      </c>
      <c r="S9" s="546"/>
      <c r="T9" s="594">
        <f>'Achalandage journalier'!I6</f>
        <v>45068</v>
      </c>
      <c r="U9" s="595" t="str">
        <f>+R9</f>
        <v xml:space="preserve"> </v>
      </c>
      <c r="V9" s="546"/>
      <c r="W9" s="594">
        <f>'Achalandage journalier'!J6</f>
        <v>45096</v>
      </c>
      <c r="X9" s="595" t="str">
        <f>+U9</f>
        <v xml:space="preserve"> </v>
      </c>
      <c r="Y9" s="546"/>
      <c r="Z9" s="594">
        <f>'Achalandage journalier'!K6</f>
        <v>45124</v>
      </c>
      <c r="AA9" s="595" t="str">
        <f>+X9</f>
        <v xml:space="preserve"> </v>
      </c>
      <c r="AB9" s="546"/>
      <c r="AC9" s="594">
        <f>'Achalandage journalier'!L6</f>
        <v>45152</v>
      </c>
      <c r="AD9" s="595" t="str">
        <f>+AA9</f>
        <v xml:space="preserve"> </v>
      </c>
      <c r="AE9" s="546"/>
      <c r="AF9" s="594">
        <f>'Achalandage journalier'!M6</f>
        <v>45180</v>
      </c>
      <c r="AG9" s="595" t="str">
        <f>+AD9</f>
        <v xml:space="preserve"> </v>
      </c>
      <c r="AH9" s="546"/>
      <c r="AI9" s="594">
        <f>'Achalandage journalier'!N6</f>
        <v>45208</v>
      </c>
      <c r="AJ9" s="595" t="str">
        <f>+AG9</f>
        <v xml:space="preserve"> </v>
      </c>
      <c r="AK9" s="546"/>
      <c r="AL9" s="594">
        <f>'Achalandage journalier'!O6</f>
        <v>45236</v>
      </c>
      <c r="AM9" s="595" t="str">
        <f>+AJ9</f>
        <v xml:space="preserve"> </v>
      </c>
      <c r="AN9" s="546"/>
      <c r="AO9" s="594">
        <f>'Achalandage journalier'!P6</f>
        <v>45264</v>
      </c>
      <c r="AP9" s="365" t="str">
        <f>+AM9</f>
        <v xml:space="preserve"> </v>
      </c>
      <c r="AQ9" s="366"/>
      <c r="AR9" s="367" t="s">
        <v>36</v>
      </c>
      <c r="AS9" s="368" t="str">
        <f>+AM9</f>
        <v xml:space="preserve"> </v>
      </c>
      <c r="AU9" s="367" t="str">
        <f>+AR9</f>
        <v>Année</v>
      </c>
      <c r="AV9" s="368" t="s">
        <v>1</v>
      </c>
      <c r="AZ9"/>
      <c r="BA9" s="387"/>
      <c r="BB9" s="387"/>
    </row>
    <row r="10" spans="3:66" ht="17" thickTop="1" x14ac:dyDescent="0.2">
      <c r="C10" s="369" t="s">
        <v>142</v>
      </c>
      <c r="D10" s="138" t="s">
        <v>1</v>
      </c>
      <c r="E10" s="370"/>
      <c r="F10" s="371"/>
      <c r="G10" s="138" t="s">
        <v>1</v>
      </c>
      <c r="H10" s="404"/>
      <c r="I10" s="1000"/>
      <c r="K10" s="370"/>
      <c r="L10" s="371"/>
      <c r="N10" s="370"/>
      <c r="O10" s="371"/>
      <c r="P10" s="372"/>
      <c r="Q10" s="404"/>
      <c r="R10" s="1000"/>
      <c r="T10" s="404"/>
      <c r="U10" s="1000"/>
      <c r="W10" s="404"/>
      <c r="X10" s="1000"/>
      <c r="Z10" s="404"/>
      <c r="AA10" s="1000"/>
      <c r="AC10" s="404"/>
      <c r="AD10" s="1000"/>
      <c r="AF10" s="404"/>
      <c r="AG10" s="1000"/>
      <c r="AI10" s="404"/>
      <c r="AJ10" s="1000"/>
      <c r="AL10" s="404"/>
      <c r="AM10" s="1000"/>
      <c r="AO10" s="404"/>
      <c r="AP10" s="1000"/>
      <c r="AR10" s="1028"/>
      <c r="AS10" s="1029"/>
      <c r="AU10" s="690"/>
      <c r="AV10" s="691"/>
      <c r="AZ10" s="388" t="s">
        <v>23</v>
      </c>
      <c r="BA10" s="695">
        <v>458566</v>
      </c>
      <c r="BB10" s="696">
        <f>+BA10/BA22</f>
        <v>6.7607850699710578E-2</v>
      </c>
    </row>
    <row r="11" spans="3:66" ht="16" x14ac:dyDescent="0.2">
      <c r="C11" s="373" t="s">
        <v>143</v>
      </c>
      <c r="E11" s="374">
        <f>'Formule pour le calcul D'!Q10</f>
        <v>7634.4166666666679</v>
      </c>
      <c r="F11" s="371">
        <f>+E11/$E$14</f>
        <v>0.27809853733641265</v>
      </c>
      <c r="G11" s="375" t="s">
        <v>1</v>
      </c>
      <c r="H11" s="374">
        <f>'Formule pour le calcul D'!Q18</f>
        <v>7634.4166666666679</v>
      </c>
      <c r="I11" s="371">
        <f>+H11/$H$14</f>
        <v>0.27809853733641265</v>
      </c>
      <c r="K11" s="374">
        <f>'Formule pour le calcul D'!Q26</f>
        <v>10982.000000000002</v>
      </c>
      <c r="L11" s="371">
        <f>+K11/K14</f>
        <v>0.27809853733641265</v>
      </c>
      <c r="N11" s="374">
        <f>'Formule pour le calcul D'!Q34</f>
        <v>15046.062500000004</v>
      </c>
      <c r="O11" s="371">
        <f>+N11/N14</f>
        <v>0.28038808038808044</v>
      </c>
      <c r="P11" s="372"/>
      <c r="Q11" s="374">
        <f>'Formule pour le calcul D'!Q42</f>
        <v>18561.025000000005</v>
      </c>
      <c r="R11" s="371">
        <f>+Q11/Q14</f>
        <v>0.28038808038808044</v>
      </c>
      <c r="T11" s="374">
        <f>'Formule pour le calcul D'!Q50</f>
        <v>22075.987500000003</v>
      </c>
      <c r="U11" s="371">
        <f>+T11/T14</f>
        <v>0.28038808038808039</v>
      </c>
      <c r="W11" s="374">
        <f>'Formule pour le calcul D'!Q58</f>
        <v>26761.881666666672</v>
      </c>
      <c r="X11" s="371">
        <f>+W11/W14</f>
        <v>0.28250244379276634</v>
      </c>
      <c r="Z11" s="374">
        <f>'Formule pour le calcul D'!Q66</f>
        <v>30491.90833333334</v>
      </c>
      <c r="AA11" s="371">
        <f>+Z11/Z14</f>
        <v>0.2825024437927664</v>
      </c>
      <c r="AC11" s="374">
        <f>'Formule pour le calcul D'!Q74</f>
        <v>30491.90833333334</v>
      </c>
      <c r="AD11" s="371">
        <f>+AC11/AC14</f>
        <v>0.2825024437927664</v>
      </c>
      <c r="AF11" s="374">
        <f>'Formule pour le calcul D'!Q82</f>
        <v>31877.904166666667</v>
      </c>
      <c r="AG11" s="371">
        <f>+AF11/AF14</f>
        <v>0.2844609919972611</v>
      </c>
      <c r="AI11" s="374">
        <f>'Formule pour le calcul D'!Q90</f>
        <v>31877.904166666667</v>
      </c>
      <c r="AJ11" s="371">
        <f>+AI11/AI14</f>
        <v>0.2844609919972611</v>
      </c>
      <c r="AK11" s="138" t="s">
        <v>144</v>
      </c>
      <c r="AL11" s="374">
        <f>'Formule pour le calcul D'!Q98</f>
        <v>28028.183333333334</v>
      </c>
      <c r="AM11" s="371">
        <f>+AL11/AL14</f>
        <v>0.2844609919972611</v>
      </c>
      <c r="AO11" s="374">
        <f>'Formule pour le calcul D'!Q106</f>
        <v>29246.800000000003</v>
      </c>
      <c r="AP11" s="371">
        <f>+AO11/AO14</f>
        <v>0.28628033680039627</v>
      </c>
      <c r="AR11" s="1041">
        <f>'Formule pour le calcul D'!Q114</f>
        <v>290710.39833333337</v>
      </c>
      <c r="AS11" s="1029">
        <f>+AR11/AR14</f>
        <v>0.28267970672950049</v>
      </c>
      <c r="AU11" s="692">
        <f>+AV11*AX14</f>
        <v>402888.07001999998</v>
      </c>
      <c r="AV11" s="693">
        <v>0.77100000000000002</v>
      </c>
      <c r="AY11" s="138" t="s">
        <v>1</v>
      </c>
      <c r="AZ11" s="388" t="s">
        <v>15</v>
      </c>
      <c r="BA11" s="697">
        <v>463124</v>
      </c>
      <c r="BB11" s="698">
        <f>+BA11/BA22</f>
        <v>6.8279851204521833E-2</v>
      </c>
    </row>
    <row r="12" spans="3:66" ht="16" x14ac:dyDescent="0.2">
      <c r="C12" s="373" t="s">
        <v>145</v>
      </c>
      <c r="E12" s="374">
        <f>'Formule pour le calcul D'!AC10</f>
        <v>15110.333333333334</v>
      </c>
      <c r="F12" s="371">
        <f t="shared" ref="F12:F13" si="0">+E12/$E$14</f>
        <v>0.55042340261739797</v>
      </c>
      <c r="H12" s="374">
        <f>'Formule pour le calcul D'!AC18</f>
        <v>15110.333333333334</v>
      </c>
      <c r="I12" s="371">
        <f>+H12/H14</f>
        <v>0.55042340261739797</v>
      </c>
      <c r="K12" s="374">
        <f>'Formule pour le calcul D'!AC26</f>
        <v>21736</v>
      </c>
      <c r="L12" s="371">
        <f>+K12/K14</f>
        <v>0.55042340261739797</v>
      </c>
      <c r="N12" s="374">
        <f>'Formule pour le calcul D'!AC34</f>
        <v>29779.75</v>
      </c>
      <c r="O12" s="371">
        <f>+N12/N14</f>
        <v>0.55495495495495495</v>
      </c>
      <c r="P12" s="372"/>
      <c r="Q12" s="374">
        <f>'Formule pour le calcul D'!AC42</f>
        <v>36736.699999999997</v>
      </c>
      <c r="R12" s="371">
        <f>+Q12/Q14</f>
        <v>0.55495495495495495</v>
      </c>
      <c r="T12" s="374">
        <f>'Formule pour le calcul D'!AC50</f>
        <v>43693.65</v>
      </c>
      <c r="U12" s="371">
        <f>+T12/T14</f>
        <v>0.55495495495495484</v>
      </c>
      <c r="W12" s="374">
        <f>'Formule pour le calcul D'!AC58</f>
        <v>52968.153333333343</v>
      </c>
      <c r="X12" s="371">
        <f>+W12/W14</f>
        <v>0.55913978494623651</v>
      </c>
      <c r="Z12" s="374">
        <f>'Formule pour le calcul D'!AC66</f>
        <v>60350.766666666677</v>
      </c>
      <c r="AA12" s="371">
        <f>+Z12/Z14</f>
        <v>0.55913978494623651</v>
      </c>
      <c r="AC12" s="374">
        <f>'Formule pour le calcul D'!AC74</f>
        <v>60350.766666666677</v>
      </c>
      <c r="AD12" s="371">
        <f>+AC12/AC14</f>
        <v>0.55913978494623651</v>
      </c>
      <c r="AF12" s="374">
        <f>'Formule pour le calcul D'!AC82</f>
        <v>63093.98333333333</v>
      </c>
      <c r="AG12" s="371">
        <f>+AF12/AF14</f>
        <v>0.56301621945478664</v>
      </c>
      <c r="AI12" s="374">
        <f>'Formule pour le calcul D'!AC90</f>
        <v>63093.98333333333</v>
      </c>
      <c r="AJ12" s="371">
        <f>+AI12/AI14</f>
        <v>0.56301621945478664</v>
      </c>
      <c r="AL12" s="374">
        <f>'Formule pour le calcul D'!AC98</f>
        <v>55474.466666666667</v>
      </c>
      <c r="AM12" s="371">
        <f>+AL12/AL14</f>
        <v>0.56301621945478675</v>
      </c>
      <c r="AO12" s="374">
        <f>'Formule pour le calcul D'!AC106</f>
        <v>57886.399999999994</v>
      </c>
      <c r="AP12" s="371">
        <f>+AO12/AO14</f>
        <v>0.56661713719663198</v>
      </c>
      <c r="AR12" s="1041">
        <f>'Formule pour le calcul D'!AC114</f>
        <v>575385.28666666674</v>
      </c>
      <c r="AS12" s="1029">
        <f>+AR12/AR14</f>
        <v>0.55949063062032622</v>
      </c>
      <c r="AU12" s="692">
        <f>+AV12*AX14</f>
        <v>105033.07662000001</v>
      </c>
      <c r="AV12" s="693">
        <v>0.20100000000000001</v>
      </c>
      <c r="AZ12" s="388" t="s">
        <v>16</v>
      </c>
      <c r="BA12" s="697">
        <v>536585</v>
      </c>
      <c r="BB12" s="698">
        <f>+BA12/BA22</f>
        <v>7.9110441174671031E-2</v>
      </c>
    </row>
    <row r="13" spans="3:66" ht="17" thickBot="1" x14ac:dyDescent="0.25">
      <c r="C13" s="373" t="s">
        <v>146</v>
      </c>
      <c r="E13" s="374">
        <f>'Formule pour le calcul D'!AO10</f>
        <v>4707.4500000000007</v>
      </c>
      <c r="F13" s="371">
        <f t="shared" si="0"/>
        <v>0.1714780600461894</v>
      </c>
      <c r="H13" s="374">
        <f>'Formule pour le calcul D'!AO18</f>
        <v>4707.4500000000007</v>
      </c>
      <c r="I13" s="371">
        <f>+H13/H14</f>
        <v>0.1714780600461894</v>
      </c>
      <c r="K13" s="374">
        <f>'Formule pour le calcul D'!AO26</f>
        <v>6771.6</v>
      </c>
      <c r="L13" s="371">
        <f>+K13/K14</f>
        <v>0.1714780600461894</v>
      </c>
      <c r="N13" s="374">
        <f>'Formule pour le calcul D'!AO34</f>
        <v>8835.75</v>
      </c>
      <c r="O13" s="371">
        <f>+N13/N14</f>
        <v>0.16465696465696467</v>
      </c>
      <c r="P13" s="372"/>
      <c r="Q13" s="374">
        <f>'Formule pour le calcul D'!AO42</f>
        <v>10899.900000000001</v>
      </c>
      <c r="R13" s="371">
        <f>+Q13/Q14</f>
        <v>0.16465696465696467</v>
      </c>
      <c r="T13" s="374">
        <f>'Formule pour le calcul D'!AO50</f>
        <v>12964.050000000001</v>
      </c>
      <c r="U13" s="371">
        <f>+T13/T14</f>
        <v>0.16465696465696464</v>
      </c>
      <c r="W13" s="374">
        <f>'Formule pour le calcul D'!AO58</f>
        <v>15001.470000000001</v>
      </c>
      <c r="X13" s="371">
        <f>+W13/W14</f>
        <v>0.15835777126099704</v>
      </c>
      <c r="Z13" s="374">
        <f>'Formule pour le calcul D'!AO66</f>
        <v>17092.350000000002</v>
      </c>
      <c r="AA13" s="371">
        <f>+Z13/Z14</f>
        <v>0.15835777126099707</v>
      </c>
      <c r="AC13" s="374">
        <f>'Formule pour le calcul D'!AO74</f>
        <v>17092.350000000002</v>
      </c>
      <c r="AD13" s="371">
        <f>+AC13/AC14</f>
        <v>0.15835777126099707</v>
      </c>
      <c r="AF13" s="374">
        <f>'Formule pour le calcul D'!AO82</f>
        <v>17092.350000000002</v>
      </c>
      <c r="AG13" s="371">
        <f>+AF13/AF14</f>
        <v>0.15252278854795226</v>
      </c>
      <c r="AI13" s="374">
        <f>'Formule pour le calcul D'!AO90</f>
        <v>17092.350000000002</v>
      </c>
      <c r="AJ13" s="371">
        <f>+AI13/AI14</f>
        <v>0.15252278854795226</v>
      </c>
      <c r="AL13" s="374">
        <f>'Formule pour le calcul D'!AO98</f>
        <v>15028.2</v>
      </c>
      <c r="AM13" s="371">
        <f>+AL13/AL14</f>
        <v>0.15252278854795226</v>
      </c>
      <c r="AO13" s="374">
        <f>'Formule pour le calcul D'!AO106</f>
        <v>15028.2</v>
      </c>
      <c r="AP13" s="371">
        <f>+AO13/AO14</f>
        <v>0.14710252600297177</v>
      </c>
      <c r="AR13" s="1041">
        <f>'Formule pour le calcul D'!AO114</f>
        <v>162313.47000000003</v>
      </c>
      <c r="AS13" s="1029">
        <f>+AR13/AR14</f>
        <v>0.15782966265017356</v>
      </c>
      <c r="AU13" s="692">
        <f>+AV13*AX14</f>
        <v>14631.47336</v>
      </c>
      <c r="AV13" s="693">
        <v>2.8000000000000001E-2</v>
      </c>
      <c r="AX13" s="139"/>
      <c r="AZ13" s="388" t="s">
        <v>17</v>
      </c>
      <c r="BA13" s="697">
        <v>518060</v>
      </c>
      <c r="BB13" s="698">
        <f>+BA13/BA22</f>
        <v>7.6379241229162342E-2</v>
      </c>
    </row>
    <row r="14" spans="3:66" ht="18" thickTop="1" thickBot="1" x14ac:dyDescent="0.25">
      <c r="C14" s="376" t="s">
        <v>147</v>
      </c>
      <c r="D14" s="377"/>
      <c r="E14" s="378">
        <f>+SUM(E11:E13)</f>
        <v>27452.2</v>
      </c>
      <c r="F14" s="379">
        <f>SUM(F11:F13)</f>
        <v>1</v>
      </c>
      <c r="G14" s="380"/>
      <c r="H14" s="378">
        <f>+SUM(H11:H13)</f>
        <v>27452.2</v>
      </c>
      <c r="I14" s="379">
        <f>SUM(I11:I13)</f>
        <v>1</v>
      </c>
      <c r="J14" s="377"/>
      <c r="K14" s="378">
        <f>+SUM(K11:K13)</f>
        <v>39489.599999999999</v>
      </c>
      <c r="L14" s="379">
        <f>SUM(L11:L13)</f>
        <v>1</v>
      </c>
      <c r="M14" s="377"/>
      <c r="N14" s="378">
        <f>+SUM(N11:N13)</f>
        <v>53661.5625</v>
      </c>
      <c r="O14" s="379">
        <f>SUM(O11:O13)</f>
        <v>1</v>
      </c>
      <c r="P14" s="380"/>
      <c r="Q14" s="378">
        <f>+SUM(Q11:Q13)</f>
        <v>66197.625</v>
      </c>
      <c r="R14" s="379">
        <f>SUM(R11:R13)</f>
        <v>1</v>
      </c>
      <c r="S14" s="377"/>
      <c r="T14" s="378">
        <f>+SUM(T11:T13)</f>
        <v>78733.687500000015</v>
      </c>
      <c r="U14" s="379">
        <f>SUM(U11:U13)</f>
        <v>0.99999999999999989</v>
      </c>
      <c r="V14" s="381"/>
      <c r="W14" s="378">
        <f>+SUM(W11:W13)</f>
        <v>94731.505000000019</v>
      </c>
      <c r="X14" s="379">
        <f>SUM(X11:X13)</f>
        <v>0.99999999999999989</v>
      </c>
      <c r="Y14" s="381"/>
      <c r="Z14" s="378">
        <f>+SUM(Z11:Z13)</f>
        <v>107935.02500000002</v>
      </c>
      <c r="AA14" s="379">
        <f>SUM(AA11:AA13)</f>
        <v>0.99999999999999989</v>
      </c>
      <c r="AB14" s="381"/>
      <c r="AC14" s="378">
        <f>+SUM(AC11:AC13)</f>
        <v>107935.02500000002</v>
      </c>
      <c r="AD14" s="379">
        <f>SUM(AD11:AD13)</f>
        <v>0.99999999999999989</v>
      </c>
      <c r="AE14" s="381"/>
      <c r="AF14" s="378">
        <f>+SUM(AF11:AF13)</f>
        <v>112064.2375</v>
      </c>
      <c r="AG14" s="379">
        <f>SUM(AG11:AG13)</f>
        <v>1</v>
      </c>
      <c r="AH14" s="381"/>
      <c r="AI14" s="378">
        <f>+SUM(AI11:AI13)</f>
        <v>112064.2375</v>
      </c>
      <c r="AJ14" s="379">
        <f>SUM(AJ11:AJ13)</f>
        <v>1</v>
      </c>
      <c r="AK14" s="381"/>
      <c r="AL14" s="378">
        <f>+SUM(AL11:AL13)</f>
        <v>98530.849999999991</v>
      </c>
      <c r="AM14" s="379">
        <f>SUM(AM11:AM13)</f>
        <v>1.0000000000000002</v>
      </c>
      <c r="AN14" s="381"/>
      <c r="AO14" s="378">
        <f>+SUM(AO11:AO13)</f>
        <v>102161.4</v>
      </c>
      <c r="AP14" s="379">
        <f>SUM(AP11:AP13)</f>
        <v>1</v>
      </c>
      <c r="AQ14" s="381"/>
      <c r="AR14" s="382">
        <f>+$AO$14+$AL14+$AI14+$AF14+$AC14+$Z14+$W14+$T14+$Q14+$N14+$K14+$H14+$E14</f>
        <v>1028409.1549999999</v>
      </c>
      <c r="AS14" s="379">
        <f>SUM(AS11:AS13)</f>
        <v>1.0000000000000002</v>
      </c>
      <c r="AT14" s="377"/>
      <c r="AU14" s="383">
        <f>SUM(AU11:AU13)</f>
        <v>522552.62</v>
      </c>
      <c r="AV14" s="384">
        <f>SUM(AV11:AV13)</f>
        <v>1</v>
      </c>
      <c r="AW14" s="377"/>
      <c r="AX14" s="694">
        <v>522552.62</v>
      </c>
      <c r="AY14" s="377"/>
      <c r="AZ14" s="388" t="s">
        <v>24</v>
      </c>
      <c r="BA14" s="697">
        <v>588368</v>
      </c>
      <c r="BB14" s="698">
        <f>+BA14/BA22</f>
        <v>8.6744974334092173E-2</v>
      </c>
    </row>
    <row r="15" spans="3:66" ht="17" thickTop="1" x14ac:dyDescent="0.2">
      <c r="C15" s="996"/>
      <c r="D15"/>
      <c r="E15" s="465"/>
      <c r="F15" s="467"/>
      <c r="G15"/>
      <c r="H15" s="465"/>
      <c r="I15" s="467"/>
      <c r="J15"/>
      <c r="K15" s="462"/>
      <c r="L15" s="464"/>
      <c r="M15"/>
      <c r="N15" s="462"/>
      <c r="O15" s="464"/>
      <c r="P15"/>
      <c r="Q15" s="465"/>
      <c r="R15" s="467"/>
      <c r="S15"/>
      <c r="T15" s="465"/>
      <c r="U15" s="467"/>
      <c r="V15"/>
      <c r="W15" s="465"/>
      <c r="X15" s="467"/>
      <c r="Y15"/>
      <c r="Z15" s="465"/>
      <c r="AA15" s="467"/>
      <c r="AB15"/>
      <c r="AC15" s="465"/>
      <c r="AD15" s="467"/>
      <c r="AE15"/>
      <c r="AF15" s="465"/>
      <c r="AG15" s="467"/>
      <c r="AH15"/>
      <c r="AI15" s="465"/>
      <c r="AJ15" s="467"/>
      <c r="AK15"/>
      <c r="AL15" s="465"/>
      <c r="AM15" s="467"/>
      <c r="AN15"/>
      <c r="AO15" s="465"/>
      <c r="AP15" s="467"/>
      <c r="AQ15"/>
      <c r="AR15" s="1034"/>
      <c r="AS15" s="39"/>
      <c r="AT15"/>
      <c r="AU15" s="1043"/>
      <c r="AV15" s="1044"/>
      <c r="AW15"/>
      <c r="AX15"/>
      <c r="AZ15" s="388" t="s">
        <v>18</v>
      </c>
      <c r="BA15" s="697">
        <v>618690</v>
      </c>
      <c r="BB15" s="698">
        <f>+BA15/BA22</f>
        <v>9.1215443686195524E-2</v>
      </c>
    </row>
    <row r="16" spans="3:66" ht="16" customHeight="1" thickBot="1" x14ac:dyDescent="0.25">
      <c r="C16" s="1004" t="s">
        <v>325</v>
      </c>
      <c r="D16"/>
      <c r="E16" s="1005">
        <f>+'Coût marchandises vendues'!E16</f>
        <v>9216.7750000000015</v>
      </c>
      <c r="F16" s="1006">
        <f>E16/E$14</f>
        <v>0.33573903002309474</v>
      </c>
      <c r="G16" s="993"/>
      <c r="H16" s="1005">
        <f>+'Coût marchandises vendues'!H16</f>
        <v>9216.7750000000015</v>
      </c>
      <c r="I16" s="1006">
        <f>H16/H$14</f>
        <v>0.33573903002309474</v>
      </c>
      <c r="J16" s="993"/>
      <c r="K16" s="1005">
        <f>+'Coût marchandises vendues'!K16</f>
        <v>13258.2</v>
      </c>
      <c r="L16" s="1006">
        <f>K16/K$14</f>
        <v>0.33573903002309474</v>
      </c>
      <c r="M16" s="993"/>
      <c r="N16" s="1005">
        <f>+'Coût marchandises vendues'!N16</f>
        <v>17943.712499999998</v>
      </c>
      <c r="O16" s="1006">
        <f>N16/N$14</f>
        <v>0.33438669438669433</v>
      </c>
      <c r="P16" s="993"/>
      <c r="Q16" s="1005">
        <f>+'Coût marchandises vendues'!Q16</f>
        <v>22135.605</v>
      </c>
      <c r="R16" s="1006">
        <f>Q16/Q$14</f>
        <v>0.33438669438669438</v>
      </c>
      <c r="S16" s="993"/>
      <c r="T16" s="1005">
        <f>+'Coût marchandises vendues'!T16</f>
        <v>26327.497499999998</v>
      </c>
      <c r="U16" s="1006">
        <f>T16/T$14</f>
        <v>0.33438669438669427</v>
      </c>
      <c r="V16" s="993"/>
      <c r="W16" s="1005">
        <f>+'Coût marchandises vendues'!W16</f>
        <v>31558.648000000001</v>
      </c>
      <c r="X16" s="1006">
        <f>W16/W$14</f>
        <v>0.3331378299120234</v>
      </c>
      <c r="Y16" s="993"/>
      <c r="Z16" s="1005">
        <f>+'Coût marchandises vendues'!Z16</f>
        <v>35957.240000000005</v>
      </c>
      <c r="AA16" s="1006">
        <f>Z16/Z$14</f>
        <v>0.33313782991202345</v>
      </c>
      <c r="AB16" s="993"/>
      <c r="AC16" s="1005">
        <f>+'Coût marchandises vendues'!AC16</f>
        <v>35957.240000000005</v>
      </c>
      <c r="AD16" s="1006">
        <f>AC16/AC$14</f>
        <v>0.33313782991202345</v>
      </c>
      <c r="AE16" s="993"/>
      <c r="AF16" s="1005">
        <f>+'Coût marchandises vendues'!AF16</f>
        <v>37203.197500000002</v>
      </c>
      <c r="AG16" s="1006">
        <f>AF16/AF$14</f>
        <v>0.33198099884452437</v>
      </c>
      <c r="AH16" s="993"/>
      <c r="AI16" s="1005">
        <f>+'Coût marchandises vendues'!AI16</f>
        <v>37203.197500000002</v>
      </c>
      <c r="AJ16" s="1006">
        <f>AI16/AI$14</f>
        <v>0.33198099884452437</v>
      </c>
      <c r="AK16" s="993"/>
      <c r="AL16" s="1005">
        <f>+'Coût marchandises vendues'!AL16</f>
        <v>32710.369999999995</v>
      </c>
      <c r="AM16" s="1006">
        <f>AL16/AL$14</f>
        <v>0.33198099884452431</v>
      </c>
      <c r="AN16" s="993"/>
      <c r="AO16" s="1005">
        <f>+'Coût marchandises vendues'!AO16</f>
        <v>33805.859999999993</v>
      </c>
      <c r="AP16" s="1006">
        <f>AO16/AO$14</f>
        <v>0.33090638930163441</v>
      </c>
      <c r="AQ16" s="993"/>
      <c r="AR16" s="1035">
        <f>+'Coût marchandises vendues'!AR16</f>
        <v>342494.31800000003</v>
      </c>
      <c r="AS16" s="1036">
        <f>AR16/AR$14</f>
        <v>0.33303312823970344</v>
      </c>
      <c r="AT16"/>
      <c r="AU16" s="1045">
        <f>+AV16*AU14</f>
        <v>189164.04843999998</v>
      </c>
      <c r="AV16" s="1046">
        <v>0.36199999999999999</v>
      </c>
      <c r="AW16"/>
      <c r="AX16"/>
      <c r="AZ16" s="388" t="s">
        <v>19</v>
      </c>
      <c r="BA16" s="697">
        <v>660142</v>
      </c>
      <c r="BB16" s="698">
        <f>+BA16/BA22</f>
        <v>9.7326844503535667E-2</v>
      </c>
    </row>
    <row r="17" spans="3:54" ht="16" customHeight="1" x14ac:dyDescent="0.2">
      <c r="C17" s="998"/>
      <c r="D17"/>
      <c r="E17" s="465"/>
      <c r="F17" s="467"/>
      <c r="G17"/>
      <c r="H17" s="465"/>
      <c r="I17" s="467"/>
      <c r="J17"/>
      <c r="K17" s="465"/>
      <c r="L17" s="467"/>
      <c r="M17"/>
      <c r="N17" s="465"/>
      <c r="O17" s="467"/>
      <c r="P17"/>
      <c r="Q17" s="465"/>
      <c r="R17" s="467"/>
      <c r="S17"/>
      <c r="T17" s="465"/>
      <c r="U17" s="467"/>
      <c r="V17"/>
      <c r="W17" s="465"/>
      <c r="X17" s="467"/>
      <c r="Y17"/>
      <c r="Z17" s="465"/>
      <c r="AA17" s="467"/>
      <c r="AB17"/>
      <c r="AC17" s="465"/>
      <c r="AD17" s="467"/>
      <c r="AE17"/>
      <c r="AF17" s="465"/>
      <c r="AG17" s="467"/>
      <c r="AH17"/>
      <c r="AI17" s="465"/>
      <c r="AJ17" s="467"/>
      <c r="AK17"/>
      <c r="AL17" s="465"/>
      <c r="AM17" s="467"/>
      <c r="AN17"/>
      <c r="AO17" s="465"/>
      <c r="AP17" s="467"/>
      <c r="AQ17"/>
      <c r="AR17" s="1037"/>
      <c r="AS17" s="1038"/>
      <c r="AT17"/>
      <c r="AU17" s="1047"/>
      <c r="AV17" s="1048"/>
      <c r="AW17"/>
      <c r="AX17"/>
      <c r="AZ17" s="388" t="s">
        <v>20</v>
      </c>
      <c r="BA17" s="697">
        <v>653088</v>
      </c>
      <c r="BB17" s="698">
        <f>+BA17/BA22</f>
        <v>9.6286850742908506E-2</v>
      </c>
    </row>
    <row r="18" spans="3:54" ht="16" customHeight="1" thickBot="1" x14ac:dyDescent="0.25">
      <c r="C18" s="997" t="s">
        <v>365</v>
      </c>
      <c r="D18"/>
      <c r="E18" s="999" t="s">
        <v>366</v>
      </c>
      <c r="F18" s="467"/>
      <c r="G18"/>
      <c r="H18" s="465"/>
      <c r="I18" s="467"/>
      <c r="J18"/>
      <c r="K18" s="465"/>
      <c r="L18" s="467"/>
      <c r="M18"/>
      <c r="N18" s="465"/>
      <c r="O18" s="467"/>
      <c r="P18"/>
      <c r="Q18" s="465"/>
      <c r="R18" s="467"/>
      <c r="S18"/>
      <c r="T18" s="465"/>
      <c r="U18" s="467"/>
      <c r="V18"/>
      <c r="W18" s="465"/>
      <c r="X18" s="467"/>
      <c r="Y18"/>
      <c r="Z18" s="465"/>
      <c r="AA18" s="467"/>
      <c r="AB18"/>
      <c r="AC18" s="465"/>
      <c r="AD18" s="467"/>
      <c r="AE18"/>
      <c r="AF18" s="465"/>
      <c r="AG18" s="467"/>
      <c r="AH18"/>
      <c r="AI18" s="465"/>
      <c r="AJ18" s="467"/>
      <c r="AK18"/>
      <c r="AL18" s="465"/>
      <c r="AM18" s="467"/>
      <c r="AN18"/>
      <c r="AO18" s="465"/>
      <c r="AP18" s="467"/>
      <c r="AQ18"/>
      <c r="AR18" s="1037"/>
      <c r="AS18" s="1038"/>
      <c r="AT18"/>
      <c r="AU18" s="1047"/>
      <c r="AV18" s="1048"/>
      <c r="AW18"/>
      <c r="AX18"/>
      <c r="AZ18" s="388" t="s">
        <v>21</v>
      </c>
      <c r="BA18" s="697">
        <v>570696</v>
      </c>
      <c r="BB18" s="698">
        <f>+BA18/BA22</f>
        <v>8.4139534904293004E-2</v>
      </c>
    </row>
    <row r="19" spans="3:54" ht="16" customHeight="1" thickTop="1" thickBot="1" x14ac:dyDescent="0.25">
      <c r="C19" s="998" t="s">
        <v>367</v>
      </c>
      <c r="D19"/>
      <c r="E19" s="907">
        <f>' Total des coûts de MO'!E23</f>
        <v>11235.66</v>
      </c>
      <c r="F19" s="468">
        <f>E19/E14</f>
        <v>0.40928085909326029</v>
      </c>
      <c r="G19"/>
      <c r="H19" s="907">
        <f>' Total des coûts de MO'!H23</f>
        <v>11235.66</v>
      </c>
      <c r="I19" s="468">
        <f>H19/H14</f>
        <v>0.40928085909326029</v>
      </c>
      <c r="J19"/>
      <c r="K19" s="907">
        <f>' Total des coûts de MO'!K23</f>
        <v>14846.880000000001</v>
      </c>
      <c r="L19" s="468">
        <f>K19/K14</f>
        <v>0.37596936915035861</v>
      </c>
      <c r="M19"/>
      <c r="N19" s="907">
        <f>' Total des coûts de MO'!N23</f>
        <v>19098.46875</v>
      </c>
      <c r="O19" s="468">
        <f>N19/N14</f>
        <v>0.35590593825887945</v>
      </c>
      <c r="P19"/>
      <c r="Q19" s="907">
        <f>' Total des coûts de MO'!Q23</f>
        <v>22859.287499999999</v>
      </c>
      <c r="R19" s="468">
        <f>Q19/Q14</f>
        <v>0.34531884640876465</v>
      </c>
      <c r="S19"/>
      <c r="T19" s="907">
        <f>' Total des coûts de MO'!T23</f>
        <v>26620.106250000004</v>
      </c>
      <c r="U19" s="468">
        <f>T19/T14</f>
        <v>0.33810313088663602</v>
      </c>
      <c r="V19"/>
      <c r="W19" s="907">
        <f>' Total des coûts de MO'!W23</f>
        <v>31419.451500000006</v>
      </c>
      <c r="X19" s="468">
        <f>W19/W14</f>
        <v>0.33166845074402651</v>
      </c>
      <c r="Y19"/>
      <c r="Z19" s="907">
        <f>' Total des coûts de MO'!Z23</f>
        <v>35380.507500000007</v>
      </c>
      <c r="AA19" s="468">
        <f>Z19/Z14</f>
        <v>0.32779449951487016</v>
      </c>
      <c r="AB19"/>
      <c r="AC19" s="907">
        <f>' Total des coûts de MO'!AC23</f>
        <v>35380.507500000007</v>
      </c>
      <c r="AD19" s="468">
        <f>AC19/AC14</f>
        <v>0.32779449951487016</v>
      </c>
      <c r="AE19"/>
      <c r="AF19" s="907">
        <f>' Total des coûts de MO'!AF23</f>
        <v>36619.271250000005</v>
      </c>
      <c r="AG19" s="468">
        <f>AF19/AF14</f>
        <v>0.3267703601695412</v>
      </c>
      <c r="AH19"/>
      <c r="AI19" s="907">
        <f>' Total des coûts de MO'!AI23</f>
        <v>36619.271250000005</v>
      </c>
      <c r="AJ19" s="468">
        <f>AI19/AI14</f>
        <v>0.3267703601695412</v>
      </c>
      <c r="AK19"/>
      <c r="AL19" s="907">
        <f>' Total des coûts de MO'!AL23</f>
        <v>32559.254999999997</v>
      </c>
      <c r="AM19" s="468">
        <f>AL19/AL14</f>
        <v>0.33044731675409278</v>
      </c>
      <c r="AN19"/>
      <c r="AO19" s="907">
        <f>' Total des coûts de MO'!AO23</f>
        <v>33648.42</v>
      </c>
      <c r="AP19" s="468">
        <f>AO19/AO14</f>
        <v>0.32936529843952805</v>
      </c>
      <c r="AQ19"/>
      <c r="AR19" s="1039">
        <f>' Total des coûts de MO'!AR23</f>
        <v>347522.74650000007</v>
      </c>
      <c r="AS19" s="1040">
        <f>AR19/AR14</f>
        <v>0.33792264957034546</v>
      </c>
      <c r="AT19"/>
      <c r="AU19" s="1049">
        <f>+AU21/AX19</f>
        <v>163093.88228648866</v>
      </c>
      <c r="AV19" s="698">
        <v>0.27689999999999998</v>
      </c>
      <c r="AW19"/>
      <c r="AX19" s="1011">
        <f>1+AX20</f>
        <v>1.1534396052302722</v>
      </c>
      <c r="AZ19" s="388" t="s">
        <v>22</v>
      </c>
      <c r="BA19" s="697">
        <v>569724</v>
      </c>
      <c r="BB19" s="698">
        <f>+BA19/BA22</f>
        <v>8.3996229838326233E-2</v>
      </c>
    </row>
    <row r="20" spans="3:54" ht="16" customHeight="1" thickTop="1" thickBot="1" x14ac:dyDescent="0.25">
      <c r="C20" s="998" t="s">
        <v>368</v>
      </c>
      <c r="D20"/>
      <c r="E20" s="907">
        <f>' Total des coûts de MO'!E36</f>
        <v>1658.4890600000001</v>
      </c>
      <c r="F20" s="468">
        <f>E20/E14</f>
        <v>6.0413703091191234E-2</v>
      </c>
      <c r="G20"/>
      <c r="H20" s="907">
        <f>' Total des coûts de MO'!H36</f>
        <v>1658.4890600000001</v>
      </c>
      <c r="I20" s="468">
        <f>H20/H14</f>
        <v>6.0413703091191234E-2</v>
      </c>
      <c r="J20"/>
      <c r="K20" s="907">
        <f>' Total des coûts de MO'!K36</f>
        <v>2227.8580800000004</v>
      </c>
      <c r="L20" s="468">
        <f>K20/K14</f>
        <v>5.6416324298043038E-2</v>
      </c>
      <c r="M20"/>
      <c r="N20" s="907">
        <f>' Total des coûts de MO'!N36</f>
        <v>2898.1919062499996</v>
      </c>
      <c r="O20" s="468">
        <f>N20/N14</f>
        <v>5.4008712591065523E-2</v>
      </c>
      <c r="P20"/>
      <c r="Q20" s="907">
        <f>' Total des coûts de MO'!Q36</f>
        <v>3491.1476625</v>
      </c>
      <c r="R20" s="468">
        <f>Q20/Q14</f>
        <v>5.2738261569051759E-2</v>
      </c>
      <c r="S20"/>
      <c r="T20" s="907">
        <f>' Total des coûts de MO'!T36</f>
        <v>4084.1034187500009</v>
      </c>
      <c r="U20" s="468">
        <f>T20/T14</f>
        <v>5.1872375706396329E-2</v>
      </c>
      <c r="V20"/>
      <c r="W20" s="907">
        <f>' Total des coûts de MO'!W36</f>
        <v>4840.8001865000006</v>
      </c>
      <c r="X20" s="468">
        <f>W20/W14</f>
        <v>5.1100214089283176E-2</v>
      </c>
      <c r="Y20"/>
      <c r="Z20" s="907">
        <f>' Total des coûts de MO'!Z36</f>
        <v>5465.326682500001</v>
      </c>
      <c r="AA20" s="468">
        <f>Z20/Z14</f>
        <v>5.0635339941784416E-2</v>
      </c>
      <c r="AB20"/>
      <c r="AC20" s="907">
        <f>' Total des coûts de MO'!AC36</f>
        <v>5465.326682500001</v>
      </c>
      <c r="AD20" s="468">
        <f>AC20/AC14</f>
        <v>5.0635339941784416E-2</v>
      </c>
      <c r="AE20"/>
      <c r="AF20" s="907">
        <f>' Total des coûts de MO'!AF36</f>
        <v>5660.6384337500012</v>
      </c>
      <c r="AG20" s="468">
        <f>AF20/AF14</f>
        <v>5.0512443220344948E-2</v>
      </c>
      <c r="AH20"/>
      <c r="AI20" s="907">
        <f>' Total des coûts de MO'!AI36</f>
        <v>5660.6384337500012</v>
      </c>
      <c r="AJ20" s="468">
        <f>AI20/AI14</f>
        <v>5.0512443220344948E-2</v>
      </c>
      <c r="AK20"/>
      <c r="AL20" s="907">
        <f>' Total des coûts de MO'!AL36</f>
        <v>5020.5092049999994</v>
      </c>
      <c r="AM20" s="468">
        <f>AL20/AL14</f>
        <v>5.0953678010491131E-2</v>
      </c>
      <c r="AN20"/>
      <c r="AO20" s="907">
        <f>' Total des coûts de MO'!AO36</f>
        <v>5192.2342199999994</v>
      </c>
      <c r="AP20" s="468">
        <f>AO20/AO14</f>
        <v>5.0823835812743363E-2</v>
      </c>
      <c r="AQ20"/>
      <c r="AR20" s="1042">
        <f>+' Total des coûts de MO'!AR36</f>
        <v>53323.753031500019</v>
      </c>
      <c r="AS20" s="1040">
        <f>AR20/AR14</f>
        <v>5.1850717948441469E-2</v>
      </c>
      <c r="AT20"/>
      <c r="AU20" s="1050">
        <f>+AX20*AU19</f>
        <v>25025.060913511326</v>
      </c>
      <c r="AV20" s="698">
        <v>3.7100000000000001E-2</v>
      </c>
      <c r="AW20" s="461"/>
      <c r="AX20" s="1012">
        <f>' Total des coûts de MO'!AR36/' Total des coûts de MO'!AR23</f>
        <v>0.15343960523027234</v>
      </c>
      <c r="AZ20" s="388" t="s">
        <v>148</v>
      </c>
      <c r="BA20" s="697">
        <v>538132</v>
      </c>
      <c r="BB20" s="698">
        <f>+BA20/BA22</f>
        <v>7.9338520328015277E-2</v>
      </c>
    </row>
    <row r="21" spans="3:54" ht="16" customHeight="1" thickTop="1" thickBot="1" x14ac:dyDescent="0.25">
      <c r="C21" s="1004" t="s">
        <v>369</v>
      </c>
      <c r="D21" s="993"/>
      <c r="E21" s="1005">
        <f>+E19+E20</f>
        <v>12894.14906</v>
      </c>
      <c r="F21" s="1006">
        <f>E21/E14</f>
        <v>0.46969456218445149</v>
      </c>
      <c r="G21" s="993"/>
      <c r="H21" s="1005">
        <f>+H19+H20</f>
        <v>12894.14906</v>
      </c>
      <c r="I21" s="1006">
        <f>H21/H14</f>
        <v>0.46969456218445149</v>
      </c>
      <c r="J21" s="993"/>
      <c r="K21" s="1005">
        <f>+K19+K20</f>
        <v>17074.738080000003</v>
      </c>
      <c r="L21" s="1006">
        <f>K21/K14</f>
        <v>0.43238569344840166</v>
      </c>
      <c r="M21" s="993"/>
      <c r="N21" s="1005">
        <f>+N19+N20</f>
        <v>21996.660656249998</v>
      </c>
      <c r="O21" s="1006">
        <f>N21/N14</f>
        <v>0.40991465084994494</v>
      </c>
      <c r="P21" s="993"/>
      <c r="Q21" s="1005">
        <f>+Q19+Q20</f>
        <v>26350.435162499998</v>
      </c>
      <c r="R21" s="1006">
        <f>Q21/Q14</f>
        <v>0.3980571079778164</v>
      </c>
      <c r="S21" s="993"/>
      <c r="T21" s="1005">
        <f>+T19+T20</f>
        <v>30704.209668750005</v>
      </c>
      <c r="U21" s="1006">
        <f>T21/T14</f>
        <v>0.38997550659303237</v>
      </c>
      <c r="V21" s="993"/>
      <c r="W21" s="1005">
        <f>+W19+W20</f>
        <v>36260.251686500007</v>
      </c>
      <c r="X21" s="1006">
        <f>W21/W14</f>
        <v>0.38276866483330968</v>
      </c>
      <c r="Y21" s="993"/>
      <c r="Z21" s="1005">
        <f>+Z19+Z20</f>
        <v>40845.83418250001</v>
      </c>
      <c r="AA21" s="1006">
        <f>Z21/Z14</f>
        <v>0.37842983945665459</v>
      </c>
      <c r="AB21" s="993"/>
      <c r="AC21" s="1005">
        <f>+AC19+AC20</f>
        <v>40845.83418250001</v>
      </c>
      <c r="AD21" s="1006">
        <f>AC21/AC14</f>
        <v>0.37842983945665459</v>
      </c>
      <c r="AE21" s="993"/>
      <c r="AF21" s="1005">
        <f>+AF19+AF20</f>
        <v>42279.909683750004</v>
      </c>
      <c r="AG21" s="1006">
        <f>AF21/AF14</f>
        <v>0.37728280338988612</v>
      </c>
      <c r="AH21" s="993"/>
      <c r="AI21" s="1005">
        <f>+AI19+AI20</f>
        <v>42279.909683750004</v>
      </c>
      <c r="AJ21" s="1006">
        <f>AI21/AI14</f>
        <v>0.37728280338988612</v>
      </c>
      <c r="AK21" s="993"/>
      <c r="AL21" s="1005">
        <f>+AL19+AL20</f>
        <v>37579.764204999999</v>
      </c>
      <c r="AM21" s="1006">
        <f>AL21/AL14</f>
        <v>0.38140099476458389</v>
      </c>
      <c r="AN21" s="993"/>
      <c r="AO21" s="1005">
        <f>+AO19+AO20</f>
        <v>38840.654219999997</v>
      </c>
      <c r="AP21" s="1006">
        <f>AO21/AO14</f>
        <v>0.38018913425227141</v>
      </c>
      <c r="AQ21" s="993"/>
      <c r="AR21" s="1035">
        <f>+AR19+AR20</f>
        <v>400846.4995315001</v>
      </c>
      <c r="AS21" s="1036">
        <f>AR21/AR14</f>
        <v>0.38977336751878694</v>
      </c>
      <c r="AT21"/>
      <c r="AU21" s="1051">
        <f>+AV21*AU14</f>
        <v>188118.94319999998</v>
      </c>
      <c r="AV21" s="1046">
        <v>0.36</v>
      </c>
      <c r="AW21"/>
      <c r="AX21"/>
      <c r="AZ21" s="388" t="s">
        <v>149</v>
      </c>
      <c r="BA21" s="697">
        <v>607558</v>
      </c>
      <c r="BB21" s="698">
        <f>+BA21/BA22</f>
        <v>8.9574217354567845E-2</v>
      </c>
    </row>
    <row r="22" spans="3:54" ht="16" customHeight="1" thickTop="1" thickBot="1" x14ac:dyDescent="0.25">
      <c r="C22" s="998"/>
      <c r="D22"/>
      <c r="E22" s="465"/>
      <c r="F22" s="467"/>
      <c r="G22"/>
      <c r="H22" s="465"/>
      <c r="I22" s="467"/>
      <c r="J22"/>
      <c r="K22" s="465"/>
      <c r="L22" s="467"/>
      <c r="M22"/>
      <c r="N22" s="465"/>
      <c r="O22" s="467"/>
      <c r="P22"/>
      <c r="Q22" s="465"/>
      <c r="R22" s="467"/>
      <c r="S22"/>
      <c r="T22" s="465"/>
      <c r="U22" s="467"/>
      <c r="V22"/>
      <c r="W22" s="465"/>
      <c r="X22" s="467"/>
      <c r="Y22"/>
      <c r="Z22" s="465"/>
      <c r="AA22" s="467"/>
      <c r="AB22"/>
      <c r="AC22" s="465"/>
      <c r="AD22" s="467"/>
      <c r="AE22"/>
      <c r="AF22" s="465"/>
      <c r="AG22" s="467"/>
      <c r="AH22"/>
      <c r="AI22" s="465"/>
      <c r="AJ22" s="467"/>
      <c r="AK22"/>
      <c r="AL22" s="465"/>
      <c r="AM22" s="467"/>
      <c r="AN22"/>
      <c r="AO22" s="465"/>
      <c r="AP22" s="467"/>
      <c r="AQ22"/>
      <c r="AR22" s="1037"/>
      <c r="AS22" s="1038"/>
      <c r="AT22"/>
      <c r="AU22" s="1047"/>
      <c r="AV22" s="1048"/>
      <c r="AW22"/>
      <c r="AX22" s="1013" t="s">
        <v>1</v>
      </c>
      <c r="AZ22" s="388" t="s">
        <v>9</v>
      </c>
      <c r="BA22" s="699">
        <f>+SUM(BA10:BA21)</f>
        <v>6782733</v>
      </c>
      <c r="BB22" s="700">
        <f>+SUM(BB10:BB21)</f>
        <v>1.0000000000000002</v>
      </c>
    </row>
    <row r="23" spans="3:54" ht="16" customHeight="1" thickTop="1" thickBot="1" x14ac:dyDescent="0.2">
      <c r="C23" s="1004" t="s">
        <v>370</v>
      </c>
      <c r="D23" s="993"/>
      <c r="E23" s="1005">
        <f>+E16+E21</f>
        <v>22110.924060000001</v>
      </c>
      <c r="F23" s="1006">
        <f>E23/E14</f>
        <v>0.80543359220754618</v>
      </c>
      <c r="G23" s="993"/>
      <c r="H23" s="1005">
        <f>+H16+H21</f>
        <v>22110.924060000001</v>
      </c>
      <c r="I23" s="1006">
        <f>H23/H14</f>
        <v>0.80543359220754618</v>
      </c>
      <c r="J23" s="993"/>
      <c r="K23" s="1005">
        <f>+K16+K21</f>
        <v>30332.938080000004</v>
      </c>
      <c r="L23" s="1006">
        <f>K23/K14</f>
        <v>0.76812472347149641</v>
      </c>
      <c r="M23" s="993"/>
      <c r="N23" s="1005">
        <f>+N16+N21</f>
        <v>39940.373156249996</v>
      </c>
      <c r="O23" s="1006">
        <f>N23/N14</f>
        <v>0.74430134523663927</v>
      </c>
      <c r="P23" s="993"/>
      <c r="Q23" s="1005">
        <f>+Q16+Q21</f>
        <v>48486.040162499994</v>
      </c>
      <c r="R23" s="1006">
        <f>Q23/Q14</f>
        <v>0.73244380236451068</v>
      </c>
      <c r="S23" s="993"/>
      <c r="T23" s="1005">
        <f>+T16+T21</f>
        <v>57031.707168749999</v>
      </c>
      <c r="U23" s="1006">
        <f>T23/T14</f>
        <v>0.72436220097972659</v>
      </c>
      <c r="V23" s="993"/>
      <c r="W23" s="1005">
        <f>+W16+W21</f>
        <v>67818.899686500008</v>
      </c>
      <c r="X23" s="1006">
        <f>W23/W14</f>
        <v>0.71590649474533308</v>
      </c>
      <c r="Y23" s="993"/>
      <c r="Z23" s="1005">
        <f>+Z16+Z21</f>
        <v>76803.074182500015</v>
      </c>
      <c r="AA23" s="1006">
        <f>Z23/Z14</f>
        <v>0.71156766936867799</v>
      </c>
      <c r="AB23" s="993"/>
      <c r="AC23" s="1005">
        <f>+AC16+AC21</f>
        <v>76803.074182500015</v>
      </c>
      <c r="AD23" s="1006">
        <f>AC23/AC14</f>
        <v>0.71156766936867799</v>
      </c>
      <c r="AE23" s="993"/>
      <c r="AF23" s="1005">
        <f>+AF16+AF21</f>
        <v>79483.107183750006</v>
      </c>
      <c r="AG23" s="1006">
        <f>AF23/AF14</f>
        <v>0.70926380223441043</v>
      </c>
      <c r="AH23" s="993"/>
      <c r="AI23" s="1005">
        <f>+AI16+AI21</f>
        <v>79483.107183750006</v>
      </c>
      <c r="AJ23" s="1006">
        <f>AI23/AI14</f>
        <v>0.70926380223441043</v>
      </c>
      <c r="AK23" s="993"/>
      <c r="AL23" s="1005">
        <f>+AL16+AL21</f>
        <v>70290.134204999995</v>
      </c>
      <c r="AM23" s="1006">
        <f>AL23/AL14</f>
        <v>0.71338199360910826</v>
      </c>
      <c r="AN23" s="993"/>
      <c r="AO23" s="1005">
        <f>+AO16+AO21</f>
        <v>72646.514219999983</v>
      </c>
      <c r="AP23" s="1006">
        <f>AO23/AO14</f>
        <v>0.71109552355390571</v>
      </c>
      <c r="AQ23" s="993"/>
      <c r="AR23" s="1035">
        <f>+AR16+AR21</f>
        <v>743340.81753150013</v>
      </c>
      <c r="AS23" s="1036">
        <f>AR23/AR14</f>
        <v>0.72280649575849043</v>
      </c>
      <c r="AT23" s="993"/>
      <c r="AU23" s="1052">
        <f>+AU16+AU21</f>
        <v>377282.99163999996</v>
      </c>
      <c r="AV23" s="1053">
        <f>AU23/AU14</f>
        <v>0.72199999999999998</v>
      </c>
      <c r="AW23"/>
      <c r="AX23"/>
      <c r="AZ23"/>
      <c r="BA23"/>
      <c r="BB23"/>
    </row>
    <row r="24" spans="3:54" ht="16" customHeight="1" thickBot="1" x14ac:dyDescent="0.4">
      <c r="C24" s="998"/>
      <c r="D24"/>
      <c r="E24" s="465"/>
      <c r="F24" s="467"/>
      <c r="G24"/>
      <c r="H24" s="465"/>
      <c r="I24" s="467"/>
      <c r="J24"/>
      <c r="K24" s="465"/>
      <c r="L24" s="467"/>
      <c r="M24"/>
      <c r="N24" s="465"/>
      <c r="O24" s="467"/>
      <c r="P24"/>
      <c r="Q24" s="465"/>
      <c r="R24" s="467"/>
      <c r="S24"/>
      <c r="T24" s="465"/>
      <c r="U24" s="467"/>
      <c r="V24"/>
      <c r="W24" s="465"/>
      <c r="X24" s="467"/>
      <c r="Y24"/>
      <c r="Z24" s="465"/>
      <c r="AA24" s="467"/>
      <c r="AB24"/>
      <c r="AC24" s="465"/>
      <c r="AD24" s="467"/>
      <c r="AE24"/>
      <c r="AF24" s="465"/>
      <c r="AG24" s="467"/>
      <c r="AH24"/>
      <c r="AI24" s="465"/>
      <c r="AJ24" s="467"/>
      <c r="AK24"/>
      <c r="AL24" s="465"/>
      <c r="AM24" s="467"/>
      <c r="AN24"/>
      <c r="AO24" s="465"/>
      <c r="AP24" s="467"/>
      <c r="AQ24"/>
      <c r="AR24" s="1037"/>
      <c r="AS24" s="1038"/>
      <c r="AT24"/>
      <c r="AU24" s="1047"/>
      <c r="AV24" s="1048"/>
      <c r="AW24"/>
      <c r="AX24"/>
      <c r="AZ24" s="389" t="s">
        <v>150</v>
      </c>
      <c r="BA24" s="390">
        <f>+BA22/12</f>
        <v>565227.75</v>
      </c>
      <c r="BB24" s="391">
        <f>BA24/BA22</f>
        <v>8.3333333333333329E-2</v>
      </c>
    </row>
    <row r="25" spans="3:54" ht="16" customHeight="1" thickTop="1" thickBot="1" x14ac:dyDescent="0.2">
      <c r="C25" s="1001" t="s">
        <v>371</v>
      </c>
      <c r="D25" s="995"/>
      <c r="E25" s="1003">
        <f>+E14-E23</f>
        <v>5341.2759399999995</v>
      </c>
      <c r="F25" s="1002">
        <f>E25/E14</f>
        <v>0.19456640779245377</v>
      </c>
      <c r="G25" s="995"/>
      <c r="H25" s="1003">
        <f>+H14-H23</f>
        <v>5341.2759399999995</v>
      </c>
      <c r="I25" s="1002">
        <f>H25/H14</f>
        <v>0.19456640779245377</v>
      </c>
      <c r="J25" s="995"/>
      <c r="K25" s="1003">
        <f>+K14-K23</f>
        <v>9156.661919999995</v>
      </c>
      <c r="L25" s="1002">
        <f>K25/K14</f>
        <v>0.23187527652850359</v>
      </c>
      <c r="M25" s="995"/>
      <c r="N25" s="1003">
        <f>+N14-N23</f>
        <v>13721.189343750004</v>
      </c>
      <c r="O25" s="1002">
        <f>N25/N14</f>
        <v>0.25569865476336073</v>
      </c>
      <c r="P25" s="995"/>
      <c r="Q25" s="1003">
        <f>+Q14-Q23</f>
        <v>17711.584837500006</v>
      </c>
      <c r="R25" s="1002">
        <f>Q25/Q14</f>
        <v>0.26755619763548927</v>
      </c>
      <c r="S25" s="995"/>
      <c r="T25" s="1003">
        <f>+T14-T23</f>
        <v>21701.980331250015</v>
      </c>
      <c r="U25" s="1002">
        <f>T25/T14</f>
        <v>0.27563779902027341</v>
      </c>
      <c r="V25" s="994"/>
      <c r="W25" s="1003">
        <f>+W14-W23</f>
        <v>26912.605313500011</v>
      </c>
      <c r="X25" s="1002">
        <f>W25/W14</f>
        <v>0.28409350525466692</v>
      </c>
      <c r="Y25" s="994"/>
      <c r="Z25" s="1003">
        <f>+Z14-Z23</f>
        <v>31131.950817500008</v>
      </c>
      <c r="AA25" s="1002">
        <f>Z25/Z14</f>
        <v>0.28843233063132195</v>
      </c>
      <c r="AB25" s="994"/>
      <c r="AC25" s="1003">
        <f>+AC14-AC23</f>
        <v>31131.950817500008</v>
      </c>
      <c r="AD25" s="1002">
        <f>AC25/AC14</f>
        <v>0.28843233063132195</v>
      </c>
      <c r="AE25" s="994"/>
      <c r="AF25" s="1003">
        <f>+AF14-AF23</f>
        <v>32581.130316249997</v>
      </c>
      <c r="AG25" s="1002">
        <f>AF25/AF14</f>
        <v>0.29073619776558957</v>
      </c>
      <c r="AH25" s="994"/>
      <c r="AI25" s="1003">
        <f>+AI14-AI23</f>
        <v>32581.130316249997</v>
      </c>
      <c r="AJ25" s="1002">
        <f>AI25/AI14</f>
        <v>0.29073619776558957</v>
      </c>
      <c r="AK25" s="994"/>
      <c r="AL25" s="1003">
        <f>+AL14-AL23</f>
        <v>28240.715794999996</v>
      </c>
      <c r="AM25" s="1002">
        <f>AL25/AL14</f>
        <v>0.2866180063908918</v>
      </c>
      <c r="AN25" s="994"/>
      <c r="AO25" s="1003">
        <f>+AO14-AO23</f>
        <v>29514.885780000011</v>
      </c>
      <c r="AP25" s="1002">
        <f>AO25/AO14</f>
        <v>0.28890447644609424</v>
      </c>
      <c r="AQ25" s="994"/>
      <c r="AR25" s="1003">
        <f>+AR14-AR23</f>
        <v>285068.33746849978</v>
      </c>
      <c r="AS25" s="1002">
        <f>AR25/AR14</f>
        <v>0.27719350424150963</v>
      </c>
      <c r="AT25" s="994"/>
      <c r="AU25" s="1003">
        <f>+AU14-AU23</f>
        <v>145269.62836000003</v>
      </c>
      <c r="AV25" s="1002">
        <f>AU25/AU14</f>
        <v>0.27800000000000008</v>
      </c>
      <c r="AW25" s="995"/>
      <c r="AX25" s="995"/>
      <c r="AY25" s="377"/>
      <c r="AZ25" s="377"/>
      <c r="BA25" s="377"/>
      <c r="BB25" s="377"/>
    </row>
    <row r="26" spans="3:54" ht="14" thickTop="1" x14ac:dyDescent="0.15">
      <c r="C26" s="998"/>
      <c r="D26"/>
      <c r="E26" s="465"/>
      <c r="F26" s="467"/>
      <c r="G26"/>
      <c r="H26" s="465"/>
      <c r="I26" s="467"/>
      <c r="J26"/>
      <c r="K26" s="465"/>
      <c r="L26" s="467"/>
      <c r="M26"/>
      <c r="N26" s="465"/>
      <c r="O26" s="467"/>
      <c r="P26"/>
      <c r="Q26" s="465"/>
      <c r="R26" s="467"/>
      <c r="S26"/>
      <c r="T26" s="465"/>
      <c r="U26" s="467"/>
      <c r="V26"/>
      <c r="W26" s="465"/>
      <c r="X26" s="467"/>
      <c r="Y26"/>
      <c r="Z26" s="465"/>
      <c r="AA26" s="467"/>
      <c r="AB26"/>
      <c r="AC26" s="465"/>
      <c r="AD26" s="467"/>
      <c r="AE26"/>
      <c r="AF26" s="465"/>
      <c r="AG26" s="467"/>
      <c r="AH26"/>
      <c r="AI26" s="465"/>
      <c r="AJ26" s="467"/>
      <c r="AK26"/>
      <c r="AL26" s="465"/>
      <c r="AM26" s="467"/>
      <c r="AN26"/>
      <c r="AO26" s="465"/>
      <c r="AP26" s="467"/>
      <c r="AQ26"/>
      <c r="AR26" s="1037"/>
      <c r="AS26" s="1038"/>
      <c r="AT26"/>
      <c r="AU26" s="1047"/>
      <c r="AV26" s="1048"/>
      <c r="AW26"/>
      <c r="AX26"/>
    </row>
    <row r="27" spans="3:54" x14ac:dyDescent="0.15">
      <c r="C27" s="998" t="s">
        <v>372</v>
      </c>
      <c r="D27"/>
      <c r="E27" s="907">
        <f>'Coût d''occupation '!E26</f>
        <v>4702.8901538461541</v>
      </c>
      <c r="F27" s="468">
        <f>E27/E$14</f>
        <v>0.17131195874451424</v>
      </c>
      <c r="G27"/>
      <c r="H27" s="907">
        <f>'Coût d''occupation '!H26</f>
        <v>4702.8901538461541</v>
      </c>
      <c r="I27" s="468">
        <f>H27/H$14</f>
        <v>0.17131195874451424</v>
      </c>
      <c r="J27"/>
      <c r="K27" s="907">
        <f>'Coût d''occupation '!K26</f>
        <v>4943.6381538461537</v>
      </c>
      <c r="L27" s="468">
        <f>K27/K$14</f>
        <v>0.12518835728511188</v>
      </c>
      <c r="M27"/>
      <c r="N27" s="907">
        <f>'Coût d''occupation '!N26</f>
        <v>5227.077403846155</v>
      </c>
      <c r="O27" s="468">
        <f>N27/N$14</f>
        <v>9.740822220460231E-2</v>
      </c>
      <c r="P27"/>
      <c r="Q27" s="907">
        <f>'Coût d''occupation '!Q26</f>
        <v>5477.7986538461537</v>
      </c>
      <c r="R27" s="468">
        <f>Q27/Q$14</f>
        <v>8.2749171950597222E-2</v>
      </c>
      <c r="S27"/>
      <c r="T27" s="907">
        <f>'Coût d''occupation '!T26</f>
        <v>5728.5199038461542</v>
      </c>
      <c r="U27" s="468">
        <f>T27/T$14</f>
        <v>7.275818122764989E-2</v>
      </c>
      <c r="V27"/>
      <c r="W27" s="907">
        <f>'Coût d''occupation '!W26</f>
        <v>6048.4762538461546</v>
      </c>
      <c r="X27" s="468">
        <f>W27/W$14</f>
        <v>6.3848624107113602E-2</v>
      </c>
      <c r="Y27"/>
      <c r="Z27" s="907">
        <f>'Coût d''occupation '!Z26</f>
        <v>6312.5466538461551</v>
      </c>
      <c r="AA27" s="468">
        <f>Z27/Z$14</f>
        <v>5.8484691635974084E-2</v>
      </c>
      <c r="AB27"/>
      <c r="AC27" s="907">
        <f>'Coût d''occupation '!AC26</f>
        <v>6312.5466538461551</v>
      </c>
      <c r="AD27" s="468">
        <f>AC27/AC$14</f>
        <v>5.8484691635974084E-2</v>
      </c>
      <c r="AE27"/>
      <c r="AF27" s="907">
        <f>'Coût d''occupation '!AF26</f>
        <v>6395.130903846155</v>
      </c>
      <c r="AG27" s="468">
        <f>AF27/AF$14</f>
        <v>5.7066652542441608E-2</v>
      </c>
      <c r="AH27"/>
      <c r="AI27" s="907">
        <f>'Coût d''occupation '!AI26</f>
        <v>6395.130903846155</v>
      </c>
      <c r="AJ27" s="468">
        <f>AI27/AI$14</f>
        <v>5.7066652542441608E-2</v>
      </c>
      <c r="AK27"/>
      <c r="AL27" s="907">
        <f>'Coût d''occupation '!AL26</f>
        <v>6124.4631538461545</v>
      </c>
      <c r="AM27" s="468">
        <f>AL27/AL$14</f>
        <v>6.2157823197974596E-2</v>
      </c>
      <c r="AN27"/>
      <c r="AO27" s="907">
        <f>'Coût d''occupation '!AO26</f>
        <v>6197.0741538461534</v>
      </c>
      <c r="AP27" s="468">
        <f>AO27/AO$14</f>
        <v>6.0659643993192673E-2</v>
      </c>
      <c r="AQ27"/>
      <c r="AR27" s="1039">
        <f>+E27+H27+K27+N27+Q27+T27+W27+Z27+AC27+AF27+AI27+AL27+AO27</f>
        <v>74568.183100000024</v>
      </c>
      <c r="AS27" s="1040">
        <f>AR27/AR$14</f>
        <v>7.2508284020478236E-2</v>
      </c>
      <c r="AT27"/>
      <c r="AU27" s="1047" t="s">
        <v>373</v>
      </c>
      <c r="AV27" s="698">
        <v>0</v>
      </c>
      <c r="AW27"/>
      <c r="AX27"/>
    </row>
    <row r="28" spans="3:54" x14ac:dyDescent="0.15">
      <c r="C28" s="998" t="s">
        <v>374</v>
      </c>
      <c r="D28"/>
      <c r="E28" s="907">
        <f>'Coût direct d''exploitation '!E34</f>
        <v>337.26099999999997</v>
      </c>
      <c r="F28" s="468">
        <f t="shared" ref="F28:F33" si="1">E28/E$14</f>
        <v>1.2285390606217351E-2</v>
      </c>
      <c r="G28"/>
      <c r="H28" s="907">
        <f>'Coût direct d''exploitation '!H34</f>
        <v>337.26099999999997</v>
      </c>
      <c r="I28" s="468">
        <f t="shared" ref="I28:I33" si="2">H28/H$14</f>
        <v>1.2285390606217351E-2</v>
      </c>
      <c r="J28"/>
      <c r="K28" s="907">
        <f>'Coût direct d''exploitation '!K34</f>
        <v>397.44799999999998</v>
      </c>
      <c r="L28" s="468">
        <f t="shared" ref="L28:L33" si="3">K28/K$14</f>
        <v>1.0064624610023904E-2</v>
      </c>
      <c r="M28"/>
      <c r="N28" s="907">
        <f>'Coût direct d''exploitation '!N34</f>
        <v>468.30781250000001</v>
      </c>
      <c r="O28" s="468">
        <f t="shared" ref="O28:O33" si="4">N28/N$14</f>
        <v>8.7270625505919634E-3</v>
      </c>
      <c r="P28"/>
      <c r="Q28" s="907">
        <f>'Coût direct d''exploitation '!Q34</f>
        <v>530.98812500000008</v>
      </c>
      <c r="R28" s="468">
        <f t="shared" ref="R28:R33" si="5">Q28/Q$14</f>
        <v>8.0212564272509786E-3</v>
      </c>
      <c r="S28"/>
      <c r="T28" s="907">
        <f>'Coût direct d''exploitation '!T34</f>
        <v>593.6684375000001</v>
      </c>
      <c r="U28" s="468">
        <f t="shared" ref="U28:U33" si="6">T28/T$14</f>
        <v>7.540208725775736E-3</v>
      </c>
      <c r="V28"/>
      <c r="W28" s="907">
        <f>'Coût direct d''exploitation '!W34</f>
        <v>673.65752500000008</v>
      </c>
      <c r="X28" s="468">
        <f t="shared" ref="X28:X33" si="7">W28/W$14</f>
        <v>7.1112300496017659E-3</v>
      </c>
      <c r="Y28"/>
      <c r="Z28" s="907">
        <f>'Coût direct d''exploitation '!Z34</f>
        <v>739.67512500000009</v>
      </c>
      <c r="AA28" s="468">
        <f t="shared" ref="AA28:AA33" si="8">Z28/Z$14</f>
        <v>6.8529666343246773E-3</v>
      </c>
      <c r="AB28"/>
      <c r="AC28" s="907">
        <f>'Coût direct d''exploitation '!AC34</f>
        <v>739.67512500000009</v>
      </c>
      <c r="AD28" s="468">
        <f t="shared" ref="AD28:AD33" si="9">AC28/AC$14</f>
        <v>6.8529666343246773E-3</v>
      </c>
      <c r="AE28"/>
      <c r="AF28" s="907">
        <f>'Coût direct d''exploitation '!AF34</f>
        <v>760.32118750000006</v>
      </c>
      <c r="AG28" s="468">
        <f t="shared" ref="AG28:AG33" si="10">AF28/AF$14</f>
        <v>6.784690677969411E-3</v>
      </c>
      <c r="AH28"/>
      <c r="AI28" s="907">
        <f>'Coût direct d''exploitation '!AI34</f>
        <v>760.32118750000006</v>
      </c>
      <c r="AJ28" s="468">
        <f t="shared" ref="AJ28:AJ32" si="11">AI28/AI$14</f>
        <v>6.784690677969411E-3</v>
      </c>
      <c r="AK28"/>
      <c r="AL28" s="907">
        <f>'Coût direct d''exploitation '!AL34</f>
        <v>692.65425000000005</v>
      </c>
      <c r="AM28" s="468">
        <f t="shared" ref="AM28:AM33" si="12">AL28/AL$14</f>
        <v>7.0298211169395183E-3</v>
      </c>
      <c r="AN28"/>
      <c r="AO28" s="907">
        <f>'Coût direct d''exploitation '!AO34</f>
        <v>710.80700000000002</v>
      </c>
      <c r="AP28" s="468">
        <f t="shared" ref="AP28:AP33" si="13">AO28/AO$14</f>
        <v>6.9576865626352034E-3</v>
      </c>
      <c r="AQ28"/>
      <c r="AR28" s="1039">
        <f t="shared" ref="AR28:AR33" si="14">+E28+H28+K28+N28+Q28+T28+W28+Z28+AC28+AF28+AI28+AL28+AO28</f>
        <v>7742.0457749999996</v>
      </c>
      <c r="AS28" s="1040">
        <f t="shared" ref="AS28:AS33" si="15">AR28/AR$14</f>
        <v>7.5281766380230252E-3</v>
      </c>
      <c r="AT28"/>
      <c r="AU28" s="1047" t="s">
        <v>373</v>
      </c>
      <c r="AV28" s="698">
        <v>0</v>
      </c>
      <c r="AW28"/>
      <c r="AX28"/>
    </row>
    <row r="29" spans="3:54" x14ac:dyDescent="0.15">
      <c r="C29" s="998" t="s">
        <v>375</v>
      </c>
      <c r="D29"/>
      <c r="E29" s="907">
        <f>'Musique &amp; Divertissement'!E24</f>
        <v>100</v>
      </c>
      <c r="F29" s="468">
        <f t="shared" si="1"/>
        <v>3.6426953031086762E-3</v>
      </c>
      <c r="G29"/>
      <c r="H29" s="907">
        <f>'Musique &amp; Divertissement'!H24</f>
        <v>100</v>
      </c>
      <c r="I29" s="468">
        <f t="shared" si="2"/>
        <v>3.6426953031086762E-3</v>
      </c>
      <c r="J29"/>
      <c r="K29" s="907">
        <f>'Musique &amp; Divertissement'!K24</f>
        <v>100</v>
      </c>
      <c r="L29" s="468">
        <f t="shared" si="3"/>
        <v>2.5323123050119524E-3</v>
      </c>
      <c r="M29"/>
      <c r="N29" s="907">
        <f>'Musique &amp; Divertissement'!N24</f>
        <v>100</v>
      </c>
      <c r="O29" s="468">
        <f t="shared" si="4"/>
        <v>1.8635312752959812E-3</v>
      </c>
      <c r="P29"/>
      <c r="Q29" s="907">
        <f>'Musique &amp; Divertissement'!Q24</f>
        <v>100</v>
      </c>
      <c r="R29" s="468">
        <f t="shared" si="5"/>
        <v>1.5106282136254888E-3</v>
      </c>
      <c r="S29"/>
      <c r="T29" s="907">
        <f>'Musique &amp; Divertissement'!T24</f>
        <v>100</v>
      </c>
      <c r="U29" s="468">
        <f t="shared" si="6"/>
        <v>1.2701043628878677E-3</v>
      </c>
      <c r="V29"/>
      <c r="W29" s="907">
        <f>'Musique &amp; Divertissement'!W24</f>
        <v>100</v>
      </c>
      <c r="X29" s="468">
        <f t="shared" si="7"/>
        <v>1.0556150248008831E-3</v>
      </c>
      <c r="Y29"/>
      <c r="Z29" s="907">
        <f>'Musique &amp; Divertissement'!Z24</f>
        <v>100</v>
      </c>
      <c r="AA29" s="468">
        <f t="shared" si="8"/>
        <v>9.264833171623389E-4</v>
      </c>
      <c r="AB29"/>
      <c r="AC29" s="907">
        <f>'Musique &amp; Divertissement'!AC24</f>
        <v>100</v>
      </c>
      <c r="AD29" s="468">
        <f t="shared" si="9"/>
        <v>9.264833171623389E-4</v>
      </c>
      <c r="AE29"/>
      <c r="AF29" s="907">
        <f>'Musique &amp; Divertissement'!AF24</f>
        <v>100</v>
      </c>
      <c r="AG29" s="468">
        <f t="shared" si="10"/>
        <v>8.9234533898470512E-4</v>
      </c>
      <c r="AH29"/>
      <c r="AI29" s="907">
        <f>'Musique &amp; Divertissement'!AI24</f>
        <v>100</v>
      </c>
      <c r="AJ29" s="468">
        <f t="shared" si="11"/>
        <v>8.9234533898470512E-4</v>
      </c>
      <c r="AK29"/>
      <c r="AL29" s="907">
        <f>'Musique &amp; Divertissement'!AL24</f>
        <v>100</v>
      </c>
      <c r="AM29" s="468">
        <f t="shared" si="12"/>
        <v>1.0149105584697584E-3</v>
      </c>
      <c r="AN29"/>
      <c r="AO29" s="907">
        <f>'Musique &amp; Divertissement'!AO24</f>
        <v>100</v>
      </c>
      <c r="AP29" s="468">
        <f t="shared" si="13"/>
        <v>9.7884328131760145E-4</v>
      </c>
      <c r="AQ29"/>
      <c r="AR29" s="1039">
        <f t="shared" si="14"/>
        <v>1300</v>
      </c>
      <c r="AS29" s="1040">
        <f t="shared" si="15"/>
        <v>1.2640883190115125E-3</v>
      </c>
      <c r="AT29"/>
      <c r="AU29" s="1047" t="s">
        <v>373</v>
      </c>
      <c r="AV29" s="698">
        <v>0</v>
      </c>
      <c r="AW29"/>
      <c r="AX29"/>
    </row>
    <row r="30" spans="3:54" x14ac:dyDescent="0.15">
      <c r="C30" s="998" t="s">
        <v>376</v>
      </c>
      <c r="D30"/>
      <c r="E30" s="907">
        <f>'Mark &amp; Communication marketing'!E25</f>
        <v>1372.6100000000001</v>
      </c>
      <c r="F30" s="468">
        <f t="shared" si="1"/>
        <v>0.05</v>
      </c>
      <c r="G30"/>
      <c r="H30" s="907">
        <f>'Mark &amp; Communication marketing'!H25</f>
        <v>1372.6100000000001</v>
      </c>
      <c r="I30" s="468">
        <f t="shared" si="2"/>
        <v>0.05</v>
      </c>
      <c r="J30"/>
      <c r="K30" s="907">
        <f>'Mark &amp; Communication marketing'!K25</f>
        <v>1974.48</v>
      </c>
      <c r="L30" s="468">
        <f t="shared" si="3"/>
        <v>0.05</v>
      </c>
      <c r="M30"/>
      <c r="N30" s="907">
        <f>'Mark &amp; Communication marketing'!N25</f>
        <v>2683.078125</v>
      </c>
      <c r="O30" s="468">
        <f t="shared" si="4"/>
        <v>0.05</v>
      </c>
      <c r="P30"/>
      <c r="Q30" s="907">
        <f>'Mark &amp; Communication marketing'!Q25</f>
        <v>3309.8812500000004</v>
      </c>
      <c r="R30" s="468">
        <f t="shared" si="5"/>
        <v>0.05</v>
      </c>
      <c r="S30"/>
      <c r="T30" s="907">
        <f>'Mark &amp; Communication marketing'!T25</f>
        <v>3936.6843750000007</v>
      </c>
      <c r="U30" s="468">
        <f t="shared" si="6"/>
        <v>0.05</v>
      </c>
      <c r="V30"/>
      <c r="W30" s="907">
        <f>'Mark &amp; Communication marketing'!W25</f>
        <v>4736.5752500000008</v>
      </c>
      <c r="X30" s="468">
        <f t="shared" si="7"/>
        <v>4.9999999999999996E-2</v>
      </c>
      <c r="Y30"/>
      <c r="Z30" s="907">
        <f>'Mark &amp; Communication marketing'!Z25</f>
        <v>5396.7512500000012</v>
      </c>
      <c r="AA30" s="468">
        <f t="shared" si="8"/>
        <v>0.05</v>
      </c>
      <c r="AB30"/>
      <c r="AC30" s="907">
        <f>'Mark &amp; Communication marketing'!AC25</f>
        <v>5396.7512500000012</v>
      </c>
      <c r="AD30" s="468">
        <f t="shared" si="9"/>
        <v>0.05</v>
      </c>
      <c r="AE30"/>
      <c r="AF30" s="907">
        <f>'Mark &amp; Communication marketing'!AF25</f>
        <v>5603.2118750000009</v>
      </c>
      <c r="AG30" s="468">
        <f t="shared" si="10"/>
        <v>5.000000000000001E-2</v>
      </c>
      <c r="AH30"/>
      <c r="AI30" s="907">
        <f>'Mark &amp; Communication marketing'!AI25</f>
        <v>5603.2118750000009</v>
      </c>
      <c r="AJ30" s="468">
        <f t="shared" si="11"/>
        <v>5.000000000000001E-2</v>
      </c>
      <c r="AK30"/>
      <c r="AL30" s="907">
        <f>'Mark &amp; Communication marketing'!AL25</f>
        <v>4926.5424999999996</v>
      </c>
      <c r="AM30" s="468">
        <f t="shared" si="12"/>
        <v>0.05</v>
      </c>
      <c r="AN30"/>
      <c r="AO30" s="907">
        <f>'Mark &amp; Communication marketing'!AO25</f>
        <v>5108.07</v>
      </c>
      <c r="AP30" s="468">
        <f t="shared" si="13"/>
        <v>0.05</v>
      </c>
      <c r="AQ30"/>
      <c r="AR30" s="1039">
        <f t="shared" si="14"/>
        <v>51420.457750000009</v>
      </c>
      <c r="AS30" s="1040">
        <f t="shared" si="15"/>
        <v>5.000000000000001E-2</v>
      </c>
      <c r="AT30"/>
      <c r="AU30" s="1047" t="s">
        <v>373</v>
      </c>
      <c r="AV30" s="698">
        <v>0</v>
      </c>
      <c r="AW30"/>
      <c r="AX30"/>
    </row>
    <row r="31" spans="3:54" x14ac:dyDescent="0.15">
      <c r="C31" s="998" t="s">
        <v>377</v>
      </c>
      <c r="D31"/>
      <c r="E31" s="907">
        <f>'Services publics'!E23</f>
        <v>923.07692307692309</v>
      </c>
      <c r="F31" s="468">
        <f t="shared" si="1"/>
        <v>3.3624879721003163E-2</v>
      </c>
      <c r="G31"/>
      <c r="H31" s="907">
        <f>'Services publics'!H23</f>
        <v>923.07692307692309</v>
      </c>
      <c r="I31" s="468">
        <f t="shared" si="2"/>
        <v>3.3624879721003163E-2</v>
      </c>
      <c r="J31"/>
      <c r="K31" s="907">
        <f>'Services publics'!K23</f>
        <v>923.07692307692309</v>
      </c>
      <c r="L31" s="468">
        <f t="shared" si="3"/>
        <v>2.3375190507802641E-2</v>
      </c>
      <c r="M31"/>
      <c r="N31" s="907">
        <f>'Services publics'!N23</f>
        <v>923.07692307692309</v>
      </c>
      <c r="O31" s="468">
        <f t="shared" si="4"/>
        <v>1.7201827156578288E-2</v>
      </c>
      <c r="P31"/>
      <c r="Q31" s="907">
        <f>'Services publics'!Q23</f>
        <v>923.07692307692309</v>
      </c>
      <c r="R31" s="468">
        <f t="shared" si="5"/>
        <v>1.3944260433466051E-2</v>
      </c>
      <c r="S31"/>
      <c r="T31" s="907">
        <f>'Services publics'!T23</f>
        <v>923.07692307692309</v>
      </c>
      <c r="U31" s="468">
        <f t="shared" si="6"/>
        <v>1.1724040272811088E-2</v>
      </c>
      <c r="V31"/>
      <c r="W31" s="907">
        <f>'Services publics'!W23</f>
        <v>923.07692307692309</v>
      </c>
      <c r="X31" s="468">
        <f t="shared" si="7"/>
        <v>9.7441386904696895E-3</v>
      </c>
      <c r="Y31"/>
      <c r="Z31" s="907">
        <f>'Services publics'!Z23</f>
        <v>923.07692307692309</v>
      </c>
      <c r="AA31" s="468">
        <f t="shared" si="8"/>
        <v>8.5521536968831292E-3</v>
      </c>
      <c r="AB31"/>
      <c r="AC31" s="907">
        <f>'Services publics'!AC23</f>
        <v>923.07692307692309</v>
      </c>
      <c r="AD31" s="468">
        <f t="shared" si="9"/>
        <v>8.5521536968831292E-3</v>
      </c>
      <c r="AE31"/>
      <c r="AF31" s="907">
        <f>'Services publics'!AF23</f>
        <v>923.07692307692309</v>
      </c>
      <c r="AG31" s="468">
        <f t="shared" si="10"/>
        <v>8.2370338983203551E-3</v>
      </c>
      <c r="AH31"/>
      <c r="AI31" s="907">
        <f>'Services publics'!AI23</f>
        <v>923.07692307692309</v>
      </c>
      <c r="AJ31" s="468">
        <f t="shared" si="11"/>
        <v>8.2370338983203551E-3</v>
      </c>
      <c r="AK31"/>
      <c r="AL31" s="907">
        <f>'Services publics'!AL23</f>
        <v>923.07692307692309</v>
      </c>
      <c r="AM31" s="468">
        <f t="shared" si="12"/>
        <v>9.368405155105463E-3</v>
      </c>
      <c r="AN31"/>
      <c r="AO31" s="907">
        <f>'Services publics'!AO23</f>
        <v>923.07692307692309</v>
      </c>
      <c r="AP31" s="468">
        <f t="shared" si="13"/>
        <v>9.0354764429317058E-3</v>
      </c>
      <c r="AQ31"/>
      <c r="AR31" s="1039">
        <f t="shared" si="14"/>
        <v>12000.000000000002</v>
      </c>
      <c r="AS31" s="1040">
        <f t="shared" si="15"/>
        <v>1.1668507560106272E-2</v>
      </c>
      <c r="AT31"/>
      <c r="AU31" s="1047" t="s">
        <v>373</v>
      </c>
      <c r="AV31" s="698">
        <v>0</v>
      </c>
      <c r="AW31"/>
      <c r="AX31"/>
    </row>
    <row r="32" spans="3:54" x14ac:dyDescent="0.15">
      <c r="C32" s="998" t="s">
        <v>378</v>
      </c>
      <c r="D32"/>
      <c r="E32" s="907">
        <f>'Administration &amp; Frais généraux'!E29</f>
        <v>686.30500000000006</v>
      </c>
      <c r="F32" s="468">
        <f t="shared" si="1"/>
        <v>2.5000000000000001E-2</v>
      </c>
      <c r="G32"/>
      <c r="H32" s="907">
        <f>'Administration &amp; Frais généraux'!H29</f>
        <v>686.30500000000006</v>
      </c>
      <c r="I32" s="468">
        <f t="shared" si="2"/>
        <v>2.5000000000000001E-2</v>
      </c>
      <c r="J32"/>
      <c r="K32" s="907">
        <f>'Administration &amp; Frais généraux'!K29</f>
        <v>987.24</v>
      </c>
      <c r="L32" s="468">
        <f t="shared" si="3"/>
        <v>2.5000000000000001E-2</v>
      </c>
      <c r="M32"/>
      <c r="N32" s="907">
        <f>'Administration &amp; Frais généraux'!N29</f>
        <v>1341.5390625</v>
      </c>
      <c r="O32" s="468">
        <f t="shared" si="4"/>
        <v>2.5000000000000001E-2</v>
      </c>
      <c r="P32"/>
      <c r="Q32" s="907">
        <f>'Administration &amp; Frais généraux'!Q29</f>
        <v>1654.9406250000002</v>
      </c>
      <c r="R32" s="468">
        <f t="shared" si="5"/>
        <v>2.5000000000000001E-2</v>
      </c>
      <c r="S32"/>
      <c r="T32" s="907">
        <f>'Administration &amp; Frais généraux'!T29</f>
        <v>1968.3421875000004</v>
      </c>
      <c r="U32" s="468">
        <f t="shared" si="6"/>
        <v>2.5000000000000001E-2</v>
      </c>
      <c r="V32"/>
      <c r="W32" s="907">
        <f>'Administration &amp; Frais généraux'!W29</f>
        <v>2368.2876250000004</v>
      </c>
      <c r="X32" s="468">
        <f t="shared" si="7"/>
        <v>2.4999999999999998E-2</v>
      </c>
      <c r="Y32"/>
      <c r="Z32" s="907">
        <f>'Administration &amp; Frais généraux'!Z29</f>
        <v>2698.3756250000006</v>
      </c>
      <c r="AA32" s="468">
        <f t="shared" si="8"/>
        <v>2.5000000000000001E-2</v>
      </c>
      <c r="AB32"/>
      <c r="AC32" s="907">
        <f>'Administration &amp; Frais généraux'!AC29</f>
        <v>2698.3756250000006</v>
      </c>
      <c r="AD32" s="468">
        <f t="shared" si="9"/>
        <v>2.5000000000000001E-2</v>
      </c>
      <c r="AE32"/>
      <c r="AF32" s="907">
        <f>'Administration &amp; Frais généraux'!AF29</f>
        <v>2801.6059375000004</v>
      </c>
      <c r="AG32" s="468">
        <f t="shared" si="10"/>
        <v>2.5000000000000005E-2</v>
      </c>
      <c r="AH32"/>
      <c r="AI32" s="907">
        <f>'Administration &amp; Frais généraux'!AI29</f>
        <v>2801.6059375000004</v>
      </c>
      <c r="AJ32" s="468">
        <f t="shared" si="11"/>
        <v>2.5000000000000005E-2</v>
      </c>
      <c r="AK32"/>
      <c r="AL32" s="907">
        <f>'Administration &amp; Frais généraux'!AL29</f>
        <v>2463.2712499999998</v>
      </c>
      <c r="AM32" s="468">
        <f t="shared" si="12"/>
        <v>2.5000000000000001E-2</v>
      </c>
      <c r="AN32"/>
      <c r="AO32" s="907">
        <f>'Administration &amp; Frais généraux'!AO29</f>
        <v>2554.0349999999999</v>
      </c>
      <c r="AP32" s="468">
        <f t="shared" si="13"/>
        <v>2.5000000000000001E-2</v>
      </c>
      <c r="AQ32"/>
      <c r="AR32" s="1039">
        <f t="shared" si="14"/>
        <v>25710.228875000004</v>
      </c>
      <c r="AS32" s="1040">
        <f t="shared" si="15"/>
        <v>2.5000000000000005E-2</v>
      </c>
      <c r="AT32"/>
      <c r="AU32" s="1047" t="s">
        <v>373</v>
      </c>
      <c r="AV32" s="698">
        <v>0</v>
      </c>
      <c r="AW32"/>
      <c r="AX32"/>
    </row>
    <row r="33" spans="3:54" x14ac:dyDescent="0.15">
      <c r="C33" s="998" t="s">
        <v>379</v>
      </c>
      <c r="D33"/>
      <c r="E33" s="907">
        <f>'Entretien &amp; Réparation'!E31</f>
        <v>774.52199999999993</v>
      </c>
      <c r="F33" s="468">
        <f t="shared" si="1"/>
        <v>2.8213476515543377E-2</v>
      </c>
      <c r="G33"/>
      <c r="H33" s="907">
        <f>'Entretien &amp; Réparation'!H31</f>
        <v>774.52199999999993</v>
      </c>
      <c r="I33" s="468">
        <f t="shared" si="2"/>
        <v>2.8213476515543377E-2</v>
      </c>
      <c r="J33"/>
      <c r="K33" s="907">
        <f>'Entretien &amp; Réparation'!K31</f>
        <v>894.89599999999996</v>
      </c>
      <c r="L33" s="468">
        <f t="shared" si="3"/>
        <v>2.2661561525059763E-2</v>
      </c>
      <c r="M33"/>
      <c r="N33" s="907">
        <f>'Entretien &amp; Réparation'!N31</f>
        <v>1036.6156249999999</v>
      </c>
      <c r="O33" s="468">
        <f t="shared" si="4"/>
        <v>1.9317656376479905E-2</v>
      </c>
      <c r="P33"/>
      <c r="Q33" s="907">
        <f>'Entretien &amp; Réparation'!Q31</f>
        <v>1161.9762500000002</v>
      </c>
      <c r="R33" s="468">
        <f t="shared" si="5"/>
        <v>1.7553141068127446E-2</v>
      </c>
      <c r="S33"/>
      <c r="T33" s="907">
        <f>'Entretien &amp; Réparation'!T31</f>
        <v>1287.3368750000002</v>
      </c>
      <c r="U33" s="468">
        <f t="shared" si="6"/>
        <v>1.6350521814439339E-2</v>
      </c>
      <c r="V33"/>
      <c r="W33" s="907">
        <f>'Entretien &amp; Réparation'!W31</f>
        <v>1447.3150500000002</v>
      </c>
      <c r="X33" s="468">
        <f t="shared" si="7"/>
        <v>1.5278075124004415E-2</v>
      </c>
      <c r="Y33"/>
      <c r="Z33" s="907">
        <f>'Entretien &amp; Réparation'!Z31</f>
        <v>1579.3502500000002</v>
      </c>
      <c r="AA33" s="468">
        <f t="shared" si="8"/>
        <v>1.4632416585811695E-2</v>
      </c>
      <c r="AB33"/>
      <c r="AC33" s="907">
        <f>'Entretien &amp; Réparation'!AC31</f>
        <v>1579.3502500000002</v>
      </c>
      <c r="AD33" s="468">
        <f t="shared" si="9"/>
        <v>1.4632416585811695E-2</v>
      </c>
      <c r="AE33"/>
      <c r="AF33" s="907">
        <f>'Entretien &amp; Réparation'!AF31</f>
        <v>1620.6423750000001</v>
      </c>
      <c r="AG33" s="468">
        <f t="shared" si="10"/>
        <v>1.4461726694923526E-2</v>
      </c>
      <c r="AH33"/>
      <c r="AI33" s="907">
        <f>'Entretien &amp; Réparation'!AI31</f>
        <v>1620.6423750000001</v>
      </c>
      <c r="AJ33" s="468">
        <f>AI33/AI$14</f>
        <v>1.4461726694923526E-2</v>
      </c>
      <c r="AK33"/>
      <c r="AL33" s="907">
        <f>'Entretien &amp; Réparation'!AL31</f>
        <v>1485.3085000000001</v>
      </c>
      <c r="AM33" s="468">
        <f t="shared" si="12"/>
        <v>1.5074552792348794E-2</v>
      </c>
      <c r="AN33"/>
      <c r="AO33" s="907">
        <f>'Entretien &amp; Réparation'!AO31</f>
        <v>1521.614</v>
      </c>
      <c r="AP33" s="468">
        <f t="shared" si="13"/>
        <v>1.4894216406588008E-2</v>
      </c>
      <c r="AQ33"/>
      <c r="AR33" s="1039">
        <f t="shared" si="14"/>
        <v>16784.091550000001</v>
      </c>
      <c r="AS33" s="1040">
        <f t="shared" si="15"/>
        <v>1.6320441595057564E-2</v>
      </c>
      <c r="AT33"/>
      <c r="AU33" s="1047" t="s">
        <v>373</v>
      </c>
      <c r="AV33" s="698">
        <v>0</v>
      </c>
      <c r="AW33"/>
      <c r="AX33"/>
    </row>
    <row r="34" spans="3:54" ht="14" thickBot="1" x14ac:dyDescent="0.2">
      <c r="C34" s="1004" t="s">
        <v>380</v>
      </c>
      <c r="D34"/>
      <c r="E34" s="1005">
        <f>+SUM(E27:E33)</f>
        <v>8896.6650769230782</v>
      </c>
      <c r="F34" s="1006">
        <f>+SUM(F27:F33)</f>
        <v>0.32407840089038686</v>
      </c>
      <c r="G34" t="s">
        <v>366</v>
      </c>
      <c r="H34" s="1005">
        <f>+SUM(H27:H33)</f>
        <v>8896.6650769230782</v>
      </c>
      <c r="I34" s="1006">
        <f>+SUM(I27:I33)</f>
        <v>0.32407840089038686</v>
      </c>
      <c r="J34"/>
      <c r="K34" s="1005">
        <f>+SUM(K27:K33)</f>
        <v>10220.779076923078</v>
      </c>
      <c r="L34" s="1006">
        <f>+SUM(L27:L33)</f>
        <v>0.25882204623301014</v>
      </c>
      <c r="M34"/>
      <c r="N34" s="1005">
        <f>+SUM(N27:N33)</f>
        <v>11779.69495192308</v>
      </c>
      <c r="O34" s="1006">
        <f>+SUM(O27:O33)</f>
        <v>0.21951829956354846</v>
      </c>
      <c r="P34"/>
      <c r="Q34" s="1005">
        <f>+SUM(Q27:Q33)</f>
        <v>13158.661826923078</v>
      </c>
      <c r="R34" s="1006">
        <f>+SUM(R27:R33)</f>
        <v>0.19877845809306718</v>
      </c>
      <c r="S34"/>
      <c r="T34" s="1005">
        <f>+SUM(T27:T33)</f>
        <v>14537.62870192308</v>
      </c>
      <c r="U34" s="1006">
        <f>+SUM(U27:U33)</f>
        <v>0.18464305640356393</v>
      </c>
      <c r="V34"/>
      <c r="W34" s="1005">
        <f>+SUM(W27:W33)</f>
        <v>16297.388626923079</v>
      </c>
      <c r="X34" s="1006">
        <f>+SUM(X27:X33)</f>
        <v>0.17203768299599034</v>
      </c>
      <c r="Y34"/>
      <c r="Z34" s="1005">
        <f>+SUM(Z27:Z33)</f>
        <v>17749.77582692308</v>
      </c>
      <c r="AA34" s="1006">
        <f>+SUM(AA27:AA33)</f>
        <v>0.16444871187015592</v>
      </c>
      <c r="AB34"/>
      <c r="AC34" s="1005">
        <f>+SUM(AC27:AC33)</f>
        <v>17749.77582692308</v>
      </c>
      <c r="AD34" s="1006">
        <f>+SUM(AD27:AD33)</f>
        <v>0.16444871187015592</v>
      </c>
      <c r="AE34"/>
      <c r="AF34" s="1005">
        <f>+SUM(AF27:AF33)</f>
        <v>18203.989201923079</v>
      </c>
      <c r="AG34" s="1006">
        <f>+SUM(AG27:AG33)</f>
        <v>0.16244244915263961</v>
      </c>
      <c r="AH34"/>
      <c r="AI34" s="1005">
        <f>+SUM(AI27:AI33)</f>
        <v>18203.989201923079</v>
      </c>
      <c r="AJ34" s="1006">
        <f>+SUM(AJ27:AJ33)</f>
        <v>0.16244244915263961</v>
      </c>
      <c r="AK34"/>
      <c r="AL34" s="1005">
        <f>+SUM(AL27:AL33)</f>
        <v>16715.316576923076</v>
      </c>
      <c r="AM34" s="1006">
        <f>+SUM(AM27:AM33)</f>
        <v>0.16964551282083812</v>
      </c>
      <c r="AN34"/>
      <c r="AO34" s="1005">
        <f>+SUM(AO27:AO33)</f>
        <v>17114.677076923075</v>
      </c>
      <c r="AP34" s="1006">
        <f>+SUM(AP27:AP33)</f>
        <v>0.16752586668666516</v>
      </c>
      <c r="AQ34"/>
      <c r="AR34" s="1035">
        <f>+SUM(AR27:AR33)</f>
        <v>189525.00705000004</v>
      </c>
      <c r="AS34" s="1036">
        <f>+SUM(AS27:AS33)</f>
        <v>0.18428949813267659</v>
      </c>
      <c r="AT34"/>
      <c r="AU34" s="1051">
        <f>+AV34*AU14</f>
        <v>107123.28709999999</v>
      </c>
      <c r="AV34" s="1046">
        <v>0.20499999999999999</v>
      </c>
      <c r="AW34"/>
      <c r="AX34"/>
    </row>
    <row r="35" spans="3:54" ht="14" thickBot="1" x14ac:dyDescent="0.2">
      <c r="C35" s="998"/>
      <c r="D35"/>
      <c r="E35" s="465"/>
      <c r="F35" s="467"/>
      <c r="G35"/>
      <c r="H35" s="465"/>
      <c r="I35" s="467"/>
      <c r="J35"/>
      <c r="K35" s="465"/>
      <c r="L35" s="467"/>
      <c r="M35"/>
      <c r="N35" s="465"/>
      <c r="O35" s="467"/>
      <c r="P35"/>
      <c r="Q35" s="465"/>
      <c r="R35" s="467"/>
      <c r="S35"/>
      <c r="T35" s="465"/>
      <c r="U35" s="467"/>
      <c r="V35"/>
      <c r="W35" s="465"/>
      <c r="X35" s="467"/>
      <c r="Y35"/>
      <c r="Z35" s="465"/>
      <c r="AA35" s="467"/>
      <c r="AB35"/>
      <c r="AC35" s="465"/>
      <c r="AD35" s="467"/>
      <c r="AE35"/>
      <c r="AF35" s="465"/>
      <c r="AG35" s="467"/>
      <c r="AH35"/>
      <c r="AI35" s="465"/>
      <c r="AJ35" s="467"/>
      <c r="AK35"/>
      <c r="AL35" s="465"/>
      <c r="AM35" s="467"/>
      <c r="AN35"/>
      <c r="AO35" s="465"/>
      <c r="AP35" s="467"/>
      <c r="AQ35"/>
      <c r="AR35" s="1037"/>
      <c r="AS35" s="1038"/>
      <c r="AT35"/>
      <c r="AU35" s="1047"/>
      <c r="AV35" s="1048"/>
      <c r="AW35"/>
      <c r="AX35"/>
    </row>
    <row r="36" spans="3:54" ht="15" thickTop="1" thickBot="1" x14ac:dyDescent="0.2">
      <c r="C36" s="1001" t="s">
        <v>406</v>
      </c>
      <c r="D36" s="994" t="s">
        <v>381</v>
      </c>
      <c r="E36" s="1009">
        <f>+E25-E34</f>
        <v>-3555.3891369230787</v>
      </c>
      <c r="F36" s="1002">
        <f>E36/E14</f>
        <v>-0.12951199309793307</v>
      </c>
      <c r="G36" s="994" t="s">
        <v>382</v>
      </c>
      <c r="H36" s="1009">
        <f>+H25-H34</f>
        <v>-3555.3891369230787</v>
      </c>
      <c r="I36" s="1002">
        <f>H36/H14</f>
        <v>-0.12951199309793307</v>
      </c>
      <c r="J36" s="994" t="s">
        <v>383</v>
      </c>
      <c r="K36" s="1009">
        <f>+K25-K34</f>
        <v>-1064.1171569230828</v>
      </c>
      <c r="L36" s="1002">
        <f>K36/K14</f>
        <v>-2.6946769704506573E-2</v>
      </c>
      <c r="M36" s="994" t="s">
        <v>384</v>
      </c>
      <c r="N36" s="1009">
        <f>+N25-N34</f>
        <v>1941.4943918269237</v>
      </c>
      <c r="O36" s="1002">
        <f>N36/N14</f>
        <v>3.6180355199812227E-2</v>
      </c>
      <c r="P36" s="994" t="s">
        <v>385</v>
      </c>
      <c r="Q36" s="1009">
        <f>+Q25-Q34</f>
        <v>4552.9230105769275</v>
      </c>
      <c r="R36" s="1002">
        <f>Q36/Q14</f>
        <v>6.877773954242207E-2</v>
      </c>
      <c r="S36" s="994" t="s">
        <v>386</v>
      </c>
      <c r="T36" s="1009">
        <f>+T25-T34</f>
        <v>7164.3516293269349</v>
      </c>
      <c r="U36" s="1002">
        <f>T36/T14</f>
        <v>9.0994742616709437E-2</v>
      </c>
      <c r="V36" s="994" t="s">
        <v>387</v>
      </c>
      <c r="W36" s="1009">
        <f>+W25-W34</f>
        <v>10615.216686576932</v>
      </c>
      <c r="X36" s="1002">
        <f>W36/W14</f>
        <v>0.11205582225867657</v>
      </c>
      <c r="Y36" s="994" t="s">
        <v>388</v>
      </c>
      <c r="Z36" s="1009">
        <f>+Z25-Z34</f>
        <v>13382.174990576928</v>
      </c>
      <c r="AA36" s="1002">
        <f>Z36/Z14</f>
        <v>0.12398361876116604</v>
      </c>
      <c r="AB36" s="994" t="s">
        <v>389</v>
      </c>
      <c r="AC36" s="1009">
        <f>+AC25-AC34</f>
        <v>13382.174990576928</v>
      </c>
      <c r="AD36" s="1002">
        <f>AC36/AC14</f>
        <v>0.12398361876116604</v>
      </c>
      <c r="AE36" s="994" t="s">
        <v>390</v>
      </c>
      <c r="AF36" s="1009">
        <f>+AF25-AF34</f>
        <v>14377.141114326918</v>
      </c>
      <c r="AG36" s="1002">
        <f>AF36/AF14</f>
        <v>0.12829374861294993</v>
      </c>
      <c r="AH36" s="994" t="s">
        <v>391</v>
      </c>
      <c r="AI36" s="1009">
        <f>+AI25-AI34</f>
        <v>14377.141114326918</v>
      </c>
      <c r="AJ36" s="1002">
        <f>AI36/AI14</f>
        <v>0.12829374861294993</v>
      </c>
      <c r="AK36" s="994" t="s">
        <v>392</v>
      </c>
      <c r="AL36" s="1009">
        <f>+AL25-AL34</f>
        <v>11525.39921807692</v>
      </c>
      <c r="AM36" s="1002">
        <f>AL36/AL14</f>
        <v>0.11697249357005365</v>
      </c>
      <c r="AN36" s="994" t="e">
        <v>#VALUE!</v>
      </c>
      <c r="AO36" s="1009">
        <f>+AO25-AO34</f>
        <v>12400.208703076936</v>
      </c>
      <c r="AP36" s="1002">
        <f>AO36/AO14</f>
        <v>0.12137860975942907</v>
      </c>
      <c r="AQ36" s="994" t="s">
        <v>393</v>
      </c>
      <c r="AR36" s="1009">
        <f>+AR25-AR34</f>
        <v>95543.33041849974</v>
      </c>
      <c r="AS36" s="1002">
        <f>AR36/AR14</f>
        <v>9.2904006108832968E-2</v>
      </c>
      <c r="AT36" s="994" t="s">
        <v>394</v>
      </c>
      <c r="AU36" s="1009">
        <f>+AU25-AU34</f>
        <v>38146.341260000045</v>
      </c>
      <c r="AV36" s="1002">
        <f>AU36/AU14</f>
        <v>7.3000000000000093E-2</v>
      </c>
      <c r="AW36" s="995"/>
      <c r="AX36"/>
      <c r="AY36" s="377"/>
      <c r="AZ36" s="377"/>
      <c r="BA36" s="377"/>
      <c r="BB36" s="377"/>
    </row>
    <row r="37" spans="3:54" ht="14" thickTop="1" x14ac:dyDescent="0.15">
      <c r="C37" s="998"/>
      <c r="D37"/>
      <c r="E37" s="465"/>
      <c r="F37" s="467"/>
      <c r="G37"/>
      <c r="H37" s="465"/>
      <c r="I37" s="467"/>
      <c r="J37"/>
      <c r="K37" s="465"/>
      <c r="L37" s="467"/>
      <c r="M37"/>
      <c r="N37" s="465"/>
      <c r="O37" s="467"/>
      <c r="P37"/>
      <c r="Q37" s="465"/>
      <c r="R37" s="467"/>
      <c r="S37"/>
      <c r="T37" s="465"/>
      <c r="U37" s="467"/>
      <c r="V37"/>
      <c r="W37" s="465"/>
      <c r="X37" s="467"/>
      <c r="Y37"/>
      <c r="Z37" s="465"/>
      <c r="AA37" s="467"/>
      <c r="AB37"/>
      <c r="AC37" s="465"/>
      <c r="AD37" s="467"/>
      <c r="AE37"/>
      <c r="AF37" s="465"/>
      <c r="AG37" s="467"/>
      <c r="AH37"/>
      <c r="AI37" s="465"/>
      <c r="AJ37" s="467"/>
      <c r="AK37"/>
      <c r="AL37" s="465"/>
      <c r="AM37" s="467"/>
      <c r="AN37"/>
      <c r="AO37" s="465"/>
      <c r="AP37" s="467"/>
      <c r="AQ37"/>
      <c r="AR37" s="1037"/>
      <c r="AS37" s="1038"/>
      <c r="AT37"/>
      <c r="AU37" s="1047"/>
      <c r="AV37" s="1048"/>
      <c r="AW37"/>
      <c r="AX37"/>
    </row>
    <row r="38" spans="3:54" x14ac:dyDescent="0.15">
      <c r="C38" s="998" t="s">
        <v>395</v>
      </c>
      <c r="D38"/>
      <c r="E38" s="907">
        <f>'Frais financier'!E24</f>
        <v>2385.6538461538462</v>
      </c>
      <c r="F38" s="468">
        <f>E38/E14</f>
        <v>8.690210060227764E-2</v>
      </c>
      <c r="G38"/>
      <c r="H38" s="907">
        <f>'Frais financier'!H24</f>
        <v>711.65384615384619</v>
      </c>
      <c r="I38" s="468">
        <f>H38/H14</f>
        <v>2.5923381228238399E-2</v>
      </c>
      <c r="J38"/>
      <c r="K38" s="907">
        <f>'Frais financier'!K24</f>
        <v>711.65384615384619</v>
      </c>
      <c r="L38" s="468">
        <f>K38/K14</f>
        <v>1.8021297915244677E-2</v>
      </c>
      <c r="M38"/>
      <c r="N38" s="907">
        <f>'Frais financier'!N24</f>
        <v>711.65384615384619</v>
      </c>
      <c r="O38" s="468">
        <f>N38/N14</f>
        <v>1.3261891994923669E-2</v>
      </c>
      <c r="P38"/>
      <c r="Q38" s="907">
        <f>'Frais financier'!Q24</f>
        <v>711.65384615384619</v>
      </c>
      <c r="R38" s="468">
        <f>Q38/Q14</f>
        <v>1.0750443783350931E-2</v>
      </c>
      <c r="S38"/>
      <c r="T38" s="907">
        <f>'Frais financier'!T24</f>
        <v>711.65384615384619</v>
      </c>
      <c r="U38" s="468">
        <f>T38/T14</f>
        <v>9.0387465486593144E-3</v>
      </c>
      <c r="V38"/>
      <c r="W38" s="907">
        <f>'Frais financier'!W24</f>
        <v>711.65384615384619</v>
      </c>
      <c r="X38" s="468">
        <f>W38/W14</f>
        <v>7.5123249245733614E-3</v>
      </c>
      <c r="Y38"/>
      <c r="Z38" s="907">
        <f>'Frais financier'!Z24</f>
        <v>711.65384615384619</v>
      </c>
      <c r="AA38" s="468">
        <f>Z38/Z14</f>
        <v>6.5933541605595223E-3</v>
      </c>
      <c r="AB38"/>
      <c r="AC38" s="907">
        <f>'Frais financier'!AC24</f>
        <v>711.65384615384619</v>
      </c>
      <c r="AD38" s="468">
        <f>AC38/AC14</f>
        <v>6.5933541605595223E-3</v>
      </c>
      <c r="AE38"/>
      <c r="AF38" s="907">
        <f>'Frais financier'!AF24</f>
        <v>711.65384615384619</v>
      </c>
      <c r="AG38" s="468">
        <f>AF38/AF14</f>
        <v>6.35040992585923E-3</v>
      </c>
      <c r="AH38"/>
      <c r="AI38" s="907">
        <f>'Frais financier'!AI24</f>
        <v>711.65384615384619</v>
      </c>
      <c r="AJ38" s="468">
        <f>AI38/AI14</f>
        <v>6.35040992585923E-3</v>
      </c>
      <c r="AK38"/>
      <c r="AL38" s="907">
        <f>'Frais financier'!AL24</f>
        <v>711.65384615384619</v>
      </c>
      <c r="AM38" s="468">
        <f>AL38/AL14</f>
        <v>7.2226500243715167E-3</v>
      </c>
      <c r="AN38"/>
      <c r="AO38" s="907">
        <f>'Frais financier'!AO24</f>
        <v>711.65384615384619</v>
      </c>
      <c r="AP38" s="468">
        <f>AO38/AO14</f>
        <v>6.9659758593152233E-3</v>
      </c>
      <c r="AQ38"/>
      <c r="AR38" s="1039">
        <f t="shared" ref="AR38:AR39" si="16">+E38+H38+K38+N38+Q38+T38+W38+Z38+AC38+AF38+AI38+AL38+AO38</f>
        <v>10925.499999999996</v>
      </c>
      <c r="AS38" s="1040">
        <f>AR38/AR14</f>
        <v>1.0623689945661751E-2</v>
      </c>
      <c r="AT38"/>
      <c r="AU38" s="1050">
        <f>+AV38*AU14</f>
        <v>6793.1840599999996</v>
      </c>
      <c r="AV38" s="1054">
        <v>1.2999999999999999E-2</v>
      </c>
      <c r="AW38"/>
      <c r="AX38"/>
    </row>
    <row r="39" spans="3:54" x14ac:dyDescent="0.15">
      <c r="C39" s="998" t="s">
        <v>396</v>
      </c>
      <c r="D39"/>
      <c r="E39" s="907">
        <f>Amortissement!E24</f>
        <v>1430.7692307692307</v>
      </c>
      <c r="F39" s="468">
        <f>E39/E14</f>
        <v>5.2118563567554899E-2</v>
      </c>
      <c r="G39"/>
      <c r="H39" s="907">
        <f>Amortissement!H24</f>
        <v>1430.7692307692307</v>
      </c>
      <c r="I39" s="468">
        <f>H39/H14</f>
        <v>5.2118563567554899E-2</v>
      </c>
      <c r="J39"/>
      <c r="K39" s="907">
        <f>Amortissement!K24</f>
        <v>1430.7692307692307</v>
      </c>
      <c r="L39" s="468">
        <f>K39/K14</f>
        <v>3.6231545287094089E-2</v>
      </c>
      <c r="M39"/>
      <c r="N39" s="907">
        <f>Amortissement!N24</f>
        <v>1430.7692307692307</v>
      </c>
      <c r="O39" s="468">
        <f>N39/N14</f>
        <v>2.6662832092696345E-2</v>
      </c>
      <c r="P39"/>
      <c r="Q39" s="907">
        <f>Amortissement!Q24</f>
        <v>1430.7692307692307</v>
      </c>
      <c r="R39" s="468">
        <f>Q39/Q14</f>
        <v>2.1613603671872379E-2</v>
      </c>
      <c r="S39"/>
      <c r="T39" s="907">
        <f>Amortissement!T24</f>
        <v>1430.7692307692307</v>
      </c>
      <c r="U39" s="468">
        <f>T39/T14</f>
        <v>1.8172262422857185E-2</v>
      </c>
      <c r="V39"/>
      <c r="W39" s="907">
        <f>Amortissement!W24</f>
        <v>1430.7692307692307</v>
      </c>
      <c r="X39" s="468">
        <f>W39/W14</f>
        <v>1.5103414970228018E-2</v>
      </c>
      <c r="Y39"/>
      <c r="Z39" s="907">
        <f>Amortissement!Z24</f>
        <v>1430.7692307692307</v>
      </c>
      <c r="AA39" s="468">
        <f>Z39/Z14</f>
        <v>1.3255838230168848E-2</v>
      </c>
      <c r="AB39"/>
      <c r="AC39" s="907">
        <f>Amortissement!AC24</f>
        <v>1430.7692307692307</v>
      </c>
      <c r="AD39" s="468">
        <f>AC39/AC14</f>
        <v>1.3255838230168848E-2</v>
      </c>
      <c r="AE39"/>
      <c r="AF39" s="907">
        <f>Amortissement!AF24</f>
        <v>1430.7692307692307</v>
      </c>
      <c r="AG39" s="468">
        <f>AF39/AF14</f>
        <v>1.2767402542396548E-2</v>
      </c>
      <c r="AH39"/>
      <c r="AI39" s="907">
        <f>Amortissement!AI24</f>
        <v>1430.7692307692307</v>
      </c>
      <c r="AJ39" s="468">
        <f>AI39/AI14</f>
        <v>1.2767402542396548E-2</v>
      </c>
      <c r="AK39"/>
      <c r="AL39" s="907">
        <f>Amortissement!AL24</f>
        <v>1430.7692307692307</v>
      </c>
      <c r="AM39" s="468">
        <f>AL39/AL14</f>
        <v>1.4521027990413467E-2</v>
      </c>
      <c r="AN39"/>
      <c r="AO39" s="907">
        <f>Amortissement!AO24</f>
        <v>1430.7692307692307</v>
      </c>
      <c r="AP39" s="468">
        <f>AO39/AO14</f>
        <v>1.4004988486544143E-2</v>
      </c>
      <c r="AQ39"/>
      <c r="AR39" s="1039">
        <f t="shared" si="16"/>
        <v>18600</v>
      </c>
      <c r="AS39" s="1040">
        <f>AR39/AR14</f>
        <v>1.8086186718164719E-2</v>
      </c>
      <c r="AT39"/>
      <c r="AU39" s="1050">
        <f>+AV39*AU14</f>
        <v>14631.47336</v>
      </c>
      <c r="AV39" s="1054">
        <v>2.8000000000000001E-2</v>
      </c>
      <c r="AW39"/>
      <c r="AX39"/>
    </row>
    <row r="40" spans="3:54" ht="14" thickBot="1" x14ac:dyDescent="0.2">
      <c r="C40" s="998"/>
      <c r="D40"/>
      <c r="E40" s="465"/>
      <c r="F40" s="467"/>
      <c r="G40"/>
      <c r="H40" s="465"/>
      <c r="I40" s="467"/>
      <c r="J40"/>
      <c r="K40" s="465"/>
      <c r="L40" s="467"/>
      <c r="M40"/>
      <c r="N40" s="465"/>
      <c r="O40" s="467"/>
      <c r="P40"/>
      <c r="Q40" s="465"/>
      <c r="R40" s="467"/>
      <c r="S40"/>
      <c r="T40" s="465"/>
      <c r="U40" s="467"/>
      <c r="V40"/>
      <c r="W40" s="465"/>
      <c r="X40" s="467"/>
      <c r="Y40"/>
      <c r="Z40" s="465"/>
      <c r="AA40" s="467"/>
      <c r="AB40"/>
      <c r="AC40" s="465"/>
      <c r="AD40" s="467"/>
      <c r="AE40"/>
      <c r="AF40" s="465"/>
      <c r="AG40" s="467"/>
      <c r="AH40"/>
      <c r="AI40" s="465"/>
      <c r="AJ40" s="467"/>
      <c r="AK40"/>
      <c r="AL40" s="465"/>
      <c r="AM40" s="467"/>
      <c r="AN40"/>
      <c r="AO40" s="465"/>
      <c r="AP40" s="467"/>
      <c r="AQ40"/>
      <c r="AR40" s="1037"/>
      <c r="AS40" s="1038"/>
      <c r="AT40"/>
      <c r="AU40" s="1047"/>
      <c r="AV40" s="1048"/>
      <c r="AW40"/>
      <c r="AX40"/>
    </row>
    <row r="41" spans="3:54" ht="15" thickTop="1" thickBot="1" x14ac:dyDescent="0.2">
      <c r="C41" s="1001" t="s">
        <v>397</v>
      </c>
      <c r="D41" s="995"/>
      <c r="E41" s="1009">
        <f>+E36-(E38+E39)</f>
        <v>-7371.8122138461558</v>
      </c>
      <c r="F41" s="1002">
        <f>E41/E14</f>
        <v>-0.26853265726776565</v>
      </c>
      <c r="G41" s="995"/>
      <c r="H41" s="1009">
        <f>+H36-(H38+H39)</f>
        <v>-5697.8122138461558</v>
      </c>
      <c r="I41" s="1002">
        <f>H41/H14</f>
        <v>-0.20755393789372639</v>
      </c>
      <c r="J41" s="995"/>
      <c r="K41" s="1009">
        <f>+K36-(K38+K39)</f>
        <v>-3206.5402338461599</v>
      </c>
      <c r="L41" s="1002">
        <f>K41/K14</f>
        <v>-8.1199612906845353E-2</v>
      </c>
      <c r="M41" s="995"/>
      <c r="N41" s="1009">
        <f>+N36-(N38+N39)</f>
        <v>-200.92868509615346</v>
      </c>
      <c r="O41" s="1002">
        <f>N41/N14</f>
        <v>-3.7443688878077948E-3</v>
      </c>
      <c r="P41" s="994"/>
      <c r="Q41" s="1009">
        <f>+Q36-(Q38+Q39)</f>
        <v>2410.4999336538503</v>
      </c>
      <c r="R41" s="1002">
        <f>Q41/Q14</f>
        <v>3.6413692087198753E-2</v>
      </c>
      <c r="S41" s="994"/>
      <c r="T41" s="1009">
        <f>+T36-(T38+T39)</f>
        <v>5021.9285524038578</v>
      </c>
      <c r="U41" s="1002">
        <f>T41/T14</f>
        <v>6.3783733645192936E-2</v>
      </c>
      <c r="V41" s="994"/>
      <c r="W41" s="1009">
        <f>+W36-(W38+W39)</f>
        <v>8472.7936096538542</v>
      </c>
      <c r="X41" s="1002">
        <f>W41/W14</f>
        <v>8.944008236387517E-2</v>
      </c>
      <c r="Y41" s="994"/>
      <c r="Z41" s="1009">
        <f>+Z36-(Z38+Z39)</f>
        <v>11239.75191365385</v>
      </c>
      <c r="AA41" s="1002">
        <f>Z41/Z14</f>
        <v>0.10413442637043765</v>
      </c>
      <c r="AB41" s="994"/>
      <c r="AC41" s="1009">
        <f>+AC36-(AC38+AC39)</f>
        <v>11239.75191365385</v>
      </c>
      <c r="AD41" s="1002">
        <f>AC41/AC14</f>
        <v>0.10413442637043765</v>
      </c>
      <c r="AE41" s="994"/>
      <c r="AF41" s="1009">
        <f>+AF36-(AF38+AF39)</f>
        <v>12234.71803740384</v>
      </c>
      <c r="AG41" s="1002">
        <f>AF41/AF14</f>
        <v>0.10917593614469415</v>
      </c>
      <c r="AH41" s="994"/>
      <c r="AI41" s="1009">
        <f>+AI36-(AI38+AI39)</f>
        <v>12234.71803740384</v>
      </c>
      <c r="AJ41" s="1002">
        <f>AI41/AI14</f>
        <v>0.10917593614469415</v>
      </c>
      <c r="AK41" s="994"/>
      <c r="AL41" s="1009">
        <f>+AL36-(AL38+AL39)</f>
        <v>9382.976141153842</v>
      </c>
      <c r="AM41" s="1002">
        <f>AL41/AL14</f>
        <v>9.5228815555268659E-2</v>
      </c>
      <c r="AN41" s="994"/>
      <c r="AO41" s="1009">
        <f>+AO36-(AO38+AO39)</f>
        <v>10257.785626153858</v>
      </c>
      <c r="AP41" s="1002">
        <f>AO41/AO14</f>
        <v>0.1004076454135697</v>
      </c>
      <c r="AQ41" s="994"/>
      <c r="AR41" s="1009">
        <f>+AR36-(AR38+AR39)</f>
        <v>66017.83041849974</v>
      </c>
      <c r="AS41" s="1002">
        <f>AR41/AR14</f>
        <v>6.4194129445006493E-2</v>
      </c>
      <c r="AT41" s="994"/>
      <c r="AU41" s="1009">
        <f>+AU36-(AU38+AU39)</f>
        <v>16721.683840000045</v>
      </c>
      <c r="AV41" s="1002">
        <f>AU41/AU14</f>
        <v>3.2000000000000084E-2</v>
      </c>
      <c r="AW41" s="995"/>
      <c r="AX41" s="995">
        <v>2.8</v>
      </c>
      <c r="AY41" s="377"/>
      <c r="AZ41" s="377"/>
      <c r="BA41" s="377"/>
      <c r="BB41" s="377"/>
    </row>
    <row r="42" spans="3:54" ht="14" thickTop="1" x14ac:dyDescent="0.15">
      <c r="C42" s="998"/>
      <c r="D42"/>
      <c r="E42" s="465"/>
      <c r="F42" s="467"/>
      <c r="G42"/>
      <c r="H42" s="465"/>
      <c r="I42" s="467"/>
      <c r="J42"/>
      <c r="K42" s="465"/>
      <c r="L42" s="467"/>
      <c r="M42"/>
      <c r="N42" s="465"/>
      <c r="O42" s="467"/>
      <c r="P42"/>
      <c r="Q42" s="465"/>
      <c r="R42" s="467"/>
      <c r="S42"/>
      <c r="T42" s="465"/>
      <c r="U42" s="467"/>
      <c r="V42"/>
      <c r="W42" s="465"/>
      <c r="X42" s="467"/>
      <c r="Y42"/>
      <c r="Z42" s="465"/>
      <c r="AA42" s="467"/>
      <c r="AB42"/>
      <c r="AC42" s="465"/>
      <c r="AD42" s="467"/>
      <c r="AE42"/>
      <c r="AF42" s="465"/>
      <c r="AG42" s="467"/>
      <c r="AH42"/>
      <c r="AI42" s="465"/>
      <c r="AJ42" s="467"/>
      <c r="AK42"/>
      <c r="AL42" s="465"/>
      <c r="AM42" s="467"/>
      <c r="AN42"/>
      <c r="AO42" s="465"/>
      <c r="AP42" s="467"/>
      <c r="AQ42"/>
      <c r="AR42" s="1037"/>
      <c r="AS42" s="1038"/>
      <c r="AT42"/>
      <c r="AU42" s="1047"/>
      <c r="AV42" s="1048"/>
      <c r="AW42"/>
      <c r="AX42"/>
    </row>
    <row r="43" spans="3:54" x14ac:dyDescent="0.15">
      <c r="C43" s="997" t="s">
        <v>398</v>
      </c>
      <c r="D43"/>
      <c r="E43" s="1010">
        <f>+$F$47*E41</f>
        <v>-1326.926198492308</v>
      </c>
      <c r="F43" s="468">
        <f>E43/E14</f>
        <v>-4.8335878308197813E-2</v>
      </c>
      <c r="G43"/>
      <c r="H43" s="1010">
        <f>+$F$47*H41</f>
        <v>-1025.6061984923081</v>
      </c>
      <c r="I43" s="468">
        <f>H43/H14</f>
        <v>-3.7359708820870752E-2</v>
      </c>
      <c r="J43"/>
      <c r="K43" s="1010">
        <f>+$F$47*K41</f>
        <v>-577.1772420923088</v>
      </c>
      <c r="L43" s="468">
        <f>K43/K14</f>
        <v>-1.4615930323232162E-2</v>
      </c>
      <c r="M43"/>
      <c r="N43" s="1010">
        <f>+$F$47*N41</f>
        <v>-36.167163317307619</v>
      </c>
      <c r="O43" s="468">
        <f>N43/N14</f>
        <v>-6.7398639980540298E-4</v>
      </c>
      <c r="P43"/>
      <c r="Q43" s="1010">
        <f>+$F$47*Q41</f>
        <v>433.88998805769307</v>
      </c>
      <c r="R43" s="468">
        <f>Q43/Q14</f>
        <v>6.5544645756957761E-3</v>
      </c>
      <c r="S43"/>
      <c r="T43" s="1010">
        <f>+$F$47*T41</f>
        <v>903.94713943269437</v>
      </c>
      <c r="U43" s="468">
        <f>T43/T14</f>
        <v>1.1481072056134729E-2</v>
      </c>
      <c r="V43"/>
      <c r="W43" s="1010">
        <f>+$F$47*W41</f>
        <v>1525.1028497376938</v>
      </c>
      <c r="X43" s="468">
        <f>W43/W14</f>
        <v>1.6099214825497532E-2</v>
      </c>
      <c r="Y43"/>
      <c r="Z43" s="1010">
        <f>+$F$47*Z41</f>
        <v>2023.155344457693</v>
      </c>
      <c r="AA43" s="468">
        <f>Z43/Z14</f>
        <v>1.8744196746678779E-2</v>
      </c>
      <c r="AB43"/>
      <c r="AC43" s="1010">
        <f>+$F$47*AC41</f>
        <v>2023.155344457693</v>
      </c>
      <c r="AD43" s="468">
        <f>AC43/AC14</f>
        <v>1.8744196746678779E-2</v>
      </c>
      <c r="AE43"/>
      <c r="AF43" s="1010">
        <f>+$F$47*AF41</f>
        <v>2202.2492467326911</v>
      </c>
      <c r="AG43" s="468">
        <f>AF43/AF14</f>
        <v>1.9651668506044946E-2</v>
      </c>
      <c r="AH43"/>
      <c r="AI43" s="1010">
        <f>+$F$47*AI41</f>
        <v>2202.2492467326911</v>
      </c>
      <c r="AJ43" s="468">
        <f>AI43/AI14</f>
        <v>1.9651668506044946E-2</v>
      </c>
      <c r="AK43"/>
      <c r="AL43" s="1010">
        <f>+$F$47*AL41</f>
        <v>1688.9357054076916</v>
      </c>
      <c r="AM43" s="468">
        <f>AL43/AL14</f>
        <v>1.7141186799948357E-2</v>
      </c>
      <c r="AN43"/>
      <c r="AO43" s="1010">
        <f>+$F$47*AO41</f>
        <v>1846.4014127076944</v>
      </c>
      <c r="AP43" s="468">
        <f>AO43/AO14</f>
        <v>1.8073376174442542E-2</v>
      </c>
      <c r="AQ43"/>
      <c r="AR43" s="1042">
        <f>+$F$47*AR41</f>
        <v>11883.209475329953</v>
      </c>
      <c r="AS43" s="1040">
        <f>AR43/AR14</f>
        <v>1.1554943300101169E-2</v>
      </c>
      <c r="AT43"/>
      <c r="AU43" s="1049">
        <f>+$F$47*AU41</f>
        <v>3009.903091200008</v>
      </c>
      <c r="AV43" s="698">
        <f>AU43/AU14</f>
        <v>5.7600000000000151E-3</v>
      </c>
      <c r="AW43"/>
      <c r="AX43"/>
    </row>
    <row r="44" spans="3:54" ht="14" thickBot="1" x14ac:dyDescent="0.2">
      <c r="C44" s="998"/>
      <c r="D44"/>
      <c r="E44" s="465"/>
      <c r="F44" s="467"/>
      <c r="G44"/>
      <c r="H44" s="465"/>
      <c r="I44" s="467"/>
      <c r="J44"/>
      <c r="K44" s="465"/>
      <c r="L44" s="467"/>
      <c r="M44"/>
      <c r="N44" s="465"/>
      <c r="O44" s="467"/>
      <c r="P44"/>
      <c r="Q44" s="465"/>
      <c r="R44" s="467"/>
      <c r="S44"/>
      <c r="T44" s="465"/>
      <c r="U44" s="467"/>
      <c r="V44"/>
      <c r="W44" s="465"/>
      <c r="X44" s="467"/>
      <c r="Y44"/>
      <c r="Z44" s="465"/>
      <c r="AA44" s="467"/>
      <c r="AB44"/>
      <c r="AC44" s="465"/>
      <c r="AD44" s="467"/>
      <c r="AE44"/>
      <c r="AF44" s="465"/>
      <c r="AG44" s="467"/>
      <c r="AH44"/>
      <c r="AI44" s="465"/>
      <c r="AJ44" s="467"/>
      <c r="AK44"/>
      <c r="AL44" s="465"/>
      <c r="AM44" s="467"/>
      <c r="AN44"/>
      <c r="AO44" s="465"/>
      <c r="AP44" s="467"/>
      <c r="AQ44"/>
      <c r="AR44" s="1037"/>
      <c r="AS44" s="1038"/>
      <c r="AT44"/>
      <c r="AU44" s="1047"/>
      <c r="AV44" s="1048"/>
      <c r="AW44"/>
      <c r="AX44"/>
    </row>
    <row r="45" spans="3:54" ht="15" thickTop="1" thickBot="1" x14ac:dyDescent="0.2">
      <c r="C45" s="1001" t="s">
        <v>399</v>
      </c>
      <c r="D45" s="995"/>
      <c r="E45" s="1009">
        <f>+E41-E43</f>
        <v>-6044.8860153538481</v>
      </c>
      <c r="F45" s="1002">
        <f>E45/E14</f>
        <v>-0.22019677895956782</v>
      </c>
      <c r="G45" s="995"/>
      <c r="H45" s="1009">
        <f>+H41-H43</f>
        <v>-4672.2060153538478</v>
      </c>
      <c r="I45" s="1002">
        <f>H45/H14</f>
        <v>-0.17019422907285564</v>
      </c>
      <c r="J45" s="995"/>
      <c r="K45" s="1009">
        <f>+K41-K43</f>
        <v>-2629.362991753851</v>
      </c>
      <c r="L45" s="1002">
        <f>K45/K14</f>
        <v>-6.6583682583613177E-2</v>
      </c>
      <c r="M45" s="995"/>
      <c r="N45" s="1009">
        <f>+N41-N43</f>
        <v>-164.76152177884583</v>
      </c>
      <c r="O45" s="1002">
        <f>N45/N14</f>
        <v>-3.0703824880023915E-3</v>
      </c>
      <c r="P45" s="994"/>
      <c r="Q45" s="1009">
        <f>+Q41-Q43</f>
        <v>1976.6099455961573</v>
      </c>
      <c r="R45" s="1002">
        <f>Q45/Q14</f>
        <v>2.9859227511502977E-2</v>
      </c>
      <c r="S45" s="994"/>
      <c r="T45" s="1009">
        <f>+T41-T43</f>
        <v>4117.9814129711631</v>
      </c>
      <c r="U45" s="1002">
        <f>T45/T14</f>
        <v>5.2302661589058205E-2</v>
      </c>
      <c r="V45" s="994"/>
      <c r="W45" s="1009">
        <f>+W41-W43</f>
        <v>6947.6907599161605</v>
      </c>
      <c r="X45" s="1002">
        <f>W45/W14</f>
        <v>7.3340867538377638E-2</v>
      </c>
      <c r="Y45" s="994"/>
      <c r="Z45" s="1009">
        <f>+Z41-Z43</f>
        <v>9216.5965691961574</v>
      </c>
      <c r="AA45" s="1002">
        <f>Z45/Z14</f>
        <v>8.5390229623758876E-2</v>
      </c>
      <c r="AB45" s="994"/>
      <c r="AC45" s="1009">
        <f>+AC41-AC43</f>
        <v>9216.5965691961574</v>
      </c>
      <c r="AD45" s="1002">
        <f>AC45/AC14</f>
        <v>8.5390229623758876E-2</v>
      </c>
      <c r="AE45" s="994"/>
      <c r="AF45" s="1009">
        <f>+AF41-AF43</f>
        <v>10032.468790671148</v>
      </c>
      <c r="AG45" s="1002">
        <f>AF45/AF14</f>
        <v>8.9524267638649194E-2</v>
      </c>
      <c r="AH45" s="994"/>
      <c r="AI45" s="1009">
        <f>+AI41-AI43</f>
        <v>10032.468790671148</v>
      </c>
      <c r="AJ45" s="1002">
        <f>AI45/AI14</f>
        <v>8.9524267638649194E-2</v>
      </c>
      <c r="AK45" s="994"/>
      <c r="AL45" s="1009">
        <f>+AL41-AL43</f>
        <v>7694.0404357461503</v>
      </c>
      <c r="AM45" s="1002">
        <f>AL45/AL14</f>
        <v>7.8087628755320299E-2</v>
      </c>
      <c r="AN45" s="994"/>
      <c r="AO45" s="1009">
        <f>+AO41-AO43</f>
        <v>8411.3842134461629</v>
      </c>
      <c r="AP45" s="1002">
        <f>AO45/AO14</f>
        <v>8.2334269239127136E-2</v>
      </c>
      <c r="AQ45" s="994"/>
      <c r="AR45" s="1009">
        <f>+AR41-AR43</f>
        <v>54134.620943169786</v>
      </c>
      <c r="AS45" s="1002">
        <f>AR45/AR14</f>
        <v>5.2639186144905321E-2</v>
      </c>
      <c r="AT45" s="994"/>
      <c r="AU45" s="1009">
        <f>+AU41-AU43</f>
        <v>13711.780748800036</v>
      </c>
      <c r="AV45" s="1002">
        <f>AU45/AU14</f>
        <v>2.6240000000000069E-2</v>
      </c>
      <c r="AW45" s="995"/>
      <c r="AX45" s="995"/>
      <c r="AY45" s="377"/>
      <c r="AZ45" s="377"/>
      <c r="BA45" s="377"/>
      <c r="BB45" s="377"/>
    </row>
    <row r="46" spans="3:54" ht="18" thickTop="1" thickBot="1" x14ac:dyDescent="0.2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row>
    <row r="47" spans="3:54" ht="18" thickTop="1" thickBot="1" x14ac:dyDescent="0.25">
      <c r="C47" s="385"/>
      <c r="D47" s="385"/>
      <c r="E47" s="1007" t="s">
        <v>400</v>
      </c>
      <c r="F47" s="1008">
        <v>0.18</v>
      </c>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1580" t="s">
        <v>1</v>
      </c>
      <c r="AS47" s="385"/>
      <c r="AT47" s="385"/>
      <c r="AU47" s="385"/>
      <c r="AV47" s="385"/>
    </row>
    <row r="48" spans="3:54" ht="17" thickTop="1" x14ac:dyDescent="0.2">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row>
    <row r="49" spans="3:48" ht="16" x14ac:dyDescent="0.2">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row>
    <row r="50" spans="3:48" ht="16" x14ac:dyDescent="0.2">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row>
    <row r="51" spans="3:48" ht="16" x14ac:dyDescent="0.2">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row>
    <row r="52" spans="3:48" ht="16" x14ac:dyDescent="0.2">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row>
    <row r="53" spans="3:48" ht="16" x14ac:dyDescent="0.2">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row>
    <row r="54" spans="3:48" ht="16" x14ac:dyDescent="0.2">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row>
    <row r="55" spans="3:48" ht="16" x14ac:dyDescent="0.2">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5"/>
      <c r="AN55" s="385"/>
      <c r="AO55" s="385"/>
      <c r="AP55" s="385"/>
      <c r="AQ55" s="385"/>
      <c r="AR55" s="385"/>
      <c r="AS55" s="385"/>
      <c r="AT55" s="385"/>
      <c r="AU55" s="385"/>
      <c r="AV55" s="385"/>
    </row>
    <row r="56" spans="3:48" ht="16" x14ac:dyDescent="0.2">
      <c r="C56" s="385"/>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385"/>
    </row>
    <row r="57" spans="3:48" ht="16" x14ac:dyDescent="0.2">
      <c r="C57" s="385"/>
      <c r="D57" s="385"/>
      <c r="E57" s="385"/>
      <c r="F57" s="385"/>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row>
  </sheetData>
  <mergeCells count="5">
    <mergeCell ref="AU2:AV4"/>
    <mergeCell ref="BD2:BD8"/>
    <mergeCell ref="BN2:BN8"/>
    <mergeCell ref="BA6:BB6"/>
    <mergeCell ref="BA7:BB8"/>
  </mergeCells>
  <hyperlinks>
    <hyperlink ref="BA6:BB6" r:id="rId1" display="SCIAN 722511" xr:uid="{4567E51C-00E1-2C4D-A516-68871882D28F}"/>
  </hyperlinks>
  <pageMargins left="0.75000000000000011" right="0.75000000000000011" top="1" bottom="1" header="0.49" footer="0.49"/>
  <pageSetup paperSize="5" scale="40" orientation="landscape"/>
  <headerFooter>
    <oddFooter>&amp;C&amp;K000000Budget et indicateurs de performance (430-763-Me)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003C4-E730-B64A-91FE-E87B26BD1B3A}">
  <sheetPr>
    <tabColor rgb="FF002060"/>
  </sheetPr>
  <dimension ref="B1:AZ77"/>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3" x14ac:dyDescent="0.15"/>
  <cols>
    <col min="1" max="1" width="3.6640625" customWidth="1"/>
    <col min="2" max="2" width="1.5" customWidth="1"/>
    <col min="3" max="3" width="56.5" bestFit="1" customWidth="1"/>
    <col min="4" max="4" width="2.33203125" customWidth="1"/>
    <col min="5" max="5" width="14.6640625" customWidth="1"/>
    <col min="6" max="6" width="9.1640625" customWidth="1"/>
    <col min="7" max="7" width="2.5" customWidth="1"/>
    <col min="8" max="8" width="57.6640625" bestFit="1" customWidth="1"/>
    <col min="9" max="9" width="2.1640625" customWidth="1"/>
    <col min="10" max="10" width="14.6640625" customWidth="1"/>
    <col min="11" max="11" width="11.1640625" bestFit="1" customWidth="1"/>
    <col min="12" max="12" width="2.5" customWidth="1"/>
    <col min="13" max="13" width="0.83203125" customWidth="1"/>
    <col min="14" max="14" width="16.6640625" customWidth="1"/>
    <col min="15" max="15" width="9.1640625" customWidth="1"/>
    <col min="16" max="16" width="0.83203125" customWidth="1"/>
    <col min="17" max="17" width="14.6640625" customWidth="1"/>
    <col min="18" max="18" width="9.1640625" customWidth="1"/>
    <col min="19" max="19" width="0.83203125" customWidth="1"/>
    <col min="20" max="20" width="14.66406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customWidth="1"/>
    <col min="32" max="32" width="14.6640625" customWidth="1"/>
    <col min="33" max="33" width="9.1640625" customWidth="1"/>
    <col min="34" max="34" width="0.83203125" customWidth="1"/>
    <col min="35" max="35" width="14.6640625" customWidth="1"/>
    <col min="36" max="36" width="9.1640625" customWidth="1"/>
    <col min="37" max="37" width="0.83203125" customWidth="1"/>
    <col min="38" max="38" width="14.6640625" customWidth="1"/>
    <col min="39" max="39" width="9.1640625" customWidth="1"/>
    <col min="40" max="41" width="0.83203125"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t="s">
        <v>1</v>
      </c>
    </row>
    <row r="2" spans="3:52" ht="14" thickTop="1" x14ac:dyDescent="0.15">
      <c r="C2" s="1113" t="str">
        <f>'État des Résultats'!C2</f>
        <v>Votre entreprise inc.</v>
      </c>
      <c r="H2" s="1114" t="str">
        <f>C2</f>
        <v>Votre entreprise inc.</v>
      </c>
      <c r="AL2" t="s">
        <v>1</v>
      </c>
    </row>
    <row r="3" spans="3:52" x14ac:dyDescent="0.15">
      <c r="C3" s="1442" t="s">
        <v>407</v>
      </c>
      <c r="H3" s="1442" t="s">
        <v>408</v>
      </c>
      <c r="AL3" t="s">
        <v>1</v>
      </c>
    </row>
    <row r="4" spans="3:52" ht="14" thickBot="1" x14ac:dyDescent="0.2">
      <c r="C4" s="1443"/>
      <c r="H4" s="1443"/>
    </row>
    <row r="5" spans="3:52" ht="15" thickTop="1" thickBot="1" x14ac:dyDescent="0.2">
      <c r="C5" s="1115"/>
      <c r="H5" s="1115"/>
    </row>
    <row r="6" spans="3:52" ht="17" thickTop="1" x14ac:dyDescent="0.3">
      <c r="C6" s="1116" t="s">
        <v>26</v>
      </c>
      <c r="E6" s="1117" t="s">
        <v>409</v>
      </c>
      <c r="F6" s="1118">
        <f>E30/C7</f>
        <v>7764.2857142857147</v>
      </c>
      <c r="G6" s="439"/>
      <c r="H6" s="1116" t="str">
        <f>+C6</f>
        <v>Nb de places</v>
      </c>
      <c r="J6" s="1117" t="str">
        <f>E6</f>
        <v>Actifs / Place</v>
      </c>
      <c r="K6" s="1118">
        <f>J30/H7</f>
        <v>9283.4939285714299</v>
      </c>
      <c r="AR6" s="439"/>
      <c r="AU6" s="439"/>
      <c r="AV6" s="439"/>
      <c r="AW6" s="439"/>
      <c r="AX6" s="439"/>
      <c r="AY6" s="439"/>
      <c r="AZ6" s="439"/>
    </row>
    <row r="7" spans="3:52" x14ac:dyDescent="0.15">
      <c r="C7" s="1119">
        <v>28</v>
      </c>
      <c r="E7" s="1120" t="s">
        <v>1</v>
      </c>
      <c r="F7" s="1121"/>
      <c r="G7" s="439"/>
      <c r="H7" s="1122">
        <f>C7</f>
        <v>28</v>
      </c>
      <c r="J7" s="1120" t="s">
        <v>1</v>
      </c>
      <c r="K7" s="1121"/>
      <c r="AR7" s="439"/>
      <c r="AU7" s="439"/>
      <c r="AV7" s="439"/>
      <c r="AW7" s="439"/>
      <c r="AX7" s="439"/>
      <c r="AY7" s="439"/>
      <c r="AZ7" s="439"/>
    </row>
    <row r="8" spans="3:52" x14ac:dyDescent="0.15">
      <c r="C8" s="1123" t="s">
        <v>410</v>
      </c>
      <c r="E8" s="1124" t="s">
        <v>411</v>
      </c>
      <c r="F8" s="1125" t="s">
        <v>141</v>
      </c>
      <c r="G8" s="1126"/>
      <c r="H8" s="1123" t="str">
        <f>C8</f>
        <v>Total des actifs par place</v>
      </c>
      <c r="J8" s="1124" t="str">
        <f>E8</f>
        <v>Bilan</v>
      </c>
      <c r="K8" s="1125" t="s">
        <v>141</v>
      </c>
    </row>
    <row r="9" spans="3:52" ht="14" thickBot="1" x14ac:dyDescent="0.2">
      <c r="C9" s="1127">
        <f>+E30/C7</f>
        <v>7764.2857142857147</v>
      </c>
      <c r="E9" s="1124" t="s">
        <v>412</v>
      </c>
      <c r="F9" s="1128" t="s">
        <v>1</v>
      </c>
      <c r="G9" s="461"/>
      <c r="H9" s="1127">
        <f>+J30/H7</f>
        <v>9283.4939285714299</v>
      </c>
      <c r="J9" s="1124" t="s">
        <v>413</v>
      </c>
      <c r="K9" s="1128" t="s">
        <v>1</v>
      </c>
    </row>
    <row r="10" spans="3:52" ht="15" thickTop="1" thickBot="1" x14ac:dyDescent="0.2">
      <c r="C10" s="1129" t="s">
        <v>414</v>
      </c>
      <c r="E10" s="1130"/>
      <c r="F10" s="1131"/>
      <c r="H10" s="1129" t="str">
        <f>C10</f>
        <v>ACTIF</v>
      </c>
      <c r="J10" s="1130"/>
      <c r="K10" s="1131"/>
    </row>
    <row r="11" spans="3:52" ht="14" thickTop="1" x14ac:dyDescent="0.15">
      <c r="C11" s="1132" t="s">
        <v>1</v>
      </c>
      <c r="E11" s="1133" t="s">
        <v>1</v>
      </c>
      <c r="F11" s="1134" t="s">
        <v>1</v>
      </c>
      <c r="H11" s="1132" t="s">
        <v>1</v>
      </c>
      <c r="J11" s="1133" t="s">
        <v>1</v>
      </c>
      <c r="K11" s="1134" t="s">
        <v>1</v>
      </c>
    </row>
    <row r="12" spans="3:52" x14ac:dyDescent="0.15">
      <c r="C12" s="1135" t="s">
        <v>415</v>
      </c>
      <c r="E12" s="1133" t="s">
        <v>1</v>
      </c>
      <c r="F12" s="1136" t="s">
        <v>1</v>
      </c>
      <c r="H12" s="1135" t="str">
        <f>C12</f>
        <v>Actif courant</v>
      </c>
      <c r="J12" s="1133" t="s">
        <v>1</v>
      </c>
      <c r="K12" s="1136" t="s">
        <v>1</v>
      </c>
    </row>
    <row r="13" spans="3:52" x14ac:dyDescent="0.15">
      <c r="C13" s="1132"/>
      <c r="E13" s="1133"/>
      <c r="F13" s="1136"/>
      <c r="H13" s="1132"/>
      <c r="J13" s="1133"/>
      <c r="K13" s="1136"/>
    </row>
    <row r="14" spans="3:52" x14ac:dyDescent="0.15">
      <c r="C14" s="1132" t="s">
        <v>416</v>
      </c>
      <c r="E14" s="1137">
        <v>21400</v>
      </c>
      <c r="F14" s="1136">
        <f>E14/E30</f>
        <v>9.8436062557497706E-2</v>
      </c>
      <c r="H14" s="1132" t="str">
        <f>C14</f>
        <v xml:space="preserve"> Trésorerie et équivalent de trésorerie</v>
      </c>
      <c r="J14" s="1137">
        <v>32537.83</v>
      </c>
      <c r="K14" s="1136">
        <f>J14/J30</f>
        <v>0.12517543137141676</v>
      </c>
      <c r="N14" t="s">
        <v>521</v>
      </c>
    </row>
    <row r="15" spans="3:52" x14ac:dyDescent="0.15">
      <c r="C15" s="1132" t="s">
        <v>417</v>
      </c>
      <c r="E15" s="1137">
        <v>0</v>
      </c>
      <c r="F15" s="1136">
        <f>E15/E30</f>
        <v>0</v>
      </c>
      <c r="H15" s="1132" t="str">
        <f>C15</f>
        <v xml:space="preserve"> Clients et autres débiteurs</v>
      </c>
      <c r="J15" s="1137">
        <f>E15</f>
        <v>0</v>
      </c>
      <c r="K15" s="1136">
        <f>J15/J30</f>
        <v>0</v>
      </c>
    </row>
    <row r="16" spans="3:52" x14ac:dyDescent="0.15">
      <c r="C16" s="1132" t="s">
        <v>418</v>
      </c>
      <c r="E16" s="1137">
        <v>10000</v>
      </c>
      <c r="F16" s="1136">
        <f>E16/E30</f>
        <v>4.5998160073597055E-2</v>
      </c>
      <c r="H16" s="1132" t="str">
        <f>C16</f>
        <v xml:space="preserve"> Stocks</v>
      </c>
      <c r="J16" s="1137">
        <f>E16</f>
        <v>10000</v>
      </c>
      <c r="K16" s="1136">
        <f>J16/J30</f>
        <v>3.84707374067099E-2</v>
      </c>
      <c r="N16" t="s">
        <v>522</v>
      </c>
    </row>
    <row r="17" spans="2:52" x14ac:dyDescent="0.15">
      <c r="C17" s="1132" t="s">
        <v>419</v>
      </c>
      <c r="E17" s="1137">
        <v>0</v>
      </c>
      <c r="F17" s="1136">
        <f>E17/E30</f>
        <v>0</v>
      </c>
      <c r="H17" s="1132" t="str">
        <f>C17</f>
        <v xml:space="preserve"> Autres actifs courants</v>
      </c>
      <c r="J17" s="1137">
        <f>E17</f>
        <v>0</v>
      </c>
      <c r="K17" s="1136">
        <f>J17/J30</f>
        <v>0</v>
      </c>
    </row>
    <row r="18" spans="2:52" ht="14" thickBot="1" x14ac:dyDescent="0.2">
      <c r="C18" s="1132" t="s">
        <v>1</v>
      </c>
      <c r="E18" s="1137" t="s">
        <v>1</v>
      </c>
      <c r="F18" s="1136" t="s">
        <v>1</v>
      </c>
      <c r="H18" s="1132" t="s">
        <v>1</v>
      </c>
      <c r="J18" s="1137" t="s">
        <v>1</v>
      </c>
      <c r="K18" s="1136" t="s">
        <v>1</v>
      </c>
    </row>
    <row r="19" spans="2:52" ht="15" thickTop="1" thickBot="1" x14ac:dyDescent="0.2">
      <c r="C19" s="1138" t="s">
        <v>420</v>
      </c>
      <c r="D19" s="1139"/>
      <c r="E19" s="1140">
        <f>SUM(E14:E17)</f>
        <v>31400</v>
      </c>
      <c r="F19" s="1141">
        <f>E19/E30</f>
        <v>0.14443422263109476</v>
      </c>
      <c r="H19" s="1138" t="str">
        <f>C19</f>
        <v>Total des actifs courants</v>
      </c>
      <c r="I19" s="1139"/>
      <c r="J19" s="1140">
        <f>SUM(J14:J17)</f>
        <v>42537.83</v>
      </c>
      <c r="K19" s="1141">
        <f>J19/J30</f>
        <v>0.16364616877812668</v>
      </c>
      <c r="AR19" s="1139"/>
      <c r="AS19" s="1139"/>
      <c r="AT19" s="1139"/>
      <c r="AU19" s="1139"/>
      <c r="AV19" s="1139"/>
      <c r="AW19" s="1139"/>
      <c r="AX19" s="1139"/>
      <c r="AY19" s="1139"/>
      <c r="AZ19" s="1139"/>
    </row>
    <row r="20" spans="2:52" ht="14" thickTop="1" x14ac:dyDescent="0.15">
      <c r="C20" s="998"/>
      <c r="E20" s="1142" t="s">
        <v>1</v>
      </c>
      <c r="F20" s="1143"/>
      <c r="H20" s="998"/>
      <c r="J20" s="1142" t="s">
        <v>1</v>
      </c>
      <c r="K20" s="1143"/>
    </row>
    <row r="21" spans="2:52" x14ac:dyDescent="0.15">
      <c r="B21" s="1144"/>
      <c r="C21" s="1145" t="s">
        <v>421</v>
      </c>
      <c r="D21" s="1146"/>
      <c r="E21" s="1147" t="s">
        <v>1</v>
      </c>
      <c r="F21" s="1148" t="s">
        <v>1</v>
      </c>
      <c r="H21" s="1145" t="str">
        <f>C21</f>
        <v>Actif non courant</v>
      </c>
      <c r="I21" s="1144"/>
      <c r="J21" s="1147" t="s">
        <v>1</v>
      </c>
      <c r="K21" s="1148" t="s">
        <v>1</v>
      </c>
      <c r="AT21" s="1149" t="s">
        <v>1</v>
      </c>
    </row>
    <row r="22" spans="2:52" x14ac:dyDescent="0.15">
      <c r="C22" s="998"/>
      <c r="E22" s="1150"/>
      <c r="F22" s="1143"/>
      <c r="H22" s="998"/>
      <c r="J22" s="1150"/>
      <c r="K22" s="1143"/>
    </row>
    <row r="23" spans="2:52" x14ac:dyDescent="0.15">
      <c r="C23" s="1132" t="s">
        <v>422</v>
      </c>
      <c r="E23" s="1137">
        <v>0</v>
      </c>
      <c r="F23" s="1143">
        <f>E23/E30</f>
        <v>0</v>
      </c>
      <c r="H23" s="1132" t="str">
        <f>C23</f>
        <v xml:space="preserve"> Placements</v>
      </c>
      <c r="J23" s="1137">
        <v>50000</v>
      </c>
      <c r="K23" s="1143">
        <f>J23/J30</f>
        <v>0.19235368703354952</v>
      </c>
    </row>
    <row r="24" spans="2:52" x14ac:dyDescent="0.15">
      <c r="C24" s="1132" t="s">
        <v>423</v>
      </c>
      <c r="E24" s="1137">
        <v>186000</v>
      </c>
      <c r="F24" s="1143">
        <f>E24/E30</f>
        <v>0.85556577736890527</v>
      </c>
      <c r="H24" s="1132" t="str">
        <f>C24</f>
        <v xml:space="preserve"> Immobilisations corporelles </v>
      </c>
      <c r="J24" s="1137">
        <f>+E24-(E24/10)</f>
        <v>167400</v>
      </c>
      <c r="K24" s="1143">
        <f>J24/J30</f>
        <v>0.64400014418832374</v>
      </c>
      <c r="N24" t="s">
        <v>520</v>
      </c>
    </row>
    <row r="25" spans="2:52" x14ac:dyDescent="0.15">
      <c r="C25" s="1132" t="s">
        <v>424</v>
      </c>
      <c r="E25" s="1137">
        <v>0</v>
      </c>
      <c r="F25" s="1143">
        <f>E25/E30</f>
        <v>0</v>
      </c>
      <c r="H25" s="1132" t="str">
        <f>C25</f>
        <v xml:space="preserve"> Immobilisations incorporelles</v>
      </c>
      <c r="J25" s="1137">
        <f>E25</f>
        <v>0</v>
      </c>
      <c r="K25" s="1143">
        <f>J25/J30</f>
        <v>0</v>
      </c>
    </row>
    <row r="26" spans="2:52" x14ac:dyDescent="0.15">
      <c r="C26" s="1132" t="s">
        <v>425</v>
      </c>
      <c r="E26" s="1137">
        <v>0</v>
      </c>
      <c r="F26" s="1143">
        <f>E26/E30</f>
        <v>0</v>
      </c>
      <c r="H26" s="1132" t="str">
        <f>C26</f>
        <v xml:space="preserve"> Achalandage (Goodwill)</v>
      </c>
      <c r="J26" s="1137">
        <f>E26</f>
        <v>0</v>
      </c>
      <c r="K26" s="1143">
        <f>J26/J30</f>
        <v>0</v>
      </c>
    </row>
    <row r="27" spans="2:52" ht="14" thickBot="1" x14ac:dyDescent="0.2">
      <c r="C27" s="1132"/>
      <c r="E27" s="1150"/>
      <c r="F27" s="1143"/>
      <c r="H27" s="1132"/>
      <c r="J27" s="1150"/>
      <c r="K27" s="1143"/>
    </row>
    <row r="28" spans="2:52" ht="15" thickTop="1" thickBot="1" x14ac:dyDescent="0.2">
      <c r="C28" s="1129" t="s">
        <v>426</v>
      </c>
      <c r="D28" s="458"/>
      <c r="E28" s="1151">
        <f>SUM(E23:E26)</f>
        <v>186000</v>
      </c>
      <c r="F28" s="1152">
        <f>E28/E30</f>
        <v>0.85556577736890527</v>
      </c>
      <c r="H28" s="1129" t="str">
        <f>C28</f>
        <v>Total des actifs non courant</v>
      </c>
      <c r="I28" s="458"/>
      <c r="J28" s="1151">
        <f>SUM(J23:J26)</f>
        <v>217400</v>
      </c>
      <c r="K28" s="1152">
        <f>J28/J30</f>
        <v>0.83635383122187323</v>
      </c>
      <c r="AS28" s="1149" t="s">
        <v>1</v>
      </c>
    </row>
    <row r="29" spans="2:52" ht="15" thickTop="1" thickBot="1" x14ac:dyDescent="0.2">
      <c r="C29" s="1153"/>
      <c r="E29" s="1150"/>
      <c r="F29" s="1143"/>
      <c r="H29" s="1153"/>
      <c r="J29" s="1150"/>
      <c r="K29" s="1143"/>
    </row>
    <row r="30" spans="2:52" ht="15" thickTop="1" thickBot="1" x14ac:dyDescent="0.2">
      <c r="C30" s="1154" t="s">
        <v>427</v>
      </c>
      <c r="D30" s="458"/>
      <c r="E30" s="1155">
        <f>+E19+E28</f>
        <v>217400</v>
      </c>
      <c r="F30" s="1156">
        <f>E30/E30</f>
        <v>1</v>
      </c>
      <c r="H30" s="1154" t="str">
        <f>C30</f>
        <v>TOTAL DES ACTIFS</v>
      </c>
      <c r="I30" s="458"/>
      <c r="J30" s="1157">
        <f>+J19+J28</f>
        <v>259937.83000000002</v>
      </c>
      <c r="K30" s="1156">
        <f>J30/J30</f>
        <v>1</v>
      </c>
      <c r="N30" s="1158">
        <f>+J66-J30</f>
        <v>4.1849972330965102E-4</v>
      </c>
      <c r="AR30" s="458"/>
    </row>
    <row r="31" spans="2:52" ht="15" thickTop="1" thickBot="1" x14ac:dyDescent="0.2">
      <c r="C31" s="1153"/>
      <c r="E31" s="1150"/>
      <c r="F31" s="1143"/>
      <c r="H31" s="1153"/>
      <c r="J31" s="1150"/>
      <c r="K31" s="1143"/>
    </row>
    <row r="32" spans="2:52" ht="15" thickTop="1" thickBot="1" x14ac:dyDescent="0.2">
      <c r="C32" s="1138" t="s">
        <v>428</v>
      </c>
      <c r="D32" s="1139"/>
      <c r="E32" s="1159" t="s">
        <v>1</v>
      </c>
      <c r="F32" s="1160" t="s">
        <v>1</v>
      </c>
      <c r="H32" s="1138" t="str">
        <f>C32</f>
        <v>PASSIF</v>
      </c>
      <c r="I32" s="1139"/>
      <c r="J32" s="1159" t="s">
        <v>1</v>
      </c>
      <c r="K32" s="1160" t="s">
        <v>1</v>
      </c>
      <c r="AR32" s="481"/>
      <c r="AS32" s="1139"/>
      <c r="AT32" s="1139"/>
      <c r="AU32" s="1139"/>
      <c r="AV32" s="1139"/>
      <c r="AW32" s="1139"/>
      <c r="AX32" s="1139"/>
      <c r="AY32" s="1139"/>
      <c r="AZ32" s="1139"/>
    </row>
    <row r="33" spans="3:52" ht="14" thickTop="1" x14ac:dyDescent="0.15">
      <c r="C33" s="998"/>
      <c r="E33" s="1150"/>
      <c r="F33" s="1143"/>
      <c r="H33" s="998"/>
      <c r="J33" s="1150"/>
      <c r="K33" s="1143"/>
    </row>
    <row r="34" spans="3:52" x14ac:dyDescent="0.15">
      <c r="C34" s="1135" t="s">
        <v>429</v>
      </c>
      <c r="E34" s="1147" t="s">
        <v>1</v>
      </c>
      <c r="F34" s="1161" t="s">
        <v>1</v>
      </c>
      <c r="H34" s="1135" t="str">
        <f>C34</f>
        <v>Passif courant</v>
      </c>
      <c r="J34" s="1147" t="s">
        <v>1</v>
      </c>
      <c r="K34" s="1161" t="s">
        <v>1</v>
      </c>
    </row>
    <row r="35" spans="3:52" x14ac:dyDescent="0.15">
      <c r="C35" s="1132" t="s">
        <v>1</v>
      </c>
      <c r="D35" s="1162"/>
      <c r="E35" s="1147" t="s">
        <v>1</v>
      </c>
      <c r="F35" s="1161" t="s">
        <v>1</v>
      </c>
      <c r="H35" s="1132" t="s">
        <v>1</v>
      </c>
      <c r="I35" s="1162"/>
      <c r="J35" s="1147" t="s">
        <v>1</v>
      </c>
      <c r="K35" s="1161" t="s">
        <v>1</v>
      </c>
    </row>
    <row r="36" spans="3:52" x14ac:dyDescent="0.15">
      <c r="C36" s="1132" t="s">
        <v>430</v>
      </c>
      <c r="D36" s="1162"/>
      <c r="E36" s="1147">
        <v>0</v>
      </c>
      <c r="F36" s="1143">
        <f>E36/E30</f>
        <v>0</v>
      </c>
      <c r="H36" s="1132" t="str">
        <f t="shared" ref="H36:H41" si="0">C36</f>
        <v xml:space="preserve"> Découverts bancaires</v>
      </c>
      <c r="I36" s="1162"/>
      <c r="J36" s="1147">
        <f>E36</f>
        <v>0</v>
      </c>
      <c r="K36" s="1143">
        <f>J36/J30</f>
        <v>0</v>
      </c>
    </row>
    <row r="37" spans="3:52" x14ac:dyDescent="0.15">
      <c r="C37" s="1132" t="s">
        <v>431</v>
      </c>
      <c r="D37" s="1162"/>
      <c r="E37" s="1147">
        <v>0</v>
      </c>
      <c r="F37" s="1143">
        <f>E37/E30</f>
        <v>0</v>
      </c>
      <c r="H37" s="1132" t="str">
        <f t="shared" si="0"/>
        <v xml:space="preserve"> Emprunts bancaires</v>
      </c>
      <c r="I37" s="1162"/>
      <c r="J37" s="1147">
        <f>E37</f>
        <v>0</v>
      </c>
      <c r="K37" s="1143">
        <f>J37/J30</f>
        <v>0</v>
      </c>
    </row>
    <row r="38" spans="3:52" x14ac:dyDescent="0.15">
      <c r="C38" s="1132" t="s">
        <v>432</v>
      </c>
      <c r="E38" s="1147">
        <v>0</v>
      </c>
      <c r="F38" s="1143">
        <f>E38/E30</f>
        <v>0</v>
      </c>
      <c r="H38" s="1132" t="str">
        <f t="shared" si="0"/>
        <v xml:space="preserve"> Fournisseurs et autres créditeurs </v>
      </c>
      <c r="J38" s="1147">
        <f>'État des Résultats'!AR43+10000</f>
        <v>21883.209475329953</v>
      </c>
      <c r="K38" s="1143">
        <f>J38/J30</f>
        <v>8.418632053414446E-2</v>
      </c>
    </row>
    <row r="39" spans="3:52" x14ac:dyDescent="0.15">
      <c r="C39" s="1132" t="s">
        <v>433</v>
      </c>
      <c r="E39" s="1147">
        <v>0</v>
      </c>
      <c r="F39" s="1143">
        <f>E39/E30</f>
        <v>0</v>
      </c>
      <c r="H39" s="1132" t="str">
        <f t="shared" si="0"/>
        <v xml:space="preserve"> Produits différés</v>
      </c>
      <c r="J39" s="1147">
        <f>E39</f>
        <v>0</v>
      </c>
      <c r="K39" s="1143">
        <f>J39/J30</f>
        <v>0</v>
      </c>
    </row>
    <row r="40" spans="3:52" x14ac:dyDescent="0.15">
      <c r="C40" s="1132" t="s">
        <v>434</v>
      </c>
      <c r="E40" s="1147">
        <v>0</v>
      </c>
      <c r="F40" s="1143">
        <f>E40/E30</f>
        <v>0</v>
      </c>
      <c r="H40" s="1132" t="str">
        <f t="shared" si="0"/>
        <v xml:space="preserve"> Provisions pour risques et charges</v>
      </c>
      <c r="J40" s="1147">
        <f>E40</f>
        <v>0</v>
      </c>
      <c r="K40" s="1143">
        <f>J40/J30</f>
        <v>0</v>
      </c>
    </row>
    <row r="41" spans="3:52" x14ac:dyDescent="0.15">
      <c r="C41" s="1132" t="s">
        <v>435</v>
      </c>
      <c r="E41" s="1147">
        <f>+(E24*0.9)/5</f>
        <v>33480</v>
      </c>
      <c r="F41" s="1143">
        <f>E41/E30</f>
        <v>0.15400183992640296</v>
      </c>
      <c r="H41" s="1132" t="str">
        <f t="shared" si="0"/>
        <v xml:space="preserve"> Partie courante de la dette</v>
      </c>
      <c r="J41" s="1147">
        <f>E41</f>
        <v>33480</v>
      </c>
      <c r="K41" s="1143">
        <f>J41/J30</f>
        <v>0.12880002883766475</v>
      </c>
    </row>
    <row r="42" spans="3:52" ht="14" thickBot="1" x14ac:dyDescent="0.2">
      <c r="C42" s="1132"/>
      <c r="E42" s="1147"/>
      <c r="F42" s="1143"/>
      <c r="H42" s="1132"/>
      <c r="J42" s="1147"/>
      <c r="K42" s="1143"/>
    </row>
    <row r="43" spans="3:52" ht="15" thickTop="1" thickBot="1" x14ac:dyDescent="0.2">
      <c r="C43" s="1129" t="s">
        <v>436</v>
      </c>
      <c r="E43" s="1163">
        <f>SUM(E36:E41)</f>
        <v>33480</v>
      </c>
      <c r="F43" s="1164">
        <f>E43/E30</f>
        <v>0.15400183992640296</v>
      </c>
      <c r="H43" s="1129" t="str">
        <f>C43</f>
        <v>Total des passifs courants</v>
      </c>
      <c r="J43" s="1163">
        <f>SUM(J36:J41)</f>
        <v>55363.209475329953</v>
      </c>
      <c r="K43" s="1164">
        <f>J43/J30</f>
        <v>0.21298634937180921</v>
      </c>
      <c r="AS43" s="1149" t="s">
        <v>1</v>
      </c>
    </row>
    <row r="44" spans="3:52" ht="14" thickTop="1" x14ac:dyDescent="0.15">
      <c r="C44" s="998"/>
      <c r="E44" s="1150"/>
      <c r="F44" s="1143"/>
      <c r="H44" s="998"/>
      <c r="J44" s="1150"/>
      <c r="K44" s="1143"/>
    </row>
    <row r="45" spans="3:52" x14ac:dyDescent="0.15">
      <c r="C45" s="1145" t="s">
        <v>437</v>
      </c>
      <c r="D45" s="1144"/>
      <c r="E45" s="1165" t="s">
        <v>1</v>
      </c>
      <c r="F45" s="1166" t="s">
        <v>1</v>
      </c>
      <c r="H45" s="1145" t="str">
        <f>C45</f>
        <v>Passif non courant</v>
      </c>
      <c r="I45" s="1144"/>
      <c r="J45" s="1165" t="s">
        <v>1</v>
      </c>
      <c r="K45" s="1166" t="s">
        <v>1</v>
      </c>
      <c r="AR45" s="481"/>
      <c r="AS45" s="1139"/>
      <c r="AT45" s="1139"/>
      <c r="AU45" s="1139"/>
      <c r="AV45" s="1139"/>
      <c r="AW45" s="1139"/>
      <c r="AX45" s="1139"/>
      <c r="AY45" s="1139"/>
      <c r="AZ45" s="1139"/>
    </row>
    <row r="46" spans="3:52" x14ac:dyDescent="0.15">
      <c r="C46" s="998"/>
      <c r="E46" s="1150"/>
      <c r="F46" s="1143"/>
      <c r="H46" s="998"/>
      <c r="J46" s="1150"/>
      <c r="K46" s="1143"/>
    </row>
    <row r="47" spans="3:52" x14ac:dyDescent="0.15">
      <c r="C47" s="1132" t="s">
        <v>438</v>
      </c>
      <c r="E47" s="1147">
        <f>+(E24*0.9)-E41</f>
        <v>133920</v>
      </c>
      <c r="F47" s="1143">
        <f>E47/E30</f>
        <v>0.61600735970561182</v>
      </c>
      <c r="H47" s="1132" t="str">
        <f>C47</f>
        <v xml:space="preserve"> Emprunts hypothécaires </v>
      </c>
      <c r="J47" s="1147">
        <f>+E47-J41</f>
        <v>100440</v>
      </c>
      <c r="K47" s="1143">
        <f>J47/J30</f>
        <v>0.38640008651299423</v>
      </c>
      <c r="AS47" s="1149" t="s">
        <v>1</v>
      </c>
    </row>
    <row r="48" spans="3:52" x14ac:dyDescent="0.15">
      <c r="C48" s="1132" t="s">
        <v>439</v>
      </c>
      <c r="E48" s="1147">
        <v>0</v>
      </c>
      <c r="F48" s="1143">
        <f>E48/E30</f>
        <v>0</v>
      </c>
      <c r="H48" s="1132" t="str">
        <f>C48</f>
        <v xml:space="preserve"> Emprunts obligataires</v>
      </c>
      <c r="J48" s="1147">
        <f>E48</f>
        <v>0</v>
      </c>
      <c r="K48" s="1143">
        <f>J48/J30</f>
        <v>0</v>
      </c>
      <c r="N48" t="s">
        <v>518</v>
      </c>
      <c r="AS48" s="1149"/>
    </row>
    <row r="49" spans="3:52" x14ac:dyDescent="0.15">
      <c r="C49" s="1132" t="s">
        <v>440</v>
      </c>
      <c r="E49" s="1147">
        <v>0</v>
      </c>
      <c r="F49" s="1143">
        <f>E49/E30</f>
        <v>0</v>
      </c>
      <c r="H49" s="1132" t="str">
        <f>C49</f>
        <v xml:space="preserve"> Obligations découlant de contrats de location-financement</v>
      </c>
      <c r="J49" s="1147">
        <f>E49</f>
        <v>0</v>
      </c>
      <c r="K49" s="1143">
        <f>J49/J30</f>
        <v>0</v>
      </c>
      <c r="AS49" s="1149"/>
    </row>
    <row r="50" spans="3:52" x14ac:dyDescent="0.15">
      <c r="C50" s="1132" t="s">
        <v>441</v>
      </c>
      <c r="E50" s="1147">
        <v>0</v>
      </c>
      <c r="F50" s="1143">
        <f>E50/E30</f>
        <v>0</v>
      </c>
      <c r="H50" s="1132" t="str">
        <f>C50</f>
        <v xml:space="preserve"> Impôts différés</v>
      </c>
      <c r="J50" s="1147">
        <f>E50</f>
        <v>0</v>
      </c>
      <c r="K50" s="1143">
        <f>J50/J30</f>
        <v>0</v>
      </c>
      <c r="AS50" s="1149"/>
    </row>
    <row r="51" spans="3:52" ht="14" thickBot="1" x14ac:dyDescent="0.2">
      <c r="C51" s="998"/>
      <c r="E51" s="1150"/>
      <c r="F51" s="1143"/>
      <c r="H51" s="998"/>
      <c r="J51" s="1150"/>
      <c r="K51" s="1143"/>
    </row>
    <row r="52" spans="3:52" ht="15" thickTop="1" thickBot="1" x14ac:dyDescent="0.2">
      <c r="C52" s="1138" t="s">
        <v>442</v>
      </c>
      <c r="D52" s="1139"/>
      <c r="E52" s="1167">
        <f>+SUM(E47:E50)</f>
        <v>133920</v>
      </c>
      <c r="F52" s="1141">
        <f>E52/E30</f>
        <v>0.61600735970561182</v>
      </c>
      <c r="H52" s="1138" t="str">
        <f>C52</f>
        <v>Total des passifs non courant</v>
      </c>
      <c r="I52" s="1139"/>
      <c r="J52" s="1167">
        <f>+SUM(J47:J50)</f>
        <v>100440</v>
      </c>
      <c r="K52" s="1141">
        <f>J52/J30</f>
        <v>0.38640008651299423</v>
      </c>
      <c r="AR52" s="481"/>
      <c r="AS52" s="1139"/>
      <c r="AT52" s="1139"/>
      <c r="AU52" s="1139"/>
      <c r="AV52" s="1139"/>
      <c r="AW52" s="1139"/>
      <c r="AX52" s="1139"/>
      <c r="AY52" s="1139"/>
      <c r="AZ52" s="1139"/>
    </row>
    <row r="53" spans="3:52" ht="15" thickTop="1" thickBot="1" x14ac:dyDescent="0.2">
      <c r="C53" s="1168"/>
      <c r="D53" s="1169"/>
      <c r="E53" s="1170"/>
      <c r="F53" s="1171"/>
      <c r="H53" s="1168"/>
      <c r="I53" s="1169"/>
      <c r="J53" s="1170"/>
      <c r="K53" s="1171"/>
      <c r="AR53" s="481"/>
      <c r="AS53" s="1139"/>
      <c r="AT53" s="1139"/>
      <c r="AU53" s="1139"/>
      <c r="AV53" s="1139"/>
      <c r="AW53" s="1139"/>
      <c r="AX53" s="1139"/>
      <c r="AY53" s="1139"/>
      <c r="AZ53" s="1139"/>
    </row>
    <row r="54" spans="3:52" ht="15" thickTop="1" thickBot="1" x14ac:dyDescent="0.2">
      <c r="C54" s="1172" t="s">
        <v>443</v>
      </c>
      <c r="D54" s="1169"/>
      <c r="E54" s="1155">
        <f>+E43+E52</f>
        <v>167400</v>
      </c>
      <c r="F54" s="1173">
        <f>E54/E30</f>
        <v>0.77000919963201475</v>
      </c>
      <c r="H54" s="1172" t="str">
        <f>C54</f>
        <v>TOTAL DES PASSIFS</v>
      </c>
      <c r="I54" s="1169"/>
      <c r="J54" s="1155">
        <f>+J43+J52</f>
        <v>155803.20947532996</v>
      </c>
      <c r="K54" s="1173">
        <f>J54/J30</f>
        <v>0.59938643588480345</v>
      </c>
      <c r="AR54" s="481"/>
      <c r="AS54" s="1139"/>
      <c r="AT54" s="1139"/>
      <c r="AU54" s="1139"/>
      <c r="AV54" s="1139"/>
      <c r="AW54" s="1139"/>
      <c r="AX54" s="1139"/>
      <c r="AY54" s="1139"/>
      <c r="AZ54" s="1139"/>
    </row>
    <row r="55" spans="3:52" ht="15" thickTop="1" thickBot="1" x14ac:dyDescent="0.2">
      <c r="C55" s="998"/>
      <c r="E55" s="1150"/>
      <c r="F55" s="1143"/>
      <c r="H55" s="998"/>
      <c r="J55" s="1150"/>
      <c r="K55" s="1143"/>
    </row>
    <row r="56" spans="3:52" ht="15" thickTop="1" thickBot="1" x14ac:dyDescent="0.2">
      <c r="C56" s="1174" t="s">
        <v>444</v>
      </c>
      <c r="E56" s="1175" t="s">
        <v>1</v>
      </c>
      <c r="F56" s="1131" t="s">
        <v>1</v>
      </c>
      <c r="H56" s="1174" t="str">
        <f>C56</f>
        <v>CAPITAUX PROPRES</v>
      </c>
      <c r="J56" s="1175" t="s">
        <v>1</v>
      </c>
      <c r="K56" s="1131" t="s">
        <v>1</v>
      </c>
      <c r="AS56" s="1149" t="s">
        <v>1</v>
      </c>
    </row>
    <row r="57" spans="3:52" ht="14" thickTop="1" x14ac:dyDescent="0.15">
      <c r="C57" s="1176"/>
      <c r="D57" s="1162"/>
      <c r="E57" s="1177"/>
      <c r="F57" s="1178"/>
      <c r="H57" s="1176"/>
      <c r="I57" s="1162"/>
      <c r="J57" s="1177"/>
      <c r="K57" s="1178"/>
      <c r="AS57" s="1149"/>
    </row>
    <row r="58" spans="3:52" x14ac:dyDescent="0.15">
      <c r="C58" s="1179" t="s">
        <v>445</v>
      </c>
      <c r="D58" s="1162"/>
      <c r="E58" s="1147">
        <v>50000</v>
      </c>
      <c r="F58" s="1148">
        <f>E58/$E$30</f>
        <v>0.22999080036798528</v>
      </c>
      <c r="H58" s="1179" t="str">
        <f>C58</f>
        <v xml:space="preserve"> Capital actions</v>
      </c>
      <c r="I58" s="1162"/>
      <c r="J58" s="1147">
        <f>E58</f>
        <v>50000</v>
      </c>
      <c r="K58" s="1148">
        <f>J58/$J$30</f>
        <v>0.19235368703354952</v>
      </c>
      <c r="AS58" s="1149"/>
    </row>
    <row r="59" spans="3:52" x14ac:dyDescent="0.15">
      <c r="C59" s="1179" t="s">
        <v>446</v>
      </c>
      <c r="D59" s="1162"/>
      <c r="E59" s="1147">
        <v>0</v>
      </c>
      <c r="F59" s="1148">
        <f t="shared" ref="F59:F62" si="1">E59/$E$30</f>
        <v>0</v>
      </c>
      <c r="H59" s="1179" t="str">
        <f>C59</f>
        <v xml:space="preserve"> Surplus d’apports</v>
      </c>
      <c r="I59" s="1162"/>
      <c r="J59" s="1147">
        <f>E59</f>
        <v>0</v>
      </c>
      <c r="K59" s="1148">
        <f>J59/$J$30</f>
        <v>0</v>
      </c>
      <c r="AS59" s="1149"/>
    </row>
    <row r="60" spans="3:52" x14ac:dyDescent="0.15">
      <c r="C60" s="1179" t="s">
        <v>447</v>
      </c>
      <c r="D60" s="1162"/>
      <c r="E60" s="1147">
        <v>0</v>
      </c>
      <c r="F60" s="1148">
        <f t="shared" si="1"/>
        <v>0</v>
      </c>
      <c r="H60" s="1179" t="str">
        <f>C60</f>
        <v xml:space="preserve"> Résultats non distribués</v>
      </c>
      <c r="I60" s="1162"/>
      <c r="J60" s="1147">
        <f>'État des Résultats'!AR45</f>
        <v>54134.620943169786</v>
      </c>
      <c r="K60" s="1148">
        <f>J60/$J$30</f>
        <v>0.20825987869164631</v>
      </c>
      <c r="AS60" s="1149"/>
    </row>
    <row r="61" spans="3:52" x14ac:dyDescent="0.15">
      <c r="C61" s="1179" t="s">
        <v>448</v>
      </c>
      <c r="D61" s="1162"/>
      <c r="E61" s="1147">
        <v>0</v>
      </c>
      <c r="F61" s="1148">
        <f t="shared" si="1"/>
        <v>0</v>
      </c>
      <c r="H61" s="1179" t="str">
        <f>C61</f>
        <v xml:space="preserve"> Cumul des autres éléments du résultat global</v>
      </c>
      <c r="I61" s="1162"/>
      <c r="J61" s="1147">
        <f>E61</f>
        <v>0</v>
      </c>
      <c r="K61" s="1148">
        <f>J61/$J$30</f>
        <v>0</v>
      </c>
      <c r="AS61" s="1149"/>
    </row>
    <row r="62" spans="3:52" x14ac:dyDescent="0.15">
      <c r="C62" s="1179" t="s">
        <v>449</v>
      </c>
      <c r="D62" s="1162"/>
      <c r="E62" s="1147">
        <v>0</v>
      </c>
      <c r="F62" s="1148">
        <f t="shared" si="1"/>
        <v>0</v>
      </c>
      <c r="H62" s="1179" t="str">
        <f>C62</f>
        <v xml:space="preserve"> Participation ne donnant pas le contrôle</v>
      </c>
      <c r="I62" s="1162"/>
      <c r="J62" s="1147">
        <f>E62</f>
        <v>0</v>
      </c>
      <c r="K62" s="1148">
        <f>J62/$J$30</f>
        <v>0</v>
      </c>
      <c r="AS62" s="1149"/>
    </row>
    <row r="63" spans="3:52" ht="14" thickBot="1" x14ac:dyDescent="0.2">
      <c r="C63" s="1179"/>
      <c r="E63" s="1150"/>
      <c r="F63" s="1143"/>
      <c r="H63" s="1179"/>
      <c r="J63" s="1142" t="s">
        <v>1</v>
      </c>
      <c r="K63" s="1161" t="s">
        <v>1</v>
      </c>
    </row>
    <row r="64" spans="3:52" ht="15" thickTop="1" thickBot="1" x14ac:dyDescent="0.2">
      <c r="C64" s="1172" t="s">
        <v>450</v>
      </c>
      <c r="D64" s="1139"/>
      <c r="E64" s="1180">
        <f>+SUM(E58:E62)</f>
        <v>50000</v>
      </c>
      <c r="F64" s="1181">
        <f>E64/E30</f>
        <v>0.22999080036798528</v>
      </c>
      <c r="H64" s="1172" t="str">
        <f>C64</f>
        <v>Total des capitaux propres</v>
      </c>
      <c r="I64" s="1139"/>
      <c r="J64" s="1180">
        <f>+SUM(J58:J62)</f>
        <v>104134.62094316978</v>
      </c>
      <c r="K64" s="1181">
        <f>J64/J30</f>
        <v>0.4006135657251958</v>
      </c>
      <c r="AR64" s="481"/>
      <c r="AS64" s="1182" t="s">
        <v>1</v>
      </c>
      <c r="AT64" s="1182" t="s">
        <v>1</v>
      </c>
      <c r="AU64" s="1139"/>
      <c r="AV64" s="1139"/>
      <c r="AW64" s="1139"/>
      <c r="AX64" s="1139"/>
      <c r="AY64" s="1139"/>
      <c r="AZ64" s="1139"/>
    </row>
    <row r="65" spans="3:42" ht="15" thickTop="1" thickBot="1" x14ac:dyDescent="0.2">
      <c r="C65" s="998"/>
      <c r="E65" s="1183"/>
      <c r="F65" s="1184"/>
      <c r="H65" s="998"/>
      <c r="J65" s="1183"/>
      <c r="K65" s="1184"/>
      <c r="P65" s="1185"/>
    </row>
    <row r="66" spans="3:42" ht="15" thickTop="1" thickBot="1" x14ac:dyDescent="0.2">
      <c r="C66" s="1186" t="s">
        <v>451</v>
      </c>
      <c r="E66" s="1187">
        <f>+E54+E64</f>
        <v>217400</v>
      </c>
      <c r="F66" s="1188">
        <f>E66/E30</f>
        <v>1</v>
      </c>
      <c r="H66" s="1186" t="str">
        <f>C66</f>
        <v>TOTAL DES PASSIFS ET DES CAPITAUX PROPRES</v>
      </c>
      <c r="J66" s="1187">
        <f>+J54+J64</f>
        <v>259937.83041849974</v>
      </c>
      <c r="K66" s="1188">
        <f>J66/J30</f>
        <v>1.0000000016099992</v>
      </c>
      <c r="AP66" s="1158" t="s">
        <v>1</v>
      </c>
    </row>
    <row r="67" spans="3:42" ht="15" thickTop="1" thickBot="1" x14ac:dyDescent="0.2">
      <c r="H67" s="1158"/>
      <c r="I67" s="483"/>
    </row>
    <row r="68" spans="3:42" ht="15" thickTop="1" thickBot="1" x14ac:dyDescent="0.2">
      <c r="C68" s="1174" t="s">
        <v>452</v>
      </c>
      <c r="E68" s="1189">
        <f>E66-E30</f>
        <v>0</v>
      </c>
      <c r="F68" s="1190">
        <f>E68/E30</f>
        <v>0</v>
      </c>
      <c r="H68" s="1191" t="str">
        <f>C68</f>
        <v>Total des passifs + TOTAL des Capitaux propres - Total des actifs</v>
      </c>
      <c r="I68" s="483"/>
      <c r="J68" s="1189">
        <f>J66-J30</f>
        <v>4.1849972330965102E-4</v>
      </c>
      <c r="K68" s="1190">
        <f>J68/J30</f>
        <v>1.6099992960226336E-9</v>
      </c>
    </row>
    <row r="69" spans="3:42" ht="14" thickTop="1" x14ac:dyDescent="0.15">
      <c r="H69" s="1158"/>
      <c r="I69" s="483"/>
    </row>
    <row r="70" spans="3:42" x14ac:dyDescent="0.15">
      <c r="H70" s="1158"/>
      <c r="I70" s="483"/>
    </row>
    <row r="71" spans="3:42" x14ac:dyDescent="0.15">
      <c r="H71" s="1158"/>
      <c r="I71" s="483"/>
    </row>
    <row r="72" spans="3:42" x14ac:dyDescent="0.15">
      <c r="H72" s="1158"/>
      <c r="I72" s="483"/>
    </row>
    <row r="73" spans="3:42" x14ac:dyDescent="0.15">
      <c r="I73" s="483"/>
    </row>
    <row r="74" spans="3:42" x14ac:dyDescent="0.15">
      <c r="I74" s="483"/>
    </row>
    <row r="75" spans="3:42" x14ac:dyDescent="0.15">
      <c r="I75" s="483"/>
    </row>
    <row r="76" spans="3:42" x14ac:dyDescent="0.15">
      <c r="I76" s="483"/>
    </row>
    <row r="77" spans="3:42" x14ac:dyDescent="0.15">
      <c r="I77" s="483"/>
    </row>
  </sheetData>
  <sheetProtection algorithmName="SHA-512" hashValue="MZkqutyrpU0vHVaOyFzd4wSdN/ukfWSsemLU8REq3Vnu+TF1dfzR7ueqfPQm2mgWlSyrhKFIZcct9rbq8Na8Qw==" saltValue="ATeEqJY2+9VLhgmwMGPMqA==" spinCount="100000" sheet="1" objects="1" scenarios="1"/>
  <mergeCells count="2">
    <mergeCell ref="C3:C4"/>
    <mergeCell ref="H3:H4"/>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CBA2B-4CBF-E54D-B7EA-644EC93AA28B}">
  <sheetPr>
    <tabColor rgb="FF002060"/>
  </sheetPr>
  <dimension ref="B1:L121"/>
  <sheetViews>
    <sheetView zoomScale="130" zoomScaleNormal="130" zoomScalePageLayoutView="150" workbookViewId="0"/>
  </sheetViews>
  <sheetFormatPr baseColWidth="10" defaultRowHeight="13" x14ac:dyDescent="0.15"/>
  <cols>
    <col min="1" max="1" width="6.33203125" style="138" customWidth="1"/>
    <col min="2" max="2" width="6.6640625" style="138" bestFit="1" customWidth="1"/>
    <col min="3" max="3" width="54.6640625" style="138" bestFit="1" customWidth="1"/>
    <col min="4" max="6" width="2.83203125" style="138" customWidth="1"/>
    <col min="7" max="8" width="14.6640625" style="138" bestFit="1" customWidth="1"/>
    <col min="9" max="9" width="14.83203125" style="138" bestFit="1" customWidth="1"/>
    <col min="10" max="10" width="15.6640625" style="138" bestFit="1" customWidth="1"/>
    <col min="11" max="11" width="11.6640625" style="138" bestFit="1" customWidth="1"/>
    <col min="12" max="12" width="12.5" style="138" bestFit="1" customWidth="1"/>
    <col min="13" max="16384" width="10.83203125" style="138"/>
  </cols>
  <sheetData>
    <row r="1" spans="2:11" x14ac:dyDescent="0.15">
      <c r="B1" s="138" t="s">
        <v>1</v>
      </c>
      <c r="K1" s="366"/>
    </row>
    <row r="2" spans="2:11" ht="14" customHeight="1" x14ac:dyDescent="0.2">
      <c r="B2" s="1462" t="s">
        <v>453</v>
      </c>
      <c r="C2" s="1463"/>
      <c r="D2" s="1463"/>
      <c r="E2" s="1463"/>
      <c r="F2" s="1463"/>
      <c r="G2" s="1463"/>
      <c r="H2" s="1463"/>
      <c r="I2" s="1463"/>
      <c r="J2" s="1463"/>
      <c r="K2" s="1464"/>
    </row>
    <row r="3" spans="2:11" ht="14" customHeight="1" x14ac:dyDescent="0.2">
      <c r="B3" s="1462" t="s">
        <v>35</v>
      </c>
      <c r="C3" s="1463"/>
      <c r="D3" s="1463"/>
      <c r="E3" s="1463"/>
      <c r="F3" s="1463"/>
      <c r="G3" s="1463"/>
      <c r="H3" s="1463"/>
      <c r="I3" s="1463"/>
      <c r="J3" s="1463"/>
      <c r="K3" s="1464"/>
    </row>
    <row r="4" spans="2:11" ht="17" thickBot="1" x14ac:dyDescent="0.25">
      <c r="B4" s="171"/>
      <c r="C4" s="171"/>
      <c r="D4" s="171"/>
      <c r="E4" s="171"/>
      <c r="F4" s="171"/>
      <c r="G4" s="171"/>
      <c r="H4" s="171"/>
      <c r="I4" s="171"/>
      <c r="J4" s="261"/>
      <c r="K4" s="1192"/>
    </row>
    <row r="5" spans="2:11" ht="14" customHeight="1" thickTop="1" thickBot="1" x14ac:dyDescent="0.2">
      <c r="B5" s="1465" t="s">
        <v>142</v>
      </c>
      <c r="C5" s="1466"/>
      <c r="D5" s="1466"/>
      <c r="E5" s="1466"/>
      <c r="F5" s="1466"/>
      <c r="G5" s="1466"/>
      <c r="H5" s="1466"/>
      <c r="I5" s="1466"/>
      <c r="J5" s="1466"/>
      <c r="K5" s="1467"/>
    </row>
    <row r="6" spans="2:11" ht="17" thickTop="1" x14ac:dyDescent="0.2">
      <c r="B6" s="171"/>
      <c r="C6" s="1255"/>
      <c r="D6" s="1255"/>
      <c r="E6" s="1255"/>
      <c r="F6" s="171"/>
      <c r="G6" s="171"/>
      <c r="H6" s="171"/>
      <c r="I6" s="171"/>
      <c r="J6" s="1193"/>
      <c r="K6" s="1192"/>
    </row>
    <row r="7" spans="2:11" ht="16" x14ac:dyDescent="0.2">
      <c r="B7" s="171">
        <v>4100</v>
      </c>
      <c r="C7" s="1256" t="s">
        <v>454</v>
      </c>
      <c r="D7" s="1257"/>
      <c r="E7" s="1257"/>
      <c r="F7" s="171"/>
      <c r="G7" s="171"/>
      <c r="H7" s="171"/>
      <c r="I7" s="171"/>
      <c r="J7" s="1194">
        <v>0</v>
      </c>
      <c r="K7" s="1192"/>
    </row>
    <row r="8" spans="2:11" ht="16" x14ac:dyDescent="0.2">
      <c r="B8" s="171">
        <v>4200</v>
      </c>
      <c r="C8" s="1468" t="s">
        <v>455</v>
      </c>
      <c r="D8" s="1468"/>
      <c r="E8" s="1468"/>
      <c r="F8" s="171"/>
      <c r="G8" s="171"/>
      <c r="H8" s="171"/>
      <c r="I8" s="171"/>
      <c r="J8" s="1194">
        <f>'État des Résultats'!AR11</f>
        <v>290710.39833333337</v>
      </c>
      <c r="K8" s="1192"/>
    </row>
    <row r="9" spans="2:11" ht="16" x14ac:dyDescent="0.2">
      <c r="B9" s="171">
        <v>4300</v>
      </c>
      <c r="C9" s="1469" t="s">
        <v>456</v>
      </c>
      <c r="D9" s="1469"/>
      <c r="E9" s="1469"/>
      <c r="F9" s="171"/>
      <c r="G9" s="171"/>
      <c r="H9" s="171"/>
      <c r="I9" s="171"/>
      <c r="J9" s="1194">
        <f>'État des Résultats'!AR12</f>
        <v>575385.28666666674</v>
      </c>
      <c r="K9" s="1192"/>
    </row>
    <row r="10" spans="2:11" ht="16" x14ac:dyDescent="0.2">
      <c r="B10" s="171">
        <v>4400</v>
      </c>
      <c r="C10" s="171" t="s">
        <v>457</v>
      </c>
      <c r="D10" s="171"/>
      <c r="E10" s="171"/>
      <c r="F10" s="171"/>
      <c r="G10" s="171"/>
      <c r="H10" s="171"/>
      <c r="I10" s="171"/>
      <c r="J10" s="1194">
        <f>'État des Résultats'!AR13</f>
        <v>162313.47000000003</v>
      </c>
      <c r="K10" s="1192"/>
    </row>
    <row r="11" spans="2:11" ht="19" x14ac:dyDescent="0.35">
      <c r="B11" s="171"/>
      <c r="C11" s="171" t="s">
        <v>1</v>
      </c>
      <c r="D11" s="171"/>
      <c r="E11" s="171"/>
      <c r="F11" s="171"/>
      <c r="G11" s="171"/>
      <c r="H11" s="171"/>
      <c r="I11" s="171"/>
      <c r="J11" s="1195">
        <f>+SUM(J7:J10)</f>
        <v>1028409.155</v>
      </c>
      <c r="K11" s="1192"/>
    </row>
    <row r="12" spans="2:11" ht="17" thickBot="1" x14ac:dyDescent="0.25">
      <c r="B12" s="171"/>
      <c r="C12" s="171"/>
      <c r="D12" s="171"/>
      <c r="E12" s="171"/>
      <c r="F12" s="171"/>
      <c r="G12" s="171"/>
      <c r="H12" s="171"/>
      <c r="I12" s="171"/>
      <c r="J12" s="261"/>
      <c r="K12" s="1192"/>
    </row>
    <row r="13" spans="2:11" ht="14" customHeight="1" thickTop="1" thickBot="1" x14ac:dyDescent="0.2">
      <c r="B13" s="1465" t="s">
        <v>458</v>
      </c>
      <c r="C13" s="1466"/>
      <c r="D13" s="1466"/>
      <c r="E13" s="1466"/>
      <c r="F13" s="1466"/>
      <c r="G13" s="1466"/>
      <c r="H13" s="1466"/>
      <c r="I13" s="1466"/>
      <c r="J13" s="1466"/>
      <c r="K13" s="1467"/>
    </row>
    <row r="14" spans="2:11" ht="17" thickTop="1" x14ac:dyDescent="0.2">
      <c r="B14" s="171"/>
      <c r="C14" s="1196"/>
      <c r="D14" s="171"/>
      <c r="E14" s="171"/>
      <c r="F14" s="171"/>
      <c r="G14" s="171"/>
      <c r="H14" s="1196"/>
      <c r="I14" s="1196"/>
      <c r="J14" s="261"/>
      <c r="K14" s="1192"/>
    </row>
    <row r="15" spans="2:11" ht="16" x14ac:dyDescent="0.2">
      <c r="B15" s="171">
        <v>5000</v>
      </c>
      <c r="C15" s="171" t="s">
        <v>325</v>
      </c>
      <c r="D15" s="171"/>
      <c r="E15" s="171"/>
      <c r="F15" s="171"/>
      <c r="G15" s="171"/>
      <c r="H15" s="171"/>
      <c r="I15" s="171"/>
      <c r="J15" s="1194">
        <f>'État des Résultats'!AR16</f>
        <v>342494.31800000003</v>
      </c>
      <c r="K15" s="1192"/>
    </row>
    <row r="16" spans="2:11" ht="16" x14ac:dyDescent="0.2">
      <c r="B16" s="171">
        <v>6000</v>
      </c>
      <c r="C16" s="171" t="s">
        <v>459</v>
      </c>
      <c r="D16" s="171"/>
      <c r="E16" s="171"/>
      <c r="F16" s="171"/>
      <c r="G16" s="171"/>
      <c r="H16" s="171"/>
      <c r="I16" s="171"/>
      <c r="J16" s="1194">
        <f>'État des Résultats'!AR21</f>
        <v>400846.4995315001</v>
      </c>
      <c r="K16" s="1192"/>
    </row>
    <row r="17" spans="2:11" ht="19" x14ac:dyDescent="0.35">
      <c r="B17" s="171"/>
      <c r="C17" s="171"/>
      <c r="D17" s="171"/>
      <c r="E17" s="171"/>
      <c r="F17" s="171"/>
      <c r="G17" s="171"/>
      <c r="H17" s="171"/>
      <c r="I17" s="171"/>
      <c r="J17" s="1195">
        <f>+J15+J16</f>
        <v>743340.81753150013</v>
      </c>
      <c r="K17" s="1192"/>
    </row>
    <row r="18" spans="2:11" ht="17" thickBot="1" x14ac:dyDescent="0.25">
      <c r="B18" s="171"/>
      <c r="C18" s="171"/>
      <c r="D18" s="171"/>
      <c r="E18" s="171"/>
      <c r="F18" s="171"/>
      <c r="G18" s="171"/>
      <c r="H18" s="171"/>
      <c r="I18" s="171"/>
      <c r="J18" s="261"/>
      <c r="K18" s="1192"/>
    </row>
    <row r="19" spans="2:11" ht="14" customHeight="1" thickTop="1" thickBot="1" x14ac:dyDescent="0.2">
      <c r="B19" s="1465" t="s">
        <v>460</v>
      </c>
      <c r="C19" s="1470"/>
      <c r="D19" s="1470"/>
      <c r="E19" s="1470"/>
      <c r="F19" s="1470"/>
      <c r="G19" s="1470"/>
      <c r="H19" s="1470"/>
      <c r="I19" s="1470"/>
      <c r="J19" s="1470"/>
      <c r="K19" s="1471"/>
    </row>
    <row r="20" spans="2:11" ht="17" thickTop="1" x14ac:dyDescent="0.2">
      <c r="B20" s="171"/>
      <c r="C20" s="171"/>
      <c r="D20" s="171"/>
      <c r="E20" s="171"/>
      <c r="F20" s="171"/>
      <c r="G20" s="171"/>
      <c r="H20" s="171"/>
      <c r="I20" s="171"/>
      <c r="J20" s="261"/>
      <c r="K20" s="1192"/>
    </row>
    <row r="21" spans="2:11" ht="16" x14ac:dyDescent="0.2">
      <c r="B21" s="171">
        <v>7300</v>
      </c>
      <c r="C21" s="171" t="s">
        <v>461</v>
      </c>
      <c r="D21" s="171"/>
      <c r="E21" s="171"/>
      <c r="F21" s="171"/>
      <c r="G21" s="171"/>
      <c r="H21" s="171"/>
      <c r="I21" s="171"/>
      <c r="J21" s="1194">
        <f>'État des Résultats'!AR27</f>
        <v>74568.183100000024</v>
      </c>
      <c r="K21" s="1192"/>
    </row>
    <row r="22" spans="2:11" ht="16" x14ac:dyDescent="0.2">
      <c r="B22" s="171">
        <v>7400</v>
      </c>
      <c r="C22" s="171" t="s">
        <v>462</v>
      </c>
      <c r="D22" s="171"/>
      <c r="E22" s="171"/>
      <c r="F22" s="171"/>
      <c r="G22" s="171"/>
      <c r="H22" s="171"/>
      <c r="I22" s="171"/>
      <c r="J22" s="1194">
        <f>'État des Résultats'!AR28</f>
        <v>7742.0457749999996</v>
      </c>
      <c r="K22" s="1192"/>
    </row>
    <row r="23" spans="2:11" ht="16" x14ac:dyDescent="0.2">
      <c r="B23" s="171">
        <v>7500</v>
      </c>
      <c r="C23" s="171" t="s">
        <v>463</v>
      </c>
      <c r="D23" s="171"/>
      <c r="E23" s="171"/>
      <c r="F23" s="171"/>
      <c r="G23" s="171"/>
      <c r="H23" s="171"/>
      <c r="I23" s="171"/>
      <c r="J23" s="1194">
        <f>'État des Résultats'!AR29</f>
        <v>1300</v>
      </c>
      <c r="K23" s="1192"/>
    </row>
    <row r="24" spans="2:11" ht="16" x14ac:dyDescent="0.2">
      <c r="B24" s="171">
        <v>7600</v>
      </c>
      <c r="C24" s="171" t="s">
        <v>464</v>
      </c>
      <c r="D24" s="171"/>
      <c r="E24" s="171"/>
      <c r="F24" s="171"/>
      <c r="G24" s="171"/>
      <c r="H24" s="171"/>
      <c r="I24" s="171"/>
      <c r="J24" s="1194">
        <f>'État des Résultats'!AR30</f>
        <v>51420.457750000009</v>
      </c>
      <c r="K24" s="1192"/>
    </row>
    <row r="25" spans="2:11" ht="16" x14ac:dyDescent="0.2">
      <c r="B25" s="171">
        <v>7700</v>
      </c>
      <c r="C25" s="171" t="s">
        <v>465</v>
      </c>
      <c r="D25" s="171"/>
      <c r="E25" s="171"/>
      <c r="F25" s="171"/>
      <c r="G25" s="171"/>
      <c r="H25" s="171"/>
      <c r="I25" s="171"/>
      <c r="J25" s="1194">
        <f>'État des Résultats'!AR31</f>
        <v>12000.000000000002</v>
      </c>
      <c r="K25" s="1192"/>
    </row>
    <row r="26" spans="2:11" ht="16" x14ac:dyDescent="0.2">
      <c r="B26" s="171">
        <v>7800</v>
      </c>
      <c r="C26" s="171" t="s">
        <v>466</v>
      </c>
      <c r="D26" s="171"/>
      <c r="E26" s="171"/>
      <c r="F26" s="171"/>
      <c r="G26" s="171"/>
      <c r="H26" s="171"/>
      <c r="I26" s="171"/>
      <c r="J26" s="1194">
        <f>'État des Résultats'!AR32</f>
        <v>25710.228875000004</v>
      </c>
      <c r="K26" s="1192"/>
    </row>
    <row r="27" spans="2:11" ht="16" x14ac:dyDescent="0.2">
      <c r="B27" s="171">
        <v>7900</v>
      </c>
      <c r="C27" s="171" t="s">
        <v>467</v>
      </c>
      <c r="D27" s="171"/>
      <c r="E27" s="171"/>
      <c r="F27" s="171"/>
      <c r="G27" s="171"/>
      <c r="H27" s="171"/>
      <c r="I27" s="171"/>
      <c r="J27" s="1194">
        <f>'État des Résultats'!AR33</f>
        <v>16784.091550000001</v>
      </c>
      <c r="K27" s="1192"/>
    </row>
    <row r="28" spans="2:11" ht="19" x14ac:dyDescent="0.35">
      <c r="B28" s="171"/>
      <c r="C28" s="1197" t="s">
        <v>468</v>
      </c>
      <c r="D28" s="171"/>
      <c r="E28" s="171"/>
      <c r="F28" s="171"/>
      <c r="G28" s="171"/>
      <c r="H28" s="171"/>
      <c r="I28" s="171"/>
      <c r="J28" s="1195">
        <f>+SUM(J21:J27)</f>
        <v>189525.00705000004</v>
      </c>
      <c r="K28" s="1192"/>
    </row>
    <row r="29" spans="2:11" ht="17" thickBot="1" x14ac:dyDescent="0.25">
      <c r="B29" s="171"/>
      <c r="C29" s="171"/>
      <c r="D29" s="171"/>
      <c r="E29" s="171"/>
      <c r="F29" s="171"/>
      <c r="G29" s="171"/>
      <c r="H29" s="171"/>
      <c r="I29" s="171"/>
      <c r="J29" s="261"/>
      <c r="K29" s="1192"/>
    </row>
    <row r="30" spans="2:11" ht="18" thickTop="1" thickBot="1" x14ac:dyDescent="0.25">
      <c r="B30" s="1465" t="s">
        <v>469</v>
      </c>
      <c r="C30" s="1472"/>
      <c r="D30" s="1472"/>
      <c r="E30" s="1472"/>
      <c r="F30" s="1472"/>
      <c r="G30" s="1472"/>
      <c r="H30" s="1472"/>
      <c r="I30" s="1472"/>
      <c r="J30" s="1472"/>
      <c r="K30" s="1473"/>
    </row>
    <row r="31" spans="2:11" ht="17" thickTop="1" x14ac:dyDescent="0.2">
      <c r="B31" s="171"/>
      <c r="C31" s="171"/>
      <c r="D31" s="171"/>
      <c r="E31" s="171"/>
      <c r="F31" s="171"/>
      <c r="G31" s="171"/>
      <c r="H31" s="171"/>
      <c r="I31" s="171"/>
      <c r="J31" s="261"/>
      <c r="K31" s="1192"/>
    </row>
    <row r="32" spans="2:11" ht="16" x14ac:dyDescent="0.2">
      <c r="B32" s="171">
        <v>8100</v>
      </c>
      <c r="C32" s="171" t="s">
        <v>470</v>
      </c>
      <c r="D32" s="171"/>
      <c r="E32" s="171"/>
      <c r="F32" s="171"/>
      <c r="G32" s="171"/>
      <c r="H32" s="171"/>
      <c r="I32" s="171"/>
      <c r="J32" s="1194">
        <f>'État des Résultats'!AR38</f>
        <v>10925.499999999996</v>
      </c>
      <c r="K32" s="1192"/>
    </row>
    <row r="33" spans="2:11" ht="16" x14ac:dyDescent="0.2">
      <c r="B33" s="171">
        <v>8500</v>
      </c>
      <c r="C33" s="171" t="s">
        <v>471</v>
      </c>
      <c r="D33" s="171"/>
      <c r="E33" s="171"/>
      <c r="F33" s="171"/>
      <c r="G33" s="171"/>
      <c r="H33" s="171"/>
      <c r="I33" s="171"/>
      <c r="J33" s="1194">
        <f>'État des Résultats'!AR39</f>
        <v>18600</v>
      </c>
      <c r="K33" s="1192"/>
    </row>
    <row r="34" spans="2:11" ht="19" x14ac:dyDescent="0.35">
      <c r="B34" s="171"/>
      <c r="C34" s="1197" t="s">
        <v>472</v>
      </c>
      <c r="D34" s="171"/>
      <c r="E34" s="171"/>
      <c r="F34" s="171"/>
      <c r="G34" s="171"/>
      <c r="H34" s="171"/>
      <c r="I34" s="171"/>
      <c r="J34" s="1195">
        <f>+J32+J33</f>
        <v>29525.499999999996</v>
      </c>
      <c r="K34" s="1192"/>
    </row>
    <row r="35" spans="2:11" ht="20" thickBot="1" x14ac:dyDescent="0.4">
      <c r="B35" s="171"/>
      <c r="C35" s="1197"/>
      <c r="D35" s="171"/>
      <c r="E35" s="171"/>
      <c r="F35" s="171"/>
      <c r="G35" s="171"/>
      <c r="H35" s="171"/>
      <c r="I35" s="171"/>
      <c r="J35" s="256"/>
      <c r="K35" s="1192"/>
    </row>
    <row r="36" spans="2:11" ht="18" thickTop="1" thickBot="1" x14ac:dyDescent="0.2">
      <c r="B36" s="1474" t="s">
        <v>473</v>
      </c>
      <c r="C36" s="1475"/>
      <c r="D36" s="1475"/>
      <c r="E36" s="1475"/>
      <c r="F36" s="1475"/>
      <c r="G36" s="1475"/>
      <c r="H36" s="1475"/>
      <c r="I36" s="1475"/>
      <c r="J36" s="1475"/>
      <c r="K36" s="1476"/>
    </row>
    <row r="37" spans="2:11" ht="20" thickTop="1" x14ac:dyDescent="0.35">
      <c r="B37" s="171"/>
      <c r="C37" s="1197"/>
      <c r="D37" s="171"/>
      <c r="E37" s="171"/>
      <c r="F37" s="171"/>
      <c r="G37" s="171"/>
      <c r="H37" s="171"/>
      <c r="I37" s="171"/>
      <c r="J37" s="256"/>
      <c r="K37" s="1192"/>
    </row>
    <row r="38" spans="2:11" ht="19" x14ac:dyDescent="0.35">
      <c r="B38" s="171">
        <v>9000</v>
      </c>
      <c r="C38" s="1197" t="s">
        <v>474</v>
      </c>
      <c r="D38" s="171"/>
      <c r="E38" s="171"/>
      <c r="F38" s="171"/>
      <c r="G38" s="171"/>
      <c r="H38" s="171"/>
      <c r="I38" s="171"/>
      <c r="J38" s="1198">
        <f>'État des Résultats'!AR43</f>
        <v>11883.209475329953</v>
      </c>
      <c r="K38" s="1192"/>
    </row>
    <row r="39" spans="2:11" ht="17" thickBot="1" x14ac:dyDescent="0.25">
      <c r="B39" s="171"/>
      <c r="C39" s="171"/>
      <c r="D39" s="171"/>
      <c r="E39" s="171"/>
      <c r="F39" s="171"/>
      <c r="G39" s="171"/>
      <c r="H39" s="171"/>
      <c r="I39" s="171"/>
      <c r="J39" s="171"/>
      <c r="K39" s="171"/>
    </row>
    <row r="40" spans="2:11" ht="18" thickTop="1" thickBot="1" x14ac:dyDescent="0.25">
      <c r="B40" s="1455" t="s">
        <v>475</v>
      </c>
      <c r="C40" s="1451"/>
      <c r="D40" s="1451"/>
      <c r="E40" s="1451"/>
      <c r="F40" s="1451"/>
      <c r="G40" s="1451"/>
      <c r="H40" s="1451"/>
      <c r="I40" s="1451"/>
      <c r="J40" s="1451"/>
      <c r="K40" s="1452"/>
    </row>
    <row r="41" spans="2:11" ht="17" thickTop="1" x14ac:dyDescent="0.2">
      <c r="B41" s="171"/>
      <c r="C41" s="171" t="s">
        <v>1</v>
      </c>
      <c r="D41" s="171"/>
      <c r="E41" s="171"/>
      <c r="F41" s="171"/>
      <c r="G41" s="171"/>
      <c r="H41" s="171"/>
      <c r="I41" s="171"/>
      <c r="J41" s="261"/>
      <c r="K41" s="1192"/>
    </row>
    <row r="42" spans="2:11" ht="19" x14ac:dyDescent="0.35">
      <c r="B42" s="171"/>
      <c r="C42" s="1458" t="s">
        <v>476</v>
      </c>
      <c r="D42" s="1458"/>
      <c r="E42" s="1458"/>
      <c r="F42" s="1458"/>
      <c r="G42" s="1458"/>
      <c r="H42" s="1458"/>
      <c r="I42" s="1458"/>
      <c r="J42" s="1195">
        <f>+J11-(J17+J28+J34+J38)</f>
        <v>54134.620943169924</v>
      </c>
      <c r="K42" s="1199">
        <f>+J42/J112</f>
        <v>1.6637440463352942</v>
      </c>
    </row>
    <row r="43" spans="2:11" ht="16" x14ac:dyDescent="0.2">
      <c r="B43" s="171"/>
      <c r="C43" s="171"/>
      <c r="D43" s="171"/>
      <c r="E43" s="171"/>
      <c r="F43" s="171"/>
      <c r="G43" s="171"/>
      <c r="H43" s="171"/>
      <c r="I43" s="171"/>
      <c r="J43" s="1200"/>
      <c r="K43" s="1192"/>
    </row>
    <row r="44" spans="2:11" ht="16" x14ac:dyDescent="0.2">
      <c r="B44" s="171"/>
      <c r="C44" s="1444" t="s">
        <v>477</v>
      </c>
      <c r="D44" s="1461"/>
      <c r="E44" s="1461"/>
      <c r="F44" s="1461"/>
      <c r="G44" s="1461"/>
      <c r="H44" s="1461"/>
      <c r="I44" s="1461"/>
      <c r="J44" s="1201">
        <f>'État des Résultats'!AR39</f>
        <v>18600</v>
      </c>
      <c r="K44" s="1199" t="s">
        <v>1</v>
      </c>
    </row>
    <row r="45" spans="2:11" ht="16" x14ac:dyDescent="0.2">
      <c r="B45" s="171"/>
      <c r="C45" s="171" t="s">
        <v>1</v>
      </c>
      <c r="D45" s="171"/>
      <c r="E45" s="171"/>
      <c r="F45" s="171"/>
      <c r="G45" s="171"/>
      <c r="H45" s="171" t="s">
        <v>1</v>
      </c>
      <c r="I45" s="1202" t="s">
        <v>1</v>
      </c>
      <c r="J45" s="1203" t="s">
        <v>1</v>
      </c>
      <c r="K45" s="1192"/>
    </row>
    <row r="46" spans="2:11" ht="19" x14ac:dyDescent="0.35">
      <c r="B46" s="171"/>
      <c r="C46" s="1446" t="s">
        <v>478</v>
      </c>
      <c r="D46" s="1446"/>
      <c r="E46" s="1446"/>
      <c r="F46" s="1446"/>
      <c r="G46" s="1446"/>
      <c r="H46" s="1446"/>
      <c r="I46" s="1446"/>
      <c r="J46" s="1195">
        <f>+J42+J44</f>
        <v>72734.620943169924</v>
      </c>
      <c r="K46" s="1199">
        <f>J46/J112</f>
        <v>2.2353863470050066</v>
      </c>
    </row>
    <row r="47" spans="2:11" ht="16" x14ac:dyDescent="0.2">
      <c r="B47" s="171"/>
      <c r="C47" s="171" t="s">
        <v>1</v>
      </c>
      <c r="D47" s="171"/>
      <c r="E47" s="171"/>
      <c r="F47" s="171"/>
      <c r="G47" s="171"/>
      <c r="H47" s="171"/>
      <c r="I47" s="1202"/>
      <c r="J47" s="261"/>
      <c r="K47" s="1192"/>
    </row>
    <row r="48" spans="2:11" ht="19" x14ac:dyDescent="0.3">
      <c r="B48" s="1204">
        <v>1000</v>
      </c>
      <c r="C48" s="1205" t="s">
        <v>415</v>
      </c>
      <c r="D48" s="1206"/>
      <c r="E48" s="1206"/>
      <c r="F48" s="1206"/>
      <c r="G48" s="1207" t="s">
        <v>412</v>
      </c>
      <c r="H48" s="1207" t="s">
        <v>413</v>
      </c>
      <c r="I48" s="1207" t="s">
        <v>479</v>
      </c>
      <c r="J48" s="1208"/>
      <c r="K48" s="1192"/>
    </row>
    <row r="49" spans="2:11" ht="16" x14ac:dyDescent="0.2">
      <c r="B49" s="171"/>
      <c r="C49" s="1206"/>
      <c r="D49" s="1206"/>
      <c r="E49" s="1206"/>
      <c r="F49" s="1206"/>
      <c r="G49" s="1206"/>
      <c r="H49" s="1206"/>
      <c r="I49" s="1206"/>
      <c r="J49" s="1208"/>
      <c r="K49" s="1192"/>
    </row>
    <row r="50" spans="2:11" ht="16" x14ac:dyDescent="0.2">
      <c r="B50" s="171">
        <v>1100</v>
      </c>
      <c r="C50" s="1206" t="s">
        <v>480</v>
      </c>
      <c r="D50" s="1206"/>
      <c r="E50" s="1206"/>
      <c r="F50" s="1206"/>
      <c r="G50" s="1209">
        <f>'Bilan début-fin'!E15</f>
        <v>0</v>
      </c>
      <c r="H50" s="1209">
        <f>'Bilan début-fin'!J15</f>
        <v>0</v>
      </c>
      <c r="I50" s="1210">
        <f>G50-H50</f>
        <v>0</v>
      </c>
      <c r="J50" s="1208"/>
      <c r="K50" s="1192"/>
    </row>
    <row r="51" spans="2:11" ht="16" x14ac:dyDescent="0.2">
      <c r="B51" s="171">
        <v>1200</v>
      </c>
      <c r="C51" s="1206" t="s">
        <v>481</v>
      </c>
      <c r="D51" s="1206"/>
      <c r="E51" s="1206"/>
      <c r="F51" s="1206"/>
      <c r="G51" s="1209">
        <f>'Bilan début-fin'!E16</f>
        <v>10000</v>
      </c>
      <c r="H51" s="1209">
        <f>'Bilan début-fin'!J16</f>
        <v>10000</v>
      </c>
      <c r="I51" s="1210">
        <f>G51-H51</f>
        <v>0</v>
      </c>
      <c r="J51" s="1208"/>
      <c r="K51" s="1192"/>
    </row>
    <row r="52" spans="2:11" ht="16" x14ac:dyDescent="0.2">
      <c r="B52" s="171">
        <v>1300</v>
      </c>
      <c r="C52" s="1206" t="s">
        <v>482</v>
      </c>
      <c r="D52" s="1206"/>
      <c r="E52" s="1206"/>
      <c r="F52" s="1206"/>
      <c r="G52" s="1209">
        <f>'Bilan début-fin'!E17</f>
        <v>0</v>
      </c>
      <c r="H52" s="1209">
        <f>'Bilan début-fin'!J17</f>
        <v>0</v>
      </c>
      <c r="I52" s="1210">
        <f>G52-H52</f>
        <v>0</v>
      </c>
      <c r="J52" s="1208"/>
      <c r="K52" s="1192"/>
    </row>
    <row r="53" spans="2:11" ht="19" x14ac:dyDescent="0.35">
      <c r="B53" s="171"/>
      <c r="C53" s="1206"/>
      <c r="D53" s="1206"/>
      <c r="E53" s="1206"/>
      <c r="F53" s="1206"/>
      <c r="G53" s="1211">
        <f>+SUM(G50:G52)</f>
        <v>10000</v>
      </c>
      <c r="H53" s="1211">
        <f>+SUM(H50:H52)</f>
        <v>10000</v>
      </c>
      <c r="I53" s="1212">
        <f>G53-H53</f>
        <v>0</v>
      </c>
      <c r="J53" s="1213" t="s">
        <v>1</v>
      </c>
      <c r="K53" s="1214">
        <f>I53/J112</f>
        <v>0</v>
      </c>
    </row>
    <row r="54" spans="2:11" ht="16" x14ac:dyDescent="0.2">
      <c r="B54" s="171"/>
      <c r="C54" s="1206"/>
      <c r="D54" s="1206"/>
      <c r="E54" s="1206"/>
      <c r="F54" s="1206"/>
      <c r="G54" s="1215"/>
      <c r="H54" s="1215"/>
      <c r="I54" s="1215"/>
      <c r="J54" s="1215"/>
      <c r="K54" s="1216"/>
    </row>
    <row r="55" spans="2:11" ht="20" x14ac:dyDescent="0.35">
      <c r="B55" s="1204">
        <v>2000</v>
      </c>
      <c r="C55" s="1217" t="s">
        <v>429</v>
      </c>
      <c r="D55" s="1206"/>
      <c r="E55" s="1206"/>
      <c r="F55" s="1206"/>
      <c r="G55" s="1218" t="s">
        <v>412</v>
      </c>
      <c r="H55" s="1218" t="s">
        <v>413</v>
      </c>
      <c r="I55" s="1218" t="s">
        <v>479</v>
      </c>
      <c r="J55" s="1208"/>
      <c r="K55" s="1192"/>
    </row>
    <row r="56" spans="2:11" ht="16" x14ac:dyDescent="0.2">
      <c r="B56" s="171"/>
      <c r="C56" s="1206"/>
      <c r="D56" s="1206"/>
      <c r="E56" s="1206"/>
      <c r="F56" s="1206"/>
      <c r="G56" s="1208"/>
      <c r="H56" s="1208"/>
      <c r="I56" s="1208"/>
      <c r="J56" s="1208"/>
      <c r="K56" s="1192"/>
    </row>
    <row r="57" spans="2:11" ht="16" x14ac:dyDescent="0.2">
      <c r="B57" s="171">
        <v>2000</v>
      </c>
      <c r="C57" s="1206" t="s">
        <v>483</v>
      </c>
      <c r="D57" s="1206"/>
      <c r="E57" s="1206"/>
      <c r="F57" s="1206"/>
      <c r="G57" s="1209">
        <f>'Bilan début-fin'!E36</f>
        <v>0</v>
      </c>
      <c r="H57" s="1209">
        <f>'Bilan début-fin'!J36</f>
        <v>0</v>
      </c>
      <c r="I57" s="1210">
        <f t="shared" ref="I57:I63" si="0">H57-G57</f>
        <v>0</v>
      </c>
      <c r="J57" s="1208"/>
      <c r="K57" s="1192"/>
    </row>
    <row r="58" spans="2:11" ht="16" x14ac:dyDescent="0.2">
      <c r="B58" s="171">
        <v>2100</v>
      </c>
      <c r="C58" s="1206" t="s">
        <v>484</v>
      </c>
      <c r="D58" s="1206"/>
      <c r="E58" s="1206"/>
      <c r="F58" s="1206"/>
      <c r="G58" s="1209">
        <f>'Bilan début-fin'!E37</f>
        <v>0</v>
      </c>
      <c r="H58" s="1209">
        <f>'Bilan début-fin'!J37</f>
        <v>0</v>
      </c>
      <c r="I58" s="1210">
        <f t="shared" si="0"/>
        <v>0</v>
      </c>
      <c r="J58" s="1208"/>
      <c r="K58" s="1192"/>
    </row>
    <row r="59" spans="2:11" ht="16" x14ac:dyDescent="0.2">
      <c r="B59" s="171">
        <v>2200</v>
      </c>
      <c r="C59" s="1206" t="s">
        <v>485</v>
      </c>
      <c r="D59" s="1206"/>
      <c r="E59" s="1206"/>
      <c r="F59" s="1206"/>
      <c r="G59" s="1209">
        <f>'Bilan début-fin'!E38</f>
        <v>0</v>
      </c>
      <c r="H59" s="1209">
        <f>'Bilan début-fin'!J38</f>
        <v>21883.209475329953</v>
      </c>
      <c r="I59" s="1210">
        <f t="shared" si="0"/>
        <v>21883.209475329953</v>
      </c>
      <c r="J59" s="1208"/>
      <c r="K59" s="1192"/>
    </row>
    <row r="60" spans="2:11" ht="16" x14ac:dyDescent="0.2">
      <c r="B60" s="171">
        <v>2300</v>
      </c>
      <c r="C60" s="1206" t="s">
        <v>486</v>
      </c>
      <c r="D60" s="1206"/>
      <c r="E60" s="1206"/>
      <c r="F60" s="1206"/>
      <c r="G60" s="1209">
        <f>'Bilan début-fin'!E39</f>
        <v>0</v>
      </c>
      <c r="H60" s="1209">
        <f>'Bilan début-fin'!J39</f>
        <v>0</v>
      </c>
      <c r="I60" s="1210">
        <f t="shared" si="0"/>
        <v>0</v>
      </c>
      <c r="J60" s="1208"/>
      <c r="K60" s="1192"/>
    </row>
    <row r="61" spans="2:11" ht="16" x14ac:dyDescent="0.2">
      <c r="B61" s="171">
        <v>2400</v>
      </c>
      <c r="C61" s="1206" t="s">
        <v>487</v>
      </c>
      <c r="D61" s="1206"/>
      <c r="E61" s="1206"/>
      <c r="F61" s="1206"/>
      <c r="G61" s="1209">
        <f>'Bilan début-fin'!E40</f>
        <v>0</v>
      </c>
      <c r="H61" s="1209">
        <f>'Bilan début-fin'!J40</f>
        <v>0</v>
      </c>
      <c r="I61" s="1210">
        <f t="shared" si="0"/>
        <v>0</v>
      </c>
      <c r="J61" s="1208"/>
      <c r="K61" s="1192"/>
    </row>
    <row r="62" spans="2:11" ht="16" x14ac:dyDescent="0.2">
      <c r="B62" s="171">
        <v>2500</v>
      </c>
      <c r="C62" s="1206" t="s">
        <v>488</v>
      </c>
      <c r="D62" s="1206"/>
      <c r="E62" s="1206"/>
      <c r="F62" s="1206"/>
      <c r="G62" s="1209">
        <f>'Bilan début-fin'!E41</f>
        <v>33480</v>
      </c>
      <c r="H62" s="1209">
        <f>'Bilan début-fin'!J41</f>
        <v>33480</v>
      </c>
      <c r="I62" s="1210">
        <f t="shared" si="0"/>
        <v>0</v>
      </c>
      <c r="J62" s="1208"/>
      <c r="K62" s="1192"/>
    </row>
    <row r="63" spans="2:11" ht="19" x14ac:dyDescent="0.35">
      <c r="B63" s="171"/>
      <c r="C63" s="1206"/>
      <c r="D63" s="1206"/>
      <c r="E63" s="1206"/>
      <c r="F63" s="1206"/>
      <c r="G63" s="1219">
        <f>+SUM(G57:G62)</f>
        <v>33480</v>
      </c>
      <c r="H63" s="1211">
        <f>+SUM(H57:H62)</f>
        <v>55363.209475329953</v>
      </c>
      <c r="I63" s="1220">
        <f t="shared" si="0"/>
        <v>21883.209475329953</v>
      </c>
      <c r="J63" s="1221" t="s">
        <v>1</v>
      </c>
      <c r="K63" s="1199">
        <f>I63/J112</f>
        <v>0.67254667798467049</v>
      </c>
    </row>
    <row r="64" spans="2:11" ht="19" x14ac:dyDescent="0.3">
      <c r="B64" s="1204" t="s">
        <v>1</v>
      </c>
      <c r="C64" s="1222" t="s">
        <v>1</v>
      </c>
      <c r="D64" s="1206"/>
      <c r="E64" s="1206"/>
      <c r="F64" s="1206"/>
      <c r="G64" s="1208"/>
      <c r="H64" s="1208"/>
      <c r="I64" s="1208"/>
      <c r="J64" s="1208"/>
      <c r="K64" s="1192"/>
    </row>
    <row r="65" spans="2:11" ht="19" x14ac:dyDescent="0.35">
      <c r="B65" s="171"/>
      <c r="C65" s="1206"/>
      <c r="D65" s="1206"/>
      <c r="E65" s="1206"/>
      <c r="F65" s="1206"/>
      <c r="G65" s="1223"/>
      <c r="H65" s="1224"/>
      <c r="I65" s="1224"/>
      <c r="J65" s="1221"/>
      <c r="K65" s="1192"/>
    </row>
    <row r="66" spans="2:11" ht="19" x14ac:dyDescent="0.35">
      <c r="B66" s="171"/>
      <c r="C66" s="1447" t="s">
        <v>489</v>
      </c>
      <c r="D66" s="1447"/>
      <c r="E66" s="1447"/>
      <c r="F66" s="1447"/>
      <c r="G66" s="1447"/>
      <c r="H66" s="1447"/>
      <c r="I66" s="1447"/>
      <c r="J66" s="1211">
        <f>+I53+I63</f>
        <v>21883.209475329953</v>
      </c>
      <c r="K66" s="1199">
        <f>J66/J112</f>
        <v>0.67254667798467049</v>
      </c>
    </row>
    <row r="67" spans="2:11" ht="20" thickBot="1" x14ac:dyDescent="0.4">
      <c r="B67" s="171"/>
      <c r="C67" s="1225"/>
      <c r="D67" s="1225"/>
      <c r="E67" s="1225"/>
      <c r="F67" s="1225"/>
      <c r="G67" s="1225"/>
      <c r="H67" s="1225"/>
      <c r="I67" s="1225"/>
      <c r="J67" s="256"/>
      <c r="K67" s="1192"/>
    </row>
    <row r="68" spans="2:11" ht="21" thickTop="1" thickBot="1" x14ac:dyDescent="0.4">
      <c r="B68" s="1226"/>
      <c r="C68" s="1448" t="s">
        <v>490</v>
      </c>
      <c r="D68" s="1449"/>
      <c r="E68" s="1449"/>
      <c r="F68" s="1449"/>
      <c r="G68" s="1449"/>
      <c r="H68" s="1449"/>
      <c r="I68" s="1449"/>
      <c r="J68" s="1227">
        <f>+J46+J66</f>
        <v>94617.830418499885</v>
      </c>
      <c r="K68" s="1228">
        <f>J68/J112</f>
        <v>2.9079330249896778</v>
      </c>
    </row>
    <row r="69" spans="2:11" ht="18" thickTop="1" thickBot="1" x14ac:dyDescent="0.25">
      <c r="B69" s="171"/>
      <c r="C69" s="171"/>
      <c r="D69" s="171"/>
      <c r="E69" s="171"/>
      <c r="F69" s="171"/>
      <c r="G69" s="261"/>
      <c r="H69" s="261"/>
      <c r="I69" s="261"/>
      <c r="J69" s="261"/>
      <c r="K69" s="1192"/>
    </row>
    <row r="70" spans="2:11" ht="18" thickTop="1" thickBot="1" x14ac:dyDescent="0.25">
      <c r="B70" s="1450" t="s">
        <v>491</v>
      </c>
      <c r="C70" s="1451"/>
      <c r="D70" s="1451"/>
      <c r="E70" s="1451"/>
      <c r="F70" s="1451"/>
      <c r="G70" s="1451"/>
      <c r="H70" s="1451"/>
      <c r="I70" s="1451"/>
      <c r="J70" s="1451"/>
      <c r="K70" s="1452"/>
    </row>
    <row r="71" spans="2:11" ht="17" thickTop="1" x14ac:dyDescent="0.2">
      <c r="B71" s="171"/>
      <c r="C71" s="171"/>
      <c r="D71" s="171"/>
      <c r="E71" s="171"/>
      <c r="F71" s="171"/>
      <c r="G71" s="261"/>
      <c r="H71" s="261"/>
      <c r="I71" s="261"/>
      <c r="J71" s="261"/>
      <c r="K71" s="1192"/>
    </row>
    <row r="72" spans="2:11" ht="20" x14ac:dyDescent="0.35">
      <c r="B72" s="1204">
        <v>2000</v>
      </c>
      <c r="C72" s="1229" t="s">
        <v>437</v>
      </c>
      <c r="D72" s="1230"/>
      <c r="E72" s="1230"/>
      <c r="F72" s="1230"/>
      <c r="G72" s="1231" t="s">
        <v>412</v>
      </c>
      <c r="H72" s="1231" t="s">
        <v>413</v>
      </c>
      <c r="I72" s="1231" t="s">
        <v>479</v>
      </c>
      <c r="J72" s="171"/>
      <c r="K72" s="1192"/>
    </row>
    <row r="73" spans="2:11" ht="19" x14ac:dyDescent="0.3">
      <c r="B73" s="1204"/>
      <c r="C73" s="1229"/>
      <c r="D73" s="1230"/>
      <c r="E73" s="1230"/>
      <c r="F73" s="1230"/>
      <c r="G73" s="1232"/>
      <c r="H73" s="1232"/>
      <c r="I73" s="1232"/>
      <c r="J73" s="171"/>
      <c r="K73" s="1192"/>
    </row>
    <row r="74" spans="2:11" ht="16" x14ac:dyDescent="0.2">
      <c r="B74" s="171">
        <v>2600</v>
      </c>
      <c r="C74" s="1230" t="s">
        <v>492</v>
      </c>
      <c r="D74" s="1230"/>
      <c r="E74" s="1230"/>
      <c r="F74" s="1230"/>
      <c r="G74" s="1233">
        <f>'Bilan début-fin'!E47</f>
        <v>133920</v>
      </c>
      <c r="H74" s="1233">
        <f>'Bilan début-fin'!J47</f>
        <v>100440</v>
      </c>
      <c r="I74" s="1234">
        <f>H74-G74</f>
        <v>-33480</v>
      </c>
      <c r="J74" s="171"/>
      <c r="K74" s="1192"/>
    </row>
    <row r="75" spans="2:11" ht="16" x14ac:dyDescent="0.2">
      <c r="B75" s="171">
        <v>2700</v>
      </c>
      <c r="C75" s="1230" t="s">
        <v>493</v>
      </c>
      <c r="D75" s="1230"/>
      <c r="E75" s="1230"/>
      <c r="F75" s="1230"/>
      <c r="G75" s="1233">
        <f>'Bilan début-fin'!E48</f>
        <v>0</v>
      </c>
      <c r="H75" s="1233">
        <f>'Bilan début-fin'!J48</f>
        <v>0</v>
      </c>
      <c r="I75" s="1234">
        <f>H75-G75</f>
        <v>0</v>
      </c>
      <c r="J75" s="171"/>
      <c r="K75" s="1192"/>
    </row>
    <row r="76" spans="2:11" ht="16" x14ac:dyDescent="0.2">
      <c r="B76" s="171">
        <v>2800</v>
      </c>
      <c r="C76" s="1230" t="s">
        <v>494</v>
      </c>
      <c r="D76" s="1230"/>
      <c r="E76" s="1230"/>
      <c r="F76" s="1230"/>
      <c r="G76" s="1233">
        <f>'Bilan début-fin'!E49</f>
        <v>0</v>
      </c>
      <c r="H76" s="1233">
        <f>'Bilan début-fin'!J49</f>
        <v>0</v>
      </c>
      <c r="I76" s="1234">
        <f>H76-G76</f>
        <v>0</v>
      </c>
      <c r="J76" s="171"/>
      <c r="K76" s="1192"/>
    </row>
    <row r="77" spans="2:11" ht="16" x14ac:dyDescent="0.2">
      <c r="B77" s="171">
        <v>2900</v>
      </c>
      <c r="C77" s="1230" t="s">
        <v>495</v>
      </c>
      <c r="D77" s="1230"/>
      <c r="E77" s="1230"/>
      <c r="F77" s="1230"/>
      <c r="G77" s="1233">
        <f>'Bilan début-fin'!E50</f>
        <v>0</v>
      </c>
      <c r="H77" s="1233">
        <f>'Bilan début-fin'!J50</f>
        <v>0</v>
      </c>
      <c r="I77" s="1234">
        <f>H77-G77</f>
        <v>0</v>
      </c>
      <c r="J77" s="171"/>
      <c r="K77" s="1192"/>
    </row>
    <row r="78" spans="2:11" ht="19" x14ac:dyDescent="0.35">
      <c r="B78" s="171" t="s">
        <v>1</v>
      </c>
      <c r="C78" s="1230" t="s">
        <v>1</v>
      </c>
      <c r="D78" s="1230"/>
      <c r="E78" s="1230"/>
      <c r="F78" s="1230"/>
      <c r="G78" s="1235">
        <f>+SUM(G74:G77)</f>
        <v>133920</v>
      </c>
      <c r="H78" s="1235">
        <f>+SUM(H74:H77)</f>
        <v>100440</v>
      </c>
      <c r="I78" s="1236">
        <f>H78-G78</f>
        <v>-33480</v>
      </c>
      <c r="J78" s="1202" t="s">
        <v>1</v>
      </c>
      <c r="K78" s="1199">
        <f>I78/J112</f>
        <v>-1.0289561412054828</v>
      </c>
    </row>
    <row r="79" spans="2:11" ht="19" x14ac:dyDescent="0.35">
      <c r="B79" s="171" t="s">
        <v>1</v>
      </c>
      <c r="C79" s="171"/>
      <c r="D79" s="171"/>
      <c r="E79" s="171"/>
      <c r="F79" s="171"/>
      <c r="G79" s="256"/>
      <c r="H79" s="256"/>
      <c r="I79" s="256"/>
      <c r="J79" s="1202"/>
      <c r="K79" s="1192"/>
    </row>
    <row r="80" spans="2:11" ht="20" x14ac:dyDescent="0.35">
      <c r="B80" s="1204">
        <v>3000</v>
      </c>
      <c r="C80" s="1237" t="s">
        <v>496</v>
      </c>
      <c r="D80" s="171"/>
      <c r="E80" s="171"/>
      <c r="F80" s="171"/>
      <c r="G80" s="415" t="s">
        <v>412</v>
      </c>
      <c r="H80" s="415" t="s">
        <v>413</v>
      </c>
      <c r="I80" s="415" t="s">
        <v>479</v>
      </c>
      <c r="J80" s="171"/>
      <c r="K80" s="1192"/>
    </row>
    <row r="81" spans="2:11" ht="16" x14ac:dyDescent="0.2">
      <c r="B81" s="171"/>
      <c r="C81" s="171"/>
      <c r="D81" s="171"/>
      <c r="E81" s="171"/>
      <c r="F81" s="171"/>
      <c r="G81" s="261"/>
      <c r="H81" s="261"/>
      <c r="I81" s="261"/>
      <c r="J81" s="171"/>
      <c r="K81" s="1192"/>
    </row>
    <row r="82" spans="2:11" ht="16" x14ac:dyDescent="0.2">
      <c r="B82" s="171">
        <v>3000</v>
      </c>
      <c r="C82" s="171" t="s">
        <v>497</v>
      </c>
      <c r="D82" s="171"/>
      <c r="E82" s="171"/>
      <c r="F82" s="171"/>
      <c r="G82" s="1194">
        <f>'Bilan début-fin'!E58</f>
        <v>50000</v>
      </c>
      <c r="H82" s="1194">
        <f>'Bilan début-fin'!J58</f>
        <v>50000</v>
      </c>
      <c r="I82" s="1238">
        <f>H82-G82</f>
        <v>0</v>
      </c>
      <c r="J82" s="171"/>
      <c r="K82" s="1192"/>
    </row>
    <row r="83" spans="2:11" ht="16" x14ac:dyDescent="0.2">
      <c r="B83" s="171">
        <v>3100</v>
      </c>
      <c r="C83" s="171" t="s">
        <v>498</v>
      </c>
      <c r="D83" s="171"/>
      <c r="E83" s="171"/>
      <c r="F83" s="171"/>
      <c r="G83" s="1194">
        <f>'Bilan début-fin'!E59</f>
        <v>0</v>
      </c>
      <c r="H83" s="1194">
        <f>'Bilan début-fin'!J59</f>
        <v>0</v>
      </c>
      <c r="I83" s="1238">
        <f>H83-G83</f>
        <v>0</v>
      </c>
      <c r="J83" s="171"/>
      <c r="K83" s="1192"/>
    </row>
    <row r="84" spans="2:11" ht="16" x14ac:dyDescent="0.2">
      <c r="B84" s="1239">
        <v>3200</v>
      </c>
      <c r="C84" s="1239" t="s">
        <v>499</v>
      </c>
      <c r="D84" s="1239"/>
      <c r="E84" s="1239"/>
      <c r="F84" s="1239"/>
      <c r="G84" s="1240" t="s">
        <v>517</v>
      </c>
      <c r="H84" s="1240" t="s">
        <v>1</v>
      </c>
      <c r="I84" s="1241" t="s">
        <v>1</v>
      </c>
      <c r="J84" s="171"/>
      <c r="K84" s="1192"/>
    </row>
    <row r="85" spans="2:11" ht="16" x14ac:dyDescent="0.2">
      <c r="B85" s="171">
        <v>3300</v>
      </c>
      <c r="C85" s="171" t="s">
        <v>500</v>
      </c>
      <c r="D85" s="171"/>
      <c r="E85" s="171"/>
      <c r="F85" s="171"/>
      <c r="G85" s="1194">
        <f>'Bilan début-fin'!E61</f>
        <v>0</v>
      </c>
      <c r="H85" s="1194">
        <f>'Bilan début-fin'!J61</f>
        <v>0</v>
      </c>
      <c r="I85" s="1238">
        <f>H85-G85</f>
        <v>0</v>
      </c>
      <c r="J85" s="171"/>
      <c r="K85" s="1192"/>
    </row>
    <row r="86" spans="2:11" ht="16" x14ac:dyDescent="0.2">
      <c r="B86" s="171">
        <v>3400</v>
      </c>
      <c r="C86" s="171" t="s">
        <v>501</v>
      </c>
      <c r="D86" s="171"/>
      <c r="E86" s="171"/>
      <c r="F86" s="171"/>
      <c r="G86" s="1194">
        <f>'Bilan début-fin'!E62</f>
        <v>0</v>
      </c>
      <c r="H86" s="1194">
        <f>'Bilan début-fin'!J62</f>
        <v>0</v>
      </c>
      <c r="I86" s="1238">
        <f>H86-G86</f>
        <v>0</v>
      </c>
      <c r="J86" s="171"/>
      <c r="K86" s="1192"/>
    </row>
    <row r="87" spans="2:11" ht="19" x14ac:dyDescent="0.35">
      <c r="B87" s="171"/>
      <c r="C87" s="171"/>
      <c r="D87" s="171"/>
      <c r="E87" s="171"/>
      <c r="F87" s="171"/>
      <c r="G87" s="1195">
        <f>+G82+G83+G85+G86</f>
        <v>50000</v>
      </c>
      <c r="H87" s="1195">
        <f>+H82+H83+H85+H86</f>
        <v>50000</v>
      </c>
      <c r="I87" s="1242">
        <f>+I82+I83+I85+I86</f>
        <v>0</v>
      </c>
      <c r="J87" s="1202" t="s">
        <v>1</v>
      </c>
      <c r="K87" s="1199">
        <f>I87/J112</f>
        <v>0</v>
      </c>
    </row>
    <row r="88" spans="2:11" ht="20" thickBot="1" x14ac:dyDescent="0.4">
      <c r="B88" s="171"/>
      <c r="C88" s="171"/>
      <c r="D88" s="171"/>
      <c r="E88" s="171"/>
      <c r="F88" s="171"/>
      <c r="G88" s="256"/>
      <c r="H88" s="1243"/>
      <c r="I88" s="256"/>
      <c r="J88" s="1202"/>
      <c r="K88" s="1192"/>
    </row>
    <row r="89" spans="2:11" ht="21" thickTop="1" thickBot="1" x14ac:dyDescent="0.4">
      <c r="B89" s="1453" t="s">
        <v>502</v>
      </c>
      <c r="C89" s="1454"/>
      <c r="D89" s="1454"/>
      <c r="E89" s="1454"/>
      <c r="F89" s="1454"/>
      <c r="G89" s="1454"/>
      <c r="H89" s="1454"/>
      <c r="I89" s="1454"/>
      <c r="J89" s="1227">
        <f>+I78+I87</f>
        <v>-33480</v>
      </c>
      <c r="K89" s="1228">
        <f>J89/J112</f>
        <v>-1.0289561412054828</v>
      </c>
    </row>
    <row r="90" spans="2:11" ht="18" thickTop="1" thickBot="1" x14ac:dyDescent="0.25">
      <c r="B90" s="171"/>
      <c r="C90" s="171"/>
      <c r="D90" s="171"/>
      <c r="E90" s="171"/>
      <c r="F90" s="171"/>
      <c r="G90" s="261"/>
      <c r="H90" s="261"/>
      <c r="I90" s="261"/>
      <c r="J90" s="171"/>
      <c r="K90" s="1192"/>
    </row>
    <row r="91" spans="2:11" ht="18" thickTop="1" thickBot="1" x14ac:dyDescent="0.25">
      <c r="B91" s="1455" t="s">
        <v>503</v>
      </c>
      <c r="C91" s="1456"/>
      <c r="D91" s="1456"/>
      <c r="E91" s="1456"/>
      <c r="F91" s="1456"/>
      <c r="G91" s="1456"/>
      <c r="H91" s="1456"/>
      <c r="I91" s="1456"/>
      <c r="J91" s="1456"/>
      <c r="K91" s="1457"/>
    </row>
    <row r="92" spans="2:11" ht="17" thickTop="1" x14ac:dyDescent="0.2">
      <c r="B92" s="171"/>
      <c r="C92" s="171"/>
      <c r="D92" s="171"/>
      <c r="E92" s="171"/>
      <c r="F92" s="171"/>
      <c r="G92" s="261"/>
      <c r="H92" s="261"/>
      <c r="I92" s="261"/>
      <c r="J92" s="171"/>
      <c r="K92" s="1192"/>
    </row>
    <row r="93" spans="2:11" ht="20" x14ac:dyDescent="0.35">
      <c r="B93" s="1244">
        <v>1000</v>
      </c>
      <c r="C93" s="1237" t="s">
        <v>421</v>
      </c>
      <c r="D93" s="171"/>
      <c r="E93" s="171"/>
      <c r="F93" s="171"/>
      <c r="G93" s="415" t="s">
        <v>412</v>
      </c>
      <c r="H93" s="415" t="s">
        <v>413</v>
      </c>
      <c r="I93" s="415" t="s">
        <v>479</v>
      </c>
      <c r="J93" s="171"/>
      <c r="K93" s="1192"/>
    </row>
    <row r="94" spans="2:11" ht="16" x14ac:dyDescent="0.2">
      <c r="B94" s="171"/>
      <c r="C94" s="171"/>
      <c r="D94" s="171"/>
      <c r="E94" s="171"/>
      <c r="F94" s="171"/>
      <c r="G94" s="261"/>
      <c r="H94" s="261"/>
      <c r="I94" s="261"/>
      <c r="J94" s="171"/>
      <c r="K94" s="1192"/>
    </row>
    <row r="95" spans="2:11" ht="16" x14ac:dyDescent="0.2">
      <c r="B95" s="171">
        <v>1400</v>
      </c>
      <c r="C95" s="171" t="s">
        <v>504</v>
      </c>
      <c r="D95" s="171"/>
      <c r="E95" s="171"/>
      <c r="F95" s="171"/>
      <c r="G95" s="1194">
        <f>'Bilan début-fin'!E23</f>
        <v>0</v>
      </c>
      <c r="H95" s="1194">
        <f>'Bilan début-fin'!J23</f>
        <v>50000</v>
      </c>
      <c r="I95" s="1238">
        <f>G95-H95</f>
        <v>-50000</v>
      </c>
      <c r="J95" s="171"/>
      <c r="K95" s="1192"/>
    </row>
    <row r="96" spans="2:11" ht="16" x14ac:dyDescent="0.2">
      <c r="B96" s="171">
        <v>1500</v>
      </c>
      <c r="C96" s="171" t="s">
        <v>505</v>
      </c>
      <c r="D96" s="171"/>
      <c r="E96" s="171"/>
      <c r="F96" s="171"/>
      <c r="G96" s="1194">
        <f>'Bilan début-fin'!E24</f>
        <v>186000</v>
      </c>
      <c r="H96" s="1194">
        <f>+G96</f>
        <v>186000</v>
      </c>
      <c r="I96" s="1238">
        <f>G96-H96</f>
        <v>0</v>
      </c>
      <c r="J96" s="171"/>
      <c r="K96" s="1192"/>
    </row>
    <row r="97" spans="2:12" ht="16" x14ac:dyDescent="0.2">
      <c r="B97" s="1239"/>
      <c r="C97" s="1239" t="s">
        <v>506</v>
      </c>
      <c r="D97" s="1239"/>
      <c r="E97" s="1239"/>
      <c r="F97" s="1239"/>
      <c r="G97" s="1240" t="s">
        <v>1</v>
      </c>
      <c r="H97" s="1240">
        <v>18600</v>
      </c>
      <c r="I97" s="1241" t="s">
        <v>1</v>
      </c>
      <c r="J97" s="171"/>
      <c r="K97" s="1192"/>
    </row>
    <row r="98" spans="2:12" ht="16" x14ac:dyDescent="0.2">
      <c r="B98" s="171">
        <v>1600</v>
      </c>
      <c r="C98" s="171" t="s">
        <v>507</v>
      </c>
      <c r="D98" s="171"/>
      <c r="E98" s="171"/>
      <c r="F98" s="171"/>
      <c r="G98" s="1194">
        <f>'Bilan début-fin'!E25</f>
        <v>0</v>
      </c>
      <c r="H98" s="1194">
        <f>'Bilan début-fin'!J25</f>
        <v>0</v>
      </c>
      <c r="I98" s="1238">
        <f>G98-H98</f>
        <v>0</v>
      </c>
      <c r="J98" s="171"/>
      <c r="K98" s="1192"/>
    </row>
    <row r="99" spans="2:12" ht="16" x14ac:dyDescent="0.2">
      <c r="B99" s="1239"/>
      <c r="C99" s="1239" t="s">
        <v>508</v>
      </c>
      <c r="D99" s="1239"/>
      <c r="E99" s="1239"/>
      <c r="F99" s="1239"/>
      <c r="G99" s="1240"/>
      <c r="H99" s="1240"/>
      <c r="I99" s="1241"/>
      <c r="J99" s="171"/>
      <c r="K99" s="1192"/>
    </row>
    <row r="100" spans="2:12" ht="16" x14ac:dyDescent="0.2">
      <c r="B100" s="171">
        <v>1700</v>
      </c>
      <c r="C100" s="171" t="s">
        <v>509</v>
      </c>
      <c r="D100" s="171"/>
      <c r="E100" s="171"/>
      <c r="F100" s="171"/>
      <c r="G100" s="1194">
        <f>'Bilan début-fin'!E26</f>
        <v>0</v>
      </c>
      <c r="H100" s="1194">
        <f>'Bilan début-fin'!J26</f>
        <v>0</v>
      </c>
      <c r="I100" s="1238">
        <f>G100-H100</f>
        <v>0</v>
      </c>
      <c r="J100" s="171"/>
      <c r="K100" s="1192"/>
    </row>
    <row r="101" spans="2:12" ht="16" x14ac:dyDescent="0.2">
      <c r="B101" s="1239"/>
      <c r="C101" s="1239" t="s">
        <v>510</v>
      </c>
      <c r="D101" s="1239"/>
      <c r="E101" s="1239"/>
      <c r="F101" s="1239"/>
      <c r="G101" s="1240" t="s">
        <v>1</v>
      </c>
      <c r="H101" s="1240" t="s">
        <v>1</v>
      </c>
      <c r="I101" s="1241" t="s">
        <v>1</v>
      </c>
      <c r="J101" s="171"/>
      <c r="K101" s="1192"/>
    </row>
    <row r="102" spans="2:12" ht="19" x14ac:dyDescent="0.35">
      <c r="B102" s="171"/>
      <c r="C102" s="171"/>
      <c r="D102" s="171"/>
      <c r="E102" s="171"/>
      <c r="F102" s="171"/>
      <c r="G102" s="1195">
        <f>+G95+G96+G98+G100</f>
        <v>186000</v>
      </c>
      <c r="H102" s="1195">
        <f>+H95+H96+H98+H100</f>
        <v>236000</v>
      </c>
      <c r="I102" s="1242">
        <f>+G102-H102</f>
        <v>-50000</v>
      </c>
      <c r="J102" s="171"/>
      <c r="K102" s="231">
        <f>I102/J112</f>
        <v>-1.5366728512626686</v>
      </c>
    </row>
    <row r="103" spans="2:12" ht="20" thickBot="1" x14ac:dyDescent="0.4">
      <c r="B103" s="171"/>
      <c r="C103" s="171"/>
      <c r="D103" s="171"/>
      <c r="E103" s="171"/>
      <c r="F103" s="171"/>
      <c r="G103" s="256"/>
      <c r="H103" s="256"/>
      <c r="I103" s="256"/>
      <c r="J103" s="1202"/>
      <c r="K103" s="1192"/>
    </row>
    <row r="104" spans="2:12" ht="21" thickTop="1" thickBot="1" x14ac:dyDescent="0.4">
      <c r="B104" s="1453" t="s">
        <v>511</v>
      </c>
      <c r="C104" s="1454"/>
      <c r="D104" s="1454"/>
      <c r="E104" s="1454"/>
      <c r="F104" s="1454"/>
      <c r="G104" s="1454"/>
      <c r="H104" s="1454"/>
      <c r="I104" s="1454"/>
      <c r="J104" s="1245">
        <f>I102</f>
        <v>-50000</v>
      </c>
      <c r="K104" s="1228">
        <f>J104/J112</f>
        <v>-1.5366728512626686</v>
      </c>
    </row>
    <row r="105" spans="2:12" ht="18" thickTop="1" thickBot="1" x14ac:dyDescent="0.25">
      <c r="B105" s="171"/>
      <c r="C105" s="171"/>
      <c r="D105" s="171"/>
      <c r="E105" s="171"/>
      <c r="F105" s="171"/>
      <c r="G105" s="171"/>
      <c r="H105" s="171"/>
      <c r="I105" s="171"/>
      <c r="J105" s="171"/>
      <c r="K105" s="171"/>
    </row>
    <row r="106" spans="2:12" ht="20" thickTop="1" x14ac:dyDescent="0.35">
      <c r="B106" s="171"/>
      <c r="C106" s="1458" t="s">
        <v>512</v>
      </c>
      <c r="D106" s="1458"/>
      <c r="E106" s="1458"/>
      <c r="F106" s="1458"/>
      <c r="G106" s="1458"/>
      <c r="H106" s="1458"/>
      <c r="I106" s="1458"/>
      <c r="J106" s="1246">
        <f>J68+J89+J104</f>
        <v>11137.830418499885</v>
      </c>
      <c r="K106" s="1199">
        <f>J106/J112</f>
        <v>0.34230403252152602</v>
      </c>
    </row>
    <row r="107" spans="2:12" ht="16" x14ac:dyDescent="0.2">
      <c r="B107" s="171"/>
      <c r="C107" s="171"/>
      <c r="D107" s="171"/>
      <c r="E107" s="171"/>
      <c r="F107" s="171"/>
      <c r="G107" s="171"/>
      <c r="H107" s="171"/>
      <c r="I107" s="171"/>
      <c r="J107" s="1247" t="s">
        <v>1</v>
      </c>
      <c r="K107" s="171"/>
    </row>
    <row r="108" spans="2:12" ht="16" x14ac:dyDescent="0.2">
      <c r="B108" s="171"/>
      <c r="C108" s="1458" t="s">
        <v>513</v>
      </c>
      <c r="D108" s="1458"/>
      <c r="E108" s="1458"/>
      <c r="F108" s="1458"/>
      <c r="G108" s="1458"/>
      <c r="H108" s="1458"/>
      <c r="I108" s="1458"/>
      <c r="J108" s="1248">
        <f>'Bilan début-fin'!E14</f>
        <v>21400</v>
      </c>
      <c r="K108" s="1249" t="s">
        <v>1</v>
      </c>
    </row>
    <row r="109" spans="2:12" ht="17" thickBot="1" x14ac:dyDescent="0.25">
      <c r="B109" s="171"/>
      <c r="C109" s="171"/>
      <c r="D109" s="171"/>
      <c r="E109" s="171"/>
      <c r="F109" s="171"/>
      <c r="G109" s="171"/>
      <c r="H109" s="171"/>
      <c r="I109" s="171"/>
      <c r="J109" s="1247"/>
      <c r="K109" s="171" t="s">
        <v>1</v>
      </c>
    </row>
    <row r="110" spans="2:12" ht="21" thickTop="1" thickBot="1" x14ac:dyDescent="0.4">
      <c r="B110" s="171"/>
      <c r="C110" s="1458" t="s">
        <v>514</v>
      </c>
      <c r="D110" s="1458"/>
      <c r="E110" s="1458"/>
      <c r="F110" s="1458"/>
      <c r="G110" s="1458"/>
      <c r="H110" s="1458"/>
      <c r="I110" s="1458"/>
      <c r="J110" s="1250">
        <f>+J106+J108</f>
        <v>32537.830418499885</v>
      </c>
      <c r="K110" s="1249" t="s">
        <v>1</v>
      </c>
      <c r="L110" s="396" t="s">
        <v>1</v>
      </c>
    </row>
    <row r="111" spans="2:12" ht="18" thickTop="1" thickBot="1" x14ac:dyDescent="0.25">
      <c r="B111" s="171"/>
      <c r="C111" s="171"/>
      <c r="D111" s="171"/>
      <c r="E111" s="171"/>
      <c r="F111" s="171"/>
      <c r="G111" s="171"/>
      <c r="H111" s="171"/>
      <c r="I111" s="171"/>
      <c r="J111" s="1251"/>
      <c r="K111" s="171"/>
    </row>
    <row r="112" spans="2:12" ht="18" customHeight="1" thickTop="1" thickBot="1" x14ac:dyDescent="0.4">
      <c r="B112" s="171"/>
      <c r="C112" s="1459" t="s">
        <v>515</v>
      </c>
      <c r="D112" s="1460"/>
      <c r="E112" s="1460"/>
      <c r="F112" s="1460"/>
      <c r="G112" s="1460"/>
      <c r="H112" s="1460"/>
      <c r="I112" s="1460"/>
      <c r="J112" s="1252">
        <f>'Bilan début-fin'!J14</f>
        <v>32537.83</v>
      </c>
      <c r="K112" s="1197"/>
    </row>
    <row r="113" spans="2:12" ht="17" thickTop="1" x14ac:dyDescent="0.2">
      <c r="B113" s="171"/>
      <c r="C113" s="171"/>
      <c r="D113" s="171"/>
      <c r="E113" s="171"/>
      <c r="F113" s="171"/>
      <c r="G113" s="171"/>
      <c r="H113" s="171"/>
      <c r="I113" s="171"/>
      <c r="J113" s="1200"/>
      <c r="K113" s="171"/>
    </row>
    <row r="114" spans="2:12" ht="16" x14ac:dyDescent="0.2">
      <c r="B114" s="171"/>
      <c r="C114" s="1444" t="s">
        <v>516</v>
      </c>
      <c r="D114" s="1445"/>
      <c r="E114" s="1445"/>
      <c r="F114" s="1445"/>
      <c r="G114" s="1445"/>
      <c r="H114" s="1445"/>
      <c r="I114" s="1445"/>
      <c r="J114" s="1253">
        <f>J110-J112</f>
        <v>4.1849988338071853E-4</v>
      </c>
      <c r="K114" s="1254">
        <f>J114/J112</f>
        <v>1.2861948180954861E-8</v>
      </c>
      <c r="L114" s="138" t="s">
        <v>1</v>
      </c>
    </row>
    <row r="115" spans="2:12" x14ac:dyDescent="0.15">
      <c r="J115" s="396" t="s">
        <v>1</v>
      </c>
    </row>
    <row r="116" spans="2:12" x14ac:dyDescent="0.15">
      <c r="J116" s="396" t="s">
        <v>1</v>
      </c>
    </row>
    <row r="117" spans="2:12" x14ac:dyDescent="0.15">
      <c r="J117" s="396"/>
    </row>
    <row r="118" spans="2:12" x14ac:dyDescent="0.15">
      <c r="J118" s="396"/>
    </row>
    <row r="119" spans="2:12" x14ac:dyDescent="0.15">
      <c r="J119" s="396"/>
    </row>
    <row r="120" spans="2:12" x14ac:dyDescent="0.15">
      <c r="J120" s="396"/>
    </row>
    <row r="121" spans="2:12" x14ac:dyDescent="0.15">
      <c r="J121" s="396"/>
    </row>
  </sheetData>
  <sheetProtection algorithmName="SHA-512" hashValue="HwzZUiOJmkzbmjybjFoaJS8snXq5uPVU242xBgYcNr41dVI5o6H+oByiwuTbBRaseg38S8yxSRigoOw8OQqW3Q==" saltValue="y5Olao64N9V+7KvfDRJWow==" spinCount="100000" sheet="1" objects="1" scenarios="1"/>
  <mergeCells count="24">
    <mergeCell ref="C44:I44"/>
    <mergeCell ref="B2:K2"/>
    <mergeCell ref="B3:K3"/>
    <mergeCell ref="B5:K5"/>
    <mergeCell ref="C8:E8"/>
    <mergeCell ref="C9:E9"/>
    <mergeCell ref="B13:K13"/>
    <mergeCell ref="B19:K19"/>
    <mergeCell ref="B30:K30"/>
    <mergeCell ref="B36:K36"/>
    <mergeCell ref="B40:K40"/>
    <mergeCell ref="C42:I42"/>
    <mergeCell ref="C114:I114"/>
    <mergeCell ref="C46:I46"/>
    <mergeCell ref="C66:I66"/>
    <mergeCell ref="C68:I68"/>
    <mergeCell ref="B70:K70"/>
    <mergeCell ref="B89:I89"/>
    <mergeCell ref="B91:K91"/>
    <mergeCell ref="B104:I104"/>
    <mergeCell ref="C106:I106"/>
    <mergeCell ref="C108:I108"/>
    <mergeCell ref="C110:I110"/>
    <mergeCell ref="C112:I112"/>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21</vt:i4>
      </vt:variant>
      <vt:variant>
        <vt:lpstr>Plages nommées</vt:lpstr>
      </vt:variant>
      <vt:variant>
        <vt:i4>14</vt:i4>
      </vt:variant>
    </vt:vector>
  </HeadingPairs>
  <TitlesOfParts>
    <vt:vector size="35" baseType="lpstr">
      <vt:lpstr>Calendrier 2023</vt:lpstr>
      <vt:lpstr>Achalandage journalier</vt:lpstr>
      <vt:lpstr>% Occupation</vt:lpstr>
      <vt:lpstr>Calcul CmO et PmO</vt:lpstr>
      <vt:lpstr>Calcul CmO, PmO, Etc.</vt:lpstr>
      <vt:lpstr>Formule pour le calcul D</vt:lpstr>
      <vt:lpstr>État des Résultats</vt:lpstr>
      <vt:lpstr>Bilan début-fin</vt:lpstr>
      <vt:lpstr>Tableau de trésorerie</vt:lpstr>
      <vt:lpstr> Total des coûts de MO</vt:lpstr>
      <vt:lpstr>Salaire (planification)</vt:lpstr>
      <vt:lpstr>Coût marchandises vendues</vt:lpstr>
      <vt:lpstr>Coût d'occupation </vt:lpstr>
      <vt:lpstr>Coût direct d'exploitation </vt:lpstr>
      <vt:lpstr>Musique &amp; Divertissement</vt:lpstr>
      <vt:lpstr>Mark &amp; Communication marketing</vt:lpstr>
      <vt:lpstr>Services publics</vt:lpstr>
      <vt:lpstr>Administration &amp; Frais généraux</vt:lpstr>
      <vt:lpstr>Entretien &amp; Réparation</vt:lpstr>
      <vt:lpstr>Frais financier</vt:lpstr>
      <vt:lpstr>Amortissement</vt:lpstr>
      <vt:lpstr>' Total des coûts de MO'!Zone_d_impression</vt:lpstr>
      <vt:lpstr>'Administration &amp; Frais généraux'!Zone_d_impression</vt:lpstr>
      <vt:lpstr>Amortissement!Zone_d_impression</vt:lpstr>
      <vt:lpstr>'Bilan début-fin'!Zone_d_impression</vt:lpstr>
      <vt:lpstr>'Coût d''occupation '!Zone_d_impression</vt:lpstr>
      <vt:lpstr>'Coût direct d''exploitation '!Zone_d_impression</vt:lpstr>
      <vt:lpstr>'Coût marchandises vendues'!Zone_d_impression</vt:lpstr>
      <vt:lpstr>'Entretien &amp; Réparation'!Zone_d_impression</vt:lpstr>
      <vt:lpstr>'État des Résultats'!Zone_d_impression</vt:lpstr>
      <vt:lpstr>'Frais financier'!Zone_d_impression</vt:lpstr>
      <vt:lpstr>'Mark &amp; Communication marketing'!Zone_d_impression</vt:lpstr>
      <vt:lpstr>'Musique &amp; Divertissement'!Zone_d_impression</vt:lpstr>
      <vt:lpstr>'Salaire (planification)'!Zone_d_impression</vt:lpstr>
      <vt:lpstr>'Services publics'!Zone_d_impression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2022-02-22T21:37:17Z</dcterms:created>
  <dcterms:modified xsi:type="dcterms:W3CDTF">2022-03-30T15:56:29Z</dcterms:modified>
</cp:coreProperties>
</file>