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6420" tabRatio="920" activeTab="0"/>
  </bookViews>
  <sheets>
    <sheet name="Calcul CmO et PmO" sheetId="1" r:id="rId1"/>
    <sheet name="Vins Blancs" sheetId="2" r:id="rId2"/>
    <sheet name="Vins Rouges" sheetId="3" r:id="rId3"/>
    <sheet name="Vins Rouges&amp;Rosés" sheetId="4" r:id="rId4"/>
    <sheet name="Vins de Porto" sheetId="5" r:id="rId5"/>
  </sheets>
  <externalReferences>
    <externalReference r:id="rId8"/>
  </externalReferences>
  <definedNames>
    <definedName name="image1">#REF!</definedName>
  </definedNames>
  <calcPr fullCalcOnLoad="1"/>
</workbook>
</file>

<file path=xl/sharedStrings.xml><?xml version="1.0" encoding="utf-8"?>
<sst xmlns="http://schemas.openxmlformats.org/spreadsheetml/2006/main" count="248" uniqueCount="108">
  <si>
    <t>Château Bellevue La Forêt Côtes du Frontonnais 2004</t>
  </si>
  <si>
    <t>Les Comtes de Cahors Cahors 2004</t>
  </si>
  <si>
    <t>Bourgogne Passe-tout-grains Prince Philippe Thorin 2006</t>
  </si>
  <si>
    <t>Perrin Réserve Côtes du Rhône 2006</t>
  </si>
  <si>
    <t>ARGENTINE</t>
  </si>
  <si>
    <t>AUSTRALIE</t>
  </si>
  <si>
    <t>CHILI</t>
  </si>
  <si>
    <t>ESPAGNE</t>
  </si>
  <si>
    <t>ÉTATS-UNIS</t>
  </si>
  <si>
    <t>FRANCE</t>
  </si>
  <si>
    <t>ITALIE</t>
  </si>
  <si>
    <t>Vinho regional Alentejano Vinha do Monte 2005</t>
  </si>
  <si>
    <t>Folonari Soave 2006</t>
  </si>
  <si>
    <t>Chardonnay/Sauvignon Fumaio Banfi Toscana i.g.t. 2007</t>
  </si>
  <si>
    <t>Malbec Trapiche Mendoza 2007</t>
  </si>
  <si>
    <t>Shiraz/Cabernet Jacob's Creek South Eastern Australia 2005</t>
  </si>
  <si>
    <t>Shiraz Bin 555 Wyndham Estate South Eastern Australia 2005</t>
  </si>
  <si>
    <t>Shiraz Errazuriz Estate valle de Rapel 2007</t>
  </si>
  <si>
    <t>Garnacha/Tempr. Torrelongares Reserva Carinena 2002</t>
  </si>
  <si>
    <t>Cabernet-Sauvignon Fetzer Valley Oaks Californie 2005</t>
  </si>
  <si>
    <t xml:space="preserve"> </t>
  </si>
  <si>
    <t>Hoya de Cadenas Reserva Utiel-Requena 2003</t>
  </si>
  <si>
    <t>Cabernet-Sauvignon Enate Tinto Somontano 2005</t>
  </si>
  <si>
    <t>Zinfandel Stone Cellars par Beringer Californie 2005</t>
  </si>
  <si>
    <t>Merlot Stone Cellars par Beringer Californie 2005</t>
  </si>
  <si>
    <t>Syrah EXP Toasted Head Californie 2005</t>
  </si>
  <si>
    <t>Pinot noir Mondavi Coastal Central Coast Californie 2006</t>
  </si>
  <si>
    <t>Pinot noir François de Blossac vin pays Jardin de la France 2006</t>
  </si>
  <si>
    <t>Torus Madiran 2004</t>
  </si>
  <si>
    <t>Modello Masi Delle Venezie i.g.t. 2006</t>
  </si>
  <si>
    <t>NOUVELLE-ZÉLANDE</t>
  </si>
  <si>
    <t>MEXIQUE</t>
  </si>
  <si>
    <t>PORTUGAL</t>
  </si>
  <si>
    <t>Pinot gris Santepietre Lamberti Delle Venezie i.g.t. 2006</t>
  </si>
  <si>
    <t>Sauvignon blanc Babich Marlborough 2007</t>
  </si>
  <si>
    <t>* 1000 ml</t>
  </si>
  <si>
    <t>Cab-Sauv/Malbec Equilibrium Finca el Portillo Mendoza 2006</t>
  </si>
  <si>
    <t>Shiraz Deakin Estate Victoria 2005</t>
  </si>
  <si>
    <t>Cabernet-Sauv./Merlot Koonunga Hill Penfolds South Australia 2006</t>
  </si>
  <si>
    <t>Fontana Morella Cerveteri 2006</t>
  </si>
  <si>
    <t>Fontana Morella vino da tavola</t>
  </si>
  <si>
    <t>Merlot Lamberti Santepietre Delle Venezie i.g.t. 2006</t>
  </si>
  <si>
    <t>Ripasso Folonari Valpolicella Superiore Classico 2005</t>
  </si>
  <si>
    <t>Pinot gris Pfaffenheim Alsace 2006</t>
  </si>
  <si>
    <t>Riesling Hugel Alsace 2006</t>
  </si>
  <si>
    <t>Gewurztraminer Hugel Alsace 2006</t>
  </si>
  <si>
    <t>Chablis Joseph Drouhin 2006</t>
  </si>
  <si>
    <t>Soana Monrubio Orvieto 2007</t>
  </si>
  <si>
    <t>Cabernet-Sauvignon Caliterra Reserva valle de Colchagua 2006</t>
  </si>
  <si>
    <t>Merlot Cousino Macul Limited Release Maipo 2006</t>
  </si>
  <si>
    <t>60 ml</t>
  </si>
  <si>
    <t>750  ml</t>
  </si>
  <si>
    <t>Offley Cachucha reserve Porto blanc</t>
  </si>
  <si>
    <t>Offley Rei tawny</t>
  </si>
  <si>
    <t>Offley late bottled vintage 2000</t>
  </si>
  <si>
    <t>500  ml</t>
  </si>
  <si>
    <t>Warre’s Otima Tawny, 10 ans</t>
  </si>
  <si>
    <t>Bourgogne Aligoté Prince Philippe Thorin 2006</t>
  </si>
  <si>
    <t>Listel-Gris Grain de Gris vin de pays Sables du Golfe du Lio</t>
  </si>
  <si>
    <t>Château Bellevue La Forêt Côtes du Frontonnais rosé 2006</t>
  </si>
  <si>
    <t>Roseline Prestige Côtes de Provence rosé 2007</t>
  </si>
  <si>
    <t>Pétale de Rose Côtes de Provence rosé 2007</t>
  </si>
  <si>
    <t>750 ml</t>
  </si>
  <si>
    <t>Fonte al Sole Ruffino Toscana i.g.t. Sangiovese/Merlot 2004</t>
  </si>
  <si>
    <t>Poggio alla Badiola Mazzei Toscana i.g.t. 2006</t>
  </si>
  <si>
    <t>Brolio Chianti Classico 2005</t>
  </si>
  <si>
    <t>Petite Sirah L.A. Cetto Valle de Guadalupe 2005</t>
  </si>
  <si>
    <t>suite</t>
  </si>
  <si>
    <t>1000 ml</t>
  </si>
  <si>
    <t>PmO</t>
  </si>
  <si>
    <t>Calcul du PmO</t>
  </si>
  <si>
    <t>CmO</t>
  </si>
  <si>
    <t>Coût moyen offert (CmO) pour la catégorie</t>
  </si>
  <si>
    <t>Prix moyen offert (PmO) pour la catégorie</t>
  </si>
  <si>
    <t>Marge brute moyenne offerte pour la catégorie</t>
  </si>
  <si>
    <t>«Food cost» moyen offert (FCmO) pour la catégorie</t>
  </si>
  <si>
    <t>PmO Vins d'Italie</t>
  </si>
  <si>
    <t>PmO vins Rouges</t>
  </si>
  <si>
    <t>PmO Vins Mexique</t>
  </si>
  <si>
    <t>PmO Vins Portugal</t>
  </si>
  <si>
    <t>PmO Porto blancs</t>
  </si>
  <si>
    <t>PmO Porto rouges</t>
  </si>
  <si>
    <t>PmO France</t>
  </si>
  <si>
    <t>PmO Italie</t>
  </si>
  <si>
    <t>PmO Nouvelle-Zelande</t>
  </si>
  <si>
    <t xml:space="preserve">Coûts des produits vendus </t>
  </si>
  <si>
    <t xml:space="preserve">Prix de vente </t>
  </si>
  <si>
    <t xml:space="preserve">«Wine cost» </t>
  </si>
  <si>
    <t>Marge brute gagnée sur la vente de vins</t>
  </si>
  <si>
    <t>VINS ROSÉS</t>
  </si>
  <si>
    <t>Divers Pays</t>
  </si>
  <si>
    <t>VINS DE PORTO</t>
  </si>
  <si>
    <t>Coût en %</t>
  </si>
  <si>
    <t>PmO Argentine</t>
  </si>
  <si>
    <t>PmO Australie</t>
  </si>
  <si>
    <t>PmO Chili</t>
  </si>
  <si>
    <t>PmO Espagne</t>
  </si>
  <si>
    <t>PmO Etats-Unis</t>
  </si>
  <si>
    <t>CmO — PmO — Coût en % — Marge brute</t>
  </si>
  <si>
    <t>Coût en %  moyen offert pour la catégorie</t>
  </si>
  <si>
    <t>Marge Brute</t>
  </si>
  <si>
    <t>Chardonnay, Collection Privée, France</t>
  </si>
  <si>
    <t>Merlot,  Collection privée,  France</t>
  </si>
  <si>
    <t xml:space="preserve">OFFRE TOTALE </t>
  </si>
  <si>
    <t>Code SAQ</t>
  </si>
  <si>
    <t>LISTE DE PRODUITS ET DE PRIX</t>
  </si>
  <si>
    <t>VINS BLANCS</t>
  </si>
  <si>
    <t>VINS ROUGES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</si>
</sst>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$&quot;"/>
    <numFmt numFmtId="175" formatCode="00000"/>
    <numFmt numFmtId="176" formatCode="&quot;Vrai&quot;;&quot;Vrai&quot;;&quot;Faux&quot;"/>
    <numFmt numFmtId="177" formatCode="&quot;Actif&quot;;&quot;Actif&quot;;&quot;Inactif&quot;"/>
    <numFmt numFmtId="178" formatCode="_ * #,##0.00_)\ [$€-1]_ ;_ * \(#,##0.00\)\ [$€-1]_ ;_ * &quot;-&quot;??_)\ [$€-1]_ "/>
    <numFmt numFmtId="179" formatCode="_-* #,##0.00\ &quot;$&quot;_-;_-* #,##0.00\ &quot;$&quot;\-;_-* &quot;-&quot;??\ &quot;$&quot;_-;_-@_-"/>
    <numFmt numFmtId="180" formatCode="_ * #,##0.0_)\ _$_ ;_ * \(#,##0.0\)\ _$_ ;_ * &quot;-&quot;?_)\ _$_ ;_ @_ "/>
  </numFmts>
  <fonts count="7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8"/>
      <name val="Verdana"/>
      <family val="2"/>
    </font>
    <font>
      <i/>
      <sz val="14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i/>
      <sz val="11"/>
      <color indexed="45"/>
      <name val="Arial"/>
      <family val="2"/>
    </font>
    <font>
      <sz val="9"/>
      <color indexed="23"/>
      <name val="Arial"/>
      <family val="2"/>
    </font>
    <font>
      <b/>
      <sz val="14"/>
      <name val="Arial"/>
      <family val="2"/>
    </font>
    <font>
      <b/>
      <sz val="24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7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2"/>
      <name val="Verdana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0"/>
      <color indexed="23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9"/>
      <color indexed="23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Verdana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49" fontId="14" fillId="0" borderId="0">
      <alignment horizontal="left" vertical="top"/>
      <protection/>
    </xf>
    <xf numFmtId="0" fontId="13" fillId="0" borderId="0">
      <alignment vertical="top"/>
      <protection/>
    </xf>
    <xf numFmtId="0" fontId="1" fillId="0" borderId="0">
      <alignment/>
      <protection/>
    </xf>
    <xf numFmtId="49" fontId="15" fillId="0" borderId="0">
      <alignment horizontal="left" vertical="top"/>
      <protection/>
    </xf>
    <xf numFmtId="49" fontId="18" fillId="0" borderId="0">
      <alignment horizontal="left"/>
      <protection/>
    </xf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9" fillId="27" borderId="3" applyNumberFormat="0" applyFont="0" applyAlignment="0" applyProtection="0"/>
    <xf numFmtId="0" fontId="62" fillId="28" borderId="1" applyNumberFormat="0" applyAlignment="0" applyProtection="0"/>
    <xf numFmtId="178" fontId="9" fillId="0" borderId="0" applyFont="0" applyFill="0" applyBorder="0" applyAlignment="0" applyProtection="0"/>
    <xf numFmtId="0" fontId="6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6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9" fillId="0" borderId="0" applyFont="0" applyFill="0" applyBorder="0" applyAlignment="0" applyProtection="0"/>
    <xf numFmtId="0" fontId="30" fillId="32" borderId="0" applyNumberFormat="0" applyBorder="0" applyAlignment="0" applyProtection="0"/>
    <xf numFmtId="0" fontId="65" fillId="26" borderId="5" applyNumberFormat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31" fillId="33" borderId="10" applyNumberFormat="0" applyAlignment="0" applyProtection="0"/>
    <xf numFmtId="0" fontId="69" fillId="34" borderId="11" applyNumberFormat="0" applyAlignment="0" applyProtection="0"/>
  </cellStyleXfs>
  <cellXfs count="128">
    <xf numFmtId="0" fontId="0" fillId="0" borderId="0" xfId="0" applyAlignment="1">
      <alignment/>
    </xf>
    <xf numFmtId="49" fontId="14" fillId="0" borderId="0" xfId="27" applyFont="1">
      <alignment horizontal="left" vertical="top"/>
      <protection/>
    </xf>
    <xf numFmtId="49" fontId="15" fillId="0" borderId="0" xfId="30">
      <alignment horizontal="left" vertical="top"/>
      <protection/>
    </xf>
    <xf numFmtId="0" fontId="7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0" xfId="28">
      <alignment vertical="top"/>
      <protection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49" fontId="15" fillId="0" borderId="0" xfId="30" applyAlignment="1">
      <alignment horizontal="left"/>
      <protection/>
    </xf>
    <xf numFmtId="0" fontId="13" fillId="0" borderId="0" xfId="0" applyFont="1" applyAlignment="1">
      <alignment vertical="top"/>
    </xf>
    <xf numFmtId="49" fontId="15" fillId="0" borderId="0" xfId="0" applyNumberFormat="1" applyFont="1" applyAlignment="1">
      <alignment horizontal="left" vertical="top"/>
    </xf>
    <xf numFmtId="0" fontId="1" fillId="0" borderId="0" xfId="0" applyFont="1" applyAlignment="1">
      <alignment/>
    </xf>
    <xf numFmtId="49" fontId="18" fillId="0" borderId="0" xfId="31">
      <alignment horizontal="left"/>
      <protection/>
    </xf>
    <xf numFmtId="0" fontId="1" fillId="0" borderId="0" xfId="29">
      <alignment/>
      <protection/>
    </xf>
    <xf numFmtId="0" fontId="1" fillId="0" borderId="0" xfId="29" applyFont="1">
      <alignment/>
      <protection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/>
    </xf>
    <xf numFmtId="49" fontId="18" fillId="0" borderId="0" xfId="31" applyAlignment="1">
      <alignment horizontal="center"/>
      <protection/>
    </xf>
    <xf numFmtId="44" fontId="1" fillId="0" borderId="0" xfId="0" applyNumberFormat="1" applyFont="1" applyAlignment="1">
      <alignment/>
    </xf>
    <xf numFmtId="0" fontId="9" fillId="0" borderId="0" xfId="59">
      <alignment/>
      <protection/>
    </xf>
    <xf numFmtId="0" fontId="25" fillId="0" borderId="0" xfId="59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16" fillId="0" borderId="0" xfId="59" applyFont="1">
      <alignment/>
      <protection/>
    </xf>
    <xf numFmtId="44" fontId="9" fillId="0" borderId="0" xfId="59" applyNumberFormat="1">
      <alignment/>
      <protection/>
    </xf>
    <xf numFmtId="44" fontId="9" fillId="0" borderId="0" xfId="59" applyNumberFormat="1" applyAlignment="1">
      <alignment horizontal="center"/>
      <protection/>
    </xf>
    <xf numFmtId="10" fontId="9" fillId="0" borderId="0" xfId="59" applyNumberFormat="1">
      <alignment/>
      <protection/>
    </xf>
    <xf numFmtId="0" fontId="9" fillId="0" borderId="0" xfId="59" applyFont="1">
      <alignment/>
      <protection/>
    </xf>
    <xf numFmtId="0" fontId="26" fillId="0" borderId="0" xfId="59" applyFont="1">
      <alignment/>
      <protection/>
    </xf>
    <xf numFmtId="44" fontId="27" fillId="0" borderId="0" xfId="59" applyNumberFormat="1" applyFont="1" applyAlignment="1">
      <alignment horizontal="center"/>
      <protection/>
    </xf>
    <xf numFmtId="10" fontId="28" fillId="0" borderId="0" xfId="59" applyNumberFormat="1" applyFont="1">
      <alignment/>
      <protection/>
    </xf>
    <xf numFmtId="44" fontId="27" fillId="0" borderId="0" xfId="59" applyNumberFormat="1" applyFont="1">
      <alignment/>
      <protection/>
    </xf>
    <xf numFmtId="0" fontId="9" fillId="0" borderId="0" xfId="59" applyNumberFormat="1">
      <alignment/>
      <protection/>
    </xf>
    <xf numFmtId="165" fontId="9" fillId="0" borderId="0" xfId="59" applyNumberFormat="1" applyAlignment="1">
      <alignment horizontal="center"/>
      <protection/>
    </xf>
    <xf numFmtId="0" fontId="9" fillId="0" borderId="0" xfId="59" applyAlignment="1">
      <alignment horizontal="center" vertical="center"/>
      <protection/>
    </xf>
    <xf numFmtId="0" fontId="9" fillId="35" borderId="0" xfId="59" applyFont="1" applyFill="1">
      <alignment/>
      <protection/>
    </xf>
    <xf numFmtId="44" fontId="9" fillId="35" borderId="0" xfId="59" applyNumberFormat="1" applyFont="1" applyFill="1">
      <alignment/>
      <protection/>
    </xf>
    <xf numFmtId="10" fontId="9" fillId="35" borderId="0" xfId="59" applyNumberFormat="1" applyFont="1" applyFill="1">
      <alignment/>
      <protection/>
    </xf>
    <xf numFmtId="0" fontId="32" fillId="0" borderId="0" xfId="51" applyFont="1" applyAlignment="1" applyProtection="1">
      <alignment/>
      <protection/>
    </xf>
    <xf numFmtId="0" fontId="9" fillId="0" borderId="12" xfId="59" applyBorder="1">
      <alignment/>
      <protection/>
    </xf>
    <xf numFmtId="0" fontId="26" fillId="0" borderId="13" xfId="59" applyFont="1" applyBorder="1">
      <alignment/>
      <protection/>
    </xf>
    <xf numFmtId="44" fontId="27" fillId="0" borderId="13" xfId="59" applyNumberFormat="1" applyFont="1" applyBorder="1">
      <alignment/>
      <protection/>
    </xf>
    <xf numFmtId="10" fontId="28" fillId="0" borderId="13" xfId="59" applyNumberFormat="1" applyFont="1" applyBorder="1">
      <alignment/>
      <protection/>
    </xf>
    <xf numFmtId="0" fontId="9" fillId="0" borderId="14" xfId="59" applyBorder="1">
      <alignment/>
      <protection/>
    </xf>
    <xf numFmtId="0" fontId="26" fillId="0" borderId="0" xfId="59" applyFont="1" applyBorder="1">
      <alignment/>
      <protection/>
    </xf>
    <xf numFmtId="0" fontId="29" fillId="0" borderId="0" xfId="59" applyFont="1" applyBorder="1">
      <alignment/>
      <protection/>
    </xf>
    <xf numFmtId="44" fontId="9" fillId="0" borderId="0" xfId="59" applyNumberFormat="1" applyBorder="1">
      <alignment/>
      <protection/>
    </xf>
    <xf numFmtId="10" fontId="9" fillId="0" borderId="0" xfId="59" applyNumberFormat="1" applyBorder="1">
      <alignment/>
      <protection/>
    </xf>
    <xf numFmtId="0" fontId="9" fillId="0" borderId="15" xfId="59" applyBorder="1">
      <alignment/>
      <protection/>
    </xf>
    <xf numFmtId="0" fontId="9" fillId="0" borderId="0" xfId="59" applyBorder="1">
      <alignment/>
      <protection/>
    </xf>
    <xf numFmtId="0" fontId="9" fillId="0" borderId="16" xfId="59" applyBorder="1">
      <alignment/>
      <protection/>
    </xf>
    <xf numFmtId="0" fontId="9" fillId="0" borderId="17" xfId="59" applyBorder="1">
      <alignment/>
      <protection/>
    </xf>
    <xf numFmtId="0" fontId="9" fillId="0" borderId="18" xfId="59" applyBorder="1">
      <alignment/>
      <protection/>
    </xf>
    <xf numFmtId="44" fontId="26" fillId="0" borderId="19" xfId="59" applyNumberFormat="1" applyFont="1" applyBorder="1" applyAlignment="1">
      <alignment horizontal="center"/>
      <protection/>
    </xf>
    <xf numFmtId="44" fontId="26" fillId="0" borderId="20" xfId="59" applyNumberFormat="1" applyFont="1" applyBorder="1" applyAlignment="1">
      <alignment horizontal="center"/>
      <protection/>
    </xf>
    <xf numFmtId="10" fontId="26" fillId="0" borderId="20" xfId="59" applyNumberFormat="1" applyFont="1" applyBorder="1" applyAlignment="1">
      <alignment horizontal="center"/>
      <protection/>
    </xf>
    <xf numFmtId="44" fontId="33" fillId="0" borderId="0" xfId="59" applyNumberFormat="1" applyFont="1" applyBorder="1" applyAlignment="1">
      <alignment horizontal="center"/>
      <protection/>
    </xf>
    <xf numFmtId="44" fontId="34" fillId="0" borderId="0" xfId="59" applyNumberFormat="1" applyFont="1" applyBorder="1" applyAlignment="1">
      <alignment horizontal="center"/>
      <protection/>
    </xf>
    <xf numFmtId="10" fontId="34" fillId="0" borderId="0" xfId="59" applyNumberFormat="1" applyFont="1" applyBorder="1" applyAlignment="1">
      <alignment horizontal="center"/>
      <protection/>
    </xf>
    <xf numFmtId="0" fontId="34" fillId="0" borderId="0" xfId="59" applyFont="1" applyBorder="1" applyAlignment="1">
      <alignment horizontal="center"/>
      <protection/>
    </xf>
    <xf numFmtId="0" fontId="9" fillId="0" borderId="0" xfId="59" applyAlignment="1">
      <alignment horizontal="center"/>
      <protection/>
    </xf>
    <xf numFmtId="0" fontId="19" fillId="0" borderId="0" xfId="59" applyFont="1">
      <alignment/>
      <protection/>
    </xf>
    <xf numFmtId="0" fontId="26" fillId="0" borderId="0" xfId="0" applyFont="1" applyAlignment="1">
      <alignment/>
    </xf>
    <xf numFmtId="44" fontId="26" fillId="0" borderId="0" xfId="59" applyNumberFormat="1" applyFont="1" applyAlignment="1">
      <alignment horizontal="center"/>
      <protection/>
    </xf>
    <xf numFmtId="10" fontId="26" fillId="0" borderId="0" xfId="59" applyNumberFormat="1" applyFont="1" applyAlignment="1">
      <alignment horizontal="center"/>
      <protection/>
    </xf>
    <xf numFmtId="44" fontId="26" fillId="0" borderId="0" xfId="0" applyNumberFormat="1" applyFont="1" applyAlignment="1">
      <alignment horizontal="center"/>
    </xf>
    <xf numFmtId="10" fontId="26" fillId="0" borderId="0" xfId="0" applyNumberFormat="1" applyFont="1" applyAlignment="1">
      <alignment horizontal="center"/>
    </xf>
    <xf numFmtId="0" fontId="26" fillId="0" borderId="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44" fontId="26" fillId="0" borderId="15" xfId="59" applyNumberFormat="1" applyFont="1" applyBorder="1" applyAlignment="1">
      <alignment horizontal="center"/>
      <protection/>
    </xf>
    <xf numFmtId="44" fontId="27" fillId="0" borderId="21" xfId="59" applyNumberFormat="1" applyFont="1" applyBorder="1">
      <alignment/>
      <protection/>
    </xf>
    <xf numFmtId="44" fontId="33" fillId="0" borderId="15" xfId="59" applyNumberFormat="1" applyFont="1" applyBorder="1" applyAlignment="1">
      <alignment horizontal="center"/>
      <protection/>
    </xf>
    <xf numFmtId="0" fontId="34" fillId="0" borderId="15" xfId="59" applyFont="1" applyBorder="1" applyAlignment="1">
      <alignment horizontal="center"/>
      <protection/>
    </xf>
    <xf numFmtId="49" fontId="70" fillId="0" borderId="0" xfId="0" applyNumberFormat="1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4" fontId="71" fillId="0" borderId="0" xfId="0" applyNumberFormat="1" applyFont="1" applyAlignment="1">
      <alignment horizontal="left" vertical="top"/>
    </xf>
    <xf numFmtId="49" fontId="72" fillId="0" borderId="0" xfId="0" applyNumberFormat="1" applyFont="1" applyAlignment="1">
      <alignment horizontal="left" vertical="top"/>
    </xf>
    <xf numFmtId="2" fontId="73" fillId="0" borderId="0" xfId="0" applyNumberFormat="1" applyFont="1" applyAlignment="1">
      <alignment horizontal="center"/>
    </xf>
    <xf numFmtId="2" fontId="71" fillId="0" borderId="0" xfId="0" applyNumberFormat="1" applyFont="1" applyAlignment="1">
      <alignment horizontal="center"/>
    </xf>
    <xf numFmtId="0" fontId="74" fillId="0" borderId="0" xfId="0" applyFont="1" applyAlignment="1">
      <alignment/>
    </xf>
    <xf numFmtId="44" fontId="71" fillId="0" borderId="0" xfId="0" applyNumberFormat="1" applyFont="1" applyAlignment="1">
      <alignment/>
    </xf>
    <xf numFmtId="0" fontId="71" fillId="0" borderId="0" xfId="0" applyFont="1" applyAlignment="1">
      <alignment/>
    </xf>
    <xf numFmtId="2" fontId="75" fillId="0" borderId="0" xfId="0" applyNumberFormat="1" applyFont="1" applyAlignment="1">
      <alignment horizontal="center"/>
    </xf>
    <xf numFmtId="44" fontId="70" fillId="0" borderId="0" xfId="0" applyNumberFormat="1" applyFont="1" applyAlignment="1">
      <alignment horizontal="left" vertical="top"/>
    </xf>
    <xf numFmtId="44" fontId="75" fillId="0" borderId="0" xfId="0" applyNumberFormat="1" applyFont="1" applyAlignment="1">
      <alignment horizontal="center"/>
    </xf>
    <xf numFmtId="44" fontId="71" fillId="0" borderId="0" xfId="0" applyNumberFormat="1" applyFont="1" applyAlignment="1">
      <alignment horizontal="center"/>
    </xf>
    <xf numFmtId="2" fontId="71" fillId="0" borderId="0" xfId="0" applyNumberFormat="1" applyFont="1" applyAlignment="1">
      <alignment horizontal="left"/>
    </xf>
    <xf numFmtId="44" fontId="26" fillId="0" borderId="0" xfId="0" applyNumberFormat="1" applyFont="1" applyAlignment="1">
      <alignment/>
    </xf>
    <xf numFmtId="164" fontId="15" fillId="0" borderId="0" xfId="30" applyNumberFormat="1">
      <alignment horizontal="left" vertical="top"/>
      <protection/>
    </xf>
    <xf numFmtId="0" fontId="20" fillId="0" borderId="0" xfId="0" applyFont="1" applyAlignment="1">
      <alignment horizontal="left"/>
    </xf>
    <xf numFmtId="4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35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left"/>
    </xf>
    <xf numFmtId="44" fontId="20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5" fillId="0" borderId="0" xfId="30" applyNumberFormat="1" applyAlignment="1">
      <alignment horizontal="center" vertical="top"/>
      <protection/>
    </xf>
    <xf numFmtId="49" fontId="32" fillId="0" borderId="0" xfId="51" applyNumberFormat="1" applyFont="1" applyAlignment="1" applyProtection="1">
      <alignment horizontal="left"/>
      <protection/>
    </xf>
    <xf numFmtId="44" fontId="1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36" fillId="0" borderId="0" xfId="59" applyFont="1">
      <alignment/>
      <protection/>
    </xf>
    <xf numFmtId="2" fontId="9" fillId="0" borderId="0" xfId="59" applyNumberFormat="1">
      <alignment/>
      <protection/>
    </xf>
    <xf numFmtId="44" fontId="0" fillId="0" borderId="0" xfId="0" applyNumberFormat="1" applyAlignment="1">
      <alignment/>
    </xf>
    <xf numFmtId="1" fontId="15" fillId="0" borderId="0" xfId="30" applyNumberFormat="1">
      <alignment horizontal="left" vertical="top"/>
      <protection/>
    </xf>
    <xf numFmtId="2" fontId="26" fillId="0" borderId="0" xfId="0" applyNumberFormat="1" applyFont="1" applyAlignment="1">
      <alignment horizontal="center"/>
    </xf>
    <xf numFmtId="44" fontId="37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left" vertical="top"/>
    </xf>
    <xf numFmtId="44" fontId="38" fillId="0" borderId="0" xfId="0" applyNumberFormat="1" applyFont="1" applyAlignment="1">
      <alignment horizontal="left" vertical="top"/>
    </xf>
    <xf numFmtId="0" fontId="25" fillId="0" borderId="22" xfId="59" applyFont="1" applyBorder="1" applyAlignment="1">
      <alignment horizontal="center" vertical="center" wrapText="1"/>
      <protection/>
    </xf>
    <xf numFmtId="0" fontId="25" fillId="0" borderId="23" xfId="59" applyFont="1" applyBorder="1" applyAlignment="1">
      <alignment horizontal="center" vertical="center" wrapText="1"/>
      <protection/>
    </xf>
    <xf numFmtId="0" fontId="9" fillId="0" borderId="24" xfId="59" applyBorder="1" applyAlignment="1">
      <alignment horizontal="center" vertical="center" wrapText="1"/>
      <protection/>
    </xf>
    <xf numFmtId="0" fontId="9" fillId="0" borderId="0" xfId="59" applyBorder="1" applyAlignment="1">
      <alignment horizontal="center" vertical="center" wrapText="1"/>
      <protection/>
    </xf>
    <xf numFmtId="0" fontId="26" fillId="0" borderId="22" xfId="59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48_description" xfId="27"/>
    <cellStyle name="48_noms" xfId="28"/>
    <cellStyle name="48_pays" xfId="29"/>
    <cellStyle name="48_prix" xfId="30"/>
    <cellStyle name="48_qte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Euro" xfId="49"/>
    <cellStyle name="Insatisfaisant" xfId="50"/>
    <cellStyle name="Hyperlink" xfId="51"/>
    <cellStyle name="Lien hypertexte 2" xfId="52"/>
    <cellStyle name="Followed Hyperlink" xfId="53"/>
    <cellStyle name="Monétaire 2" xfId="54"/>
    <cellStyle name="Monétaire 2 2" xfId="55"/>
    <cellStyle name="Monétaire 3" xfId="56"/>
    <cellStyle name="Monétaire_Exercice de revision numéro 1" xfId="57"/>
    <cellStyle name="Neutre" xfId="58"/>
    <cellStyle name="Normal 2" xfId="59"/>
    <cellStyle name="Normal 2 2" xfId="60"/>
    <cellStyle name="Normal 2 2 2" xfId="61"/>
    <cellStyle name="Note" xfId="62"/>
    <cellStyle name="Pourcentage 2" xfId="63"/>
    <cellStyle name="Satisfaisant" xfId="64"/>
    <cellStyle name="Sortie" xfId="65"/>
    <cellStyle name="Texte explicatif" xfId="66"/>
    <cellStyle name="Titre" xfId="67"/>
    <cellStyle name="Titre " xfId="68"/>
    <cellStyle name="Titre 1" xfId="69"/>
    <cellStyle name="Titre 2" xfId="70"/>
    <cellStyle name="Titre 3" xfId="71"/>
    <cellStyle name="Titre 4" xfId="72"/>
    <cellStyle name="Total" xfId="73"/>
    <cellStyle name="Vérification" xfId="74"/>
    <cellStyle name="Vérification de cellule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00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72727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2409825</xdr:colOff>
      <xdr:row>0</xdr:row>
      <xdr:rowOff>1438275</xdr:rowOff>
    </xdr:from>
    <xdr:to>
      <xdr:col>3</xdr:col>
      <xdr:colOff>4000500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438275"/>
          <a:ext cx="1590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1</xdr:row>
      <xdr:rowOff>685800</xdr:rowOff>
    </xdr:from>
    <xdr:to>
      <xdr:col>3</xdr:col>
      <xdr:colOff>1400175</xdr:colOff>
      <xdr:row>2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233362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1247775</xdr:colOff>
      <xdr:row>35</xdr:row>
      <xdr:rowOff>152400</xdr:rowOff>
    </xdr:from>
    <xdr:to>
      <xdr:col>3</xdr:col>
      <xdr:colOff>4000500</xdr:colOff>
      <xdr:row>40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8058150"/>
          <a:ext cx="2752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2428875</xdr:colOff>
      <xdr:row>0</xdr:row>
      <xdr:rowOff>1438275</xdr:rowOff>
    </xdr:from>
    <xdr:to>
      <xdr:col>3</xdr:col>
      <xdr:colOff>4019550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438275"/>
          <a:ext cx="1590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</xdr:row>
      <xdr:rowOff>685800</xdr:rowOff>
    </xdr:from>
    <xdr:to>
      <xdr:col>3</xdr:col>
      <xdr:colOff>1371600</xdr:colOff>
      <xdr:row>2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33362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1028700</xdr:colOff>
      <xdr:row>39</xdr:row>
      <xdr:rowOff>9525</xdr:rowOff>
    </xdr:from>
    <xdr:to>
      <xdr:col>3</xdr:col>
      <xdr:colOff>3962400</xdr:colOff>
      <xdr:row>40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8562975"/>
          <a:ext cx="2933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2438400</xdr:colOff>
      <xdr:row>0</xdr:row>
      <xdr:rowOff>1438275</xdr:rowOff>
    </xdr:from>
    <xdr:to>
      <xdr:col>3</xdr:col>
      <xdr:colOff>4029075</xdr:colOff>
      <xdr:row>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438275"/>
          <a:ext cx="1590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</xdr:row>
      <xdr:rowOff>685800</xdr:rowOff>
    </xdr:from>
    <xdr:to>
      <xdr:col>3</xdr:col>
      <xdr:colOff>1371600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2333625"/>
          <a:ext cx="1400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18</xdr:row>
      <xdr:rowOff>104775</xdr:rowOff>
    </xdr:from>
    <xdr:to>
      <xdr:col>3</xdr:col>
      <xdr:colOff>1371600</xdr:colOff>
      <xdr:row>20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5257800"/>
          <a:ext cx="1400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34</xdr:row>
      <xdr:rowOff>85725</xdr:rowOff>
    </xdr:from>
    <xdr:to>
      <xdr:col>3</xdr:col>
      <xdr:colOff>4010025</xdr:colOff>
      <xdr:row>40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57475" y="7829550"/>
          <a:ext cx="2752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685800</xdr:rowOff>
    </xdr:from>
    <xdr:to>
      <xdr:col>3</xdr:col>
      <xdr:colOff>2409825</xdr:colOff>
      <xdr:row>2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2333625"/>
          <a:ext cx="2409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542925</xdr:colOff>
      <xdr:row>5</xdr:row>
      <xdr:rowOff>104775</xdr:rowOff>
    </xdr:from>
    <xdr:to>
      <xdr:col>3</xdr:col>
      <xdr:colOff>2409825</xdr:colOff>
      <xdr:row>7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3152775"/>
          <a:ext cx="2409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34</xdr:row>
      <xdr:rowOff>85725</xdr:rowOff>
    </xdr:from>
    <xdr:to>
      <xdr:col>3</xdr:col>
      <xdr:colOff>3990975</xdr:colOff>
      <xdr:row>40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7829550"/>
          <a:ext cx="27717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2200275</xdr:colOff>
      <xdr:row>0</xdr:row>
      <xdr:rowOff>1438275</xdr:rowOff>
    </xdr:from>
    <xdr:to>
      <xdr:col>3</xdr:col>
      <xdr:colOff>4000500</xdr:colOff>
      <xdr:row>1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1438275"/>
          <a:ext cx="1800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ristian\Library\Mobile%20Documents\com~apple~CloudDocs\Cours%20M&#233;rici\Hiver%202017\Budget%20et%20indicateurs%20de%20performance%20(430-763-Me)\LE%20755\Budget_Le_7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Calendrier 2017"/>
      <sheetName val="Heures d'opé 2017"/>
      <sheetName val="Achalandage 2017"/>
      <sheetName val="UmA (food) 2017"/>
      <sheetName val="PmO (food) 2017"/>
      <sheetName val="DmA (food) 2017 "/>
      <sheetName val="Demande jour (food)"/>
      <sheetName val="Demande totale (food)  2017"/>
      <sheetName val="UmA (beverage) 2017 (2)"/>
      <sheetName val="PmO (beverage) 2017 (2)"/>
      <sheetName val="DmA (beverage) 2017  (2)"/>
      <sheetName val="Demande jour (beverage) (2)"/>
      <sheetName val="Demande totale (beverage)  2017"/>
      <sheetName val="Le 755 MASTER"/>
      <sheetName val="Calcul CmO et PmO"/>
      <sheetName val="Liste des MP(AS)"/>
      <sheetName val="Ragout de boeuf"/>
      <sheetName val="Entrées_monde"/>
      <sheetName val="Salades et potages"/>
      <sheetName val="Burger et sandwich)"/>
      <sheetName val="Pizza"/>
      <sheetName val="Les saveurs du monde (1)"/>
      <sheetName val="Les saveurs du monde (2)"/>
      <sheetName val="Gâteries"/>
      <sheetName val="Coût marchandises vendues"/>
      <sheetName val="Salaire (F+G) 2"/>
      <sheetName val="F+G Salaires"/>
      <sheetName val="Frais Occupation "/>
      <sheetName val="Amortissement"/>
      <sheetName val="Coûts directs d'exploitation"/>
      <sheetName val="Musique et divertissement"/>
      <sheetName val="Marketing "/>
      <sheetName val="Service publics "/>
      <sheetName val="Frais d'administration "/>
      <sheetName val="Entretien et réparations"/>
      <sheetName val="Frais Financiers"/>
      <sheetName val="Autres revenus"/>
      <sheetName val="Ind. de performance"/>
      <sheetName val="Bilan de départ"/>
      <sheetName val="Cycle comptable"/>
      <sheetName val="Bilan de fermeture (2)"/>
      <sheetName val="Essai - Budget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rimag.com/Le-calcul-du-prix-moyen-offert-PmO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="180" zoomScaleNormal="18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2" sqref="C12"/>
    </sheetView>
  </sheetViews>
  <sheetFormatPr defaultColWidth="10.625" defaultRowHeight="12.75"/>
  <cols>
    <col min="1" max="1" width="10.625" style="27" customWidth="1"/>
    <col min="2" max="2" width="3.625" style="27" customWidth="1"/>
    <col min="3" max="3" width="52.625" style="27" customWidth="1"/>
    <col min="4" max="4" width="1.12109375" style="27" customWidth="1"/>
    <col min="5" max="5" width="22.125" style="27" customWidth="1"/>
    <col min="6" max="6" width="16.125" style="27" customWidth="1"/>
    <col min="7" max="8" width="12.125" style="27" customWidth="1"/>
    <col min="9" max="9" width="16.125" style="27" customWidth="1"/>
    <col min="10" max="10" width="4.375" style="27" customWidth="1"/>
    <col min="11" max="11" width="3.875" style="27" customWidth="1"/>
    <col min="12" max="12" width="41.625" style="27" customWidth="1"/>
    <col min="13" max="13" width="10.625" style="27" customWidth="1"/>
    <col min="14" max="14" width="5.00390625" style="27" customWidth="1"/>
    <col min="15" max="15" width="2.50390625" style="27" customWidth="1"/>
    <col min="16" max="16" width="1.4921875" style="27" customWidth="1"/>
    <col min="17" max="17" width="7.00390625" style="27" customWidth="1"/>
    <col min="18" max="18" width="3.875" style="27" customWidth="1"/>
    <col min="19" max="19" width="1.625" style="27" customWidth="1"/>
    <col min="20" max="20" width="4.625" style="27" customWidth="1"/>
    <col min="21" max="16384" width="10.625" style="27" customWidth="1"/>
  </cols>
  <sheetData>
    <row r="1" ht="12.75">
      <c r="M1" s="67"/>
    </row>
    <row r="2" spans="3:13" ht="21.75">
      <c r="C2" s="28" t="s">
        <v>105</v>
      </c>
      <c r="D2" s="28"/>
      <c r="E2" s="28"/>
      <c r="M2" s="67"/>
    </row>
    <row r="3" spans="3:13" ht="22.5" thickBot="1">
      <c r="C3" s="28"/>
      <c r="D3" s="28"/>
      <c r="E3" s="28"/>
      <c r="M3" s="67"/>
    </row>
    <row r="4" spans="3:13" ht="22.5" thickTop="1">
      <c r="C4" s="28"/>
      <c r="D4" s="28"/>
      <c r="E4" s="119"/>
      <c r="F4" s="123" t="s">
        <v>85</v>
      </c>
      <c r="G4" s="123" t="s">
        <v>86</v>
      </c>
      <c r="H4" s="123" t="s">
        <v>87</v>
      </c>
      <c r="I4" s="123" t="s">
        <v>88</v>
      </c>
      <c r="J4" s="74"/>
      <c r="M4" s="67"/>
    </row>
    <row r="5" spans="3:13" ht="22.5">
      <c r="C5" s="28"/>
      <c r="D5" s="28"/>
      <c r="E5" s="120" t="s">
        <v>104</v>
      </c>
      <c r="F5" s="124"/>
      <c r="G5" s="126"/>
      <c r="H5" s="126"/>
      <c r="I5" s="126"/>
      <c r="J5" s="75"/>
      <c r="M5" s="67"/>
    </row>
    <row r="6" spans="5:13" ht="9" customHeight="1" thickBot="1">
      <c r="E6" s="121"/>
      <c r="F6" s="125"/>
      <c r="G6" s="127"/>
      <c r="H6" s="127"/>
      <c r="I6" s="127"/>
      <c r="J6" s="75"/>
      <c r="M6" s="67"/>
    </row>
    <row r="7" spans="5:13" ht="9" customHeight="1" thickTop="1">
      <c r="E7" s="122"/>
      <c r="F7" s="109"/>
      <c r="G7" s="75"/>
      <c r="H7" s="75"/>
      <c r="I7" s="75"/>
      <c r="J7" s="75"/>
      <c r="M7" s="67"/>
    </row>
    <row r="8" spans="3:13" ht="24.75" customHeight="1">
      <c r="C8" s="110" t="s">
        <v>106</v>
      </c>
      <c r="D8" s="110"/>
      <c r="E8" s="110"/>
      <c r="F8" s="109"/>
      <c r="G8" s="75"/>
      <c r="H8" s="75"/>
      <c r="I8" s="75"/>
      <c r="J8" s="75"/>
      <c r="M8" s="67"/>
    </row>
    <row r="9" spans="3:13" ht="10.5" customHeight="1">
      <c r="C9" s="110"/>
      <c r="D9" s="110"/>
      <c r="E9" s="110"/>
      <c r="F9" s="109"/>
      <c r="G9" s="75"/>
      <c r="H9" s="75"/>
      <c r="I9" s="75"/>
      <c r="J9" s="75"/>
      <c r="M9" s="67"/>
    </row>
    <row r="10" spans="3:13" ht="18">
      <c r="C10" s="30" t="str">
        <f>+'Vins Blancs'!$D$4</f>
        <v>FRANCE</v>
      </c>
      <c r="D10" s="30"/>
      <c r="E10" s="30"/>
      <c r="F10" s="29" t="s">
        <v>20</v>
      </c>
      <c r="G10" s="29" t="s">
        <v>20</v>
      </c>
      <c r="H10" s="29" t="s">
        <v>20</v>
      </c>
      <c r="I10" s="29" t="s">
        <v>20</v>
      </c>
      <c r="J10" s="29"/>
      <c r="M10" s="67"/>
    </row>
    <row r="11" spans="1:13" ht="12.75">
      <c r="A11" s="27">
        <v>1</v>
      </c>
      <c r="B11" s="27">
        <v>1</v>
      </c>
      <c r="C11" s="27" t="str">
        <f>+'Vins Blancs'!$D$5</f>
        <v>Chardonnay, Collection Privée, France</v>
      </c>
      <c r="F11" s="31">
        <f aca="true" t="shared" si="0" ref="F11:F16">0.4*G11</f>
        <v>12.8</v>
      </c>
      <c r="G11" s="31">
        <f>+'Vins Blancs'!$C$5</f>
        <v>32</v>
      </c>
      <c r="H11" s="33">
        <f aca="true" t="shared" si="1" ref="H11:H16">+F11/G11</f>
        <v>0.4</v>
      </c>
      <c r="I11" s="31">
        <f aca="true" t="shared" si="2" ref="I11:I16">+G11-F11</f>
        <v>19.2</v>
      </c>
      <c r="J11" s="31"/>
      <c r="L11" s="35" t="s">
        <v>72</v>
      </c>
      <c r="M11" s="70">
        <f>F18</f>
        <v>17.533333333333335</v>
      </c>
    </row>
    <row r="12" spans="1:13" ht="12.75">
      <c r="A12" s="27">
        <v>2</v>
      </c>
      <c r="B12" s="27">
        <v>2</v>
      </c>
      <c r="C12" s="27" t="str">
        <f>+'Vins Blancs'!$D$6</f>
        <v>Bourgogne Aligoté Prince Philippe Thorin 2006</v>
      </c>
      <c r="F12" s="31">
        <f t="shared" si="0"/>
        <v>16</v>
      </c>
      <c r="G12" s="31">
        <f>+'Vins Blancs'!$C$6</f>
        <v>40</v>
      </c>
      <c r="H12" s="33">
        <f t="shared" si="1"/>
        <v>0.4</v>
      </c>
      <c r="I12" s="31">
        <f t="shared" si="2"/>
        <v>24</v>
      </c>
      <c r="J12" s="31"/>
      <c r="L12" s="35" t="s">
        <v>73</v>
      </c>
      <c r="M12" s="70">
        <f>G18</f>
        <v>43.833333333333336</v>
      </c>
    </row>
    <row r="13" spans="1:13" ht="12.75">
      <c r="A13" s="27">
        <v>3</v>
      </c>
      <c r="B13" s="27">
        <v>3</v>
      </c>
      <c r="C13" s="27" t="str">
        <f>+'Vins Blancs'!$D$7</f>
        <v>Pinot gris Pfaffenheim Alsace 2006</v>
      </c>
      <c r="F13" s="31">
        <f t="shared" si="0"/>
        <v>15.600000000000001</v>
      </c>
      <c r="G13" s="31">
        <f>+'Vins Blancs'!$C$7</f>
        <v>39</v>
      </c>
      <c r="H13" s="33">
        <f t="shared" si="1"/>
        <v>0.4</v>
      </c>
      <c r="I13" s="31">
        <f t="shared" si="2"/>
        <v>23.4</v>
      </c>
      <c r="J13" s="31"/>
      <c r="L13" s="35" t="s">
        <v>99</v>
      </c>
      <c r="M13" s="71">
        <f>H18</f>
        <v>0.4</v>
      </c>
    </row>
    <row r="14" spans="1:13" ht="12.75">
      <c r="A14" s="27">
        <v>4</v>
      </c>
      <c r="B14" s="27">
        <v>4</v>
      </c>
      <c r="C14" s="27" t="str">
        <f>+'Vins Blancs'!$D$8</f>
        <v>Riesling Hugel Alsace 2006</v>
      </c>
      <c r="F14" s="31">
        <f t="shared" si="0"/>
        <v>17.6</v>
      </c>
      <c r="G14" s="31">
        <f>+'Vins Blancs'!$C$8</f>
        <v>44</v>
      </c>
      <c r="H14" s="33">
        <f t="shared" si="1"/>
        <v>0.4</v>
      </c>
      <c r="I14" s="31">
        <f t="shared" si="2"/>
        <v>26.4</v>
      </c>
      <c r="J14" s="31"/>
      <c r="L14" s="35" t="s">
        <v>74</v>
      </c>
      <c r="M14" s="70">
        <f>I18</f>
        <v>26.3</v>
      </c>
    </row>
    <row r="15" spans="1:13" ht="12.75">
      <c r="A15" s="27">
        <v>5</v>
      </c>
      <c r="B15" s="27">
        <v>5</v>
      </c>
      <c r="C15" s="27" t="str">
        <f>+'Vins Blancs'!$D$9</f>
        <v>Gewurztraminer Hugel Alsace 2006</v>
      </c>
      <c r="F15" s="31">
        <f t="shared" si="0"/>
        <v>20</v>
      </c>
      <c r="G15" s="31">
        <f>+'Vins Blancs'!$C$9</f>
        <v>50</v>
      </c>
      <c r="H15" s="33">
        <f t="shared" si="1"/>
        <v>0.4</v>
      </c>
      <c r="I15" s="31">
        <f t="shared" si="2"/>
        <v>30</v>
      </c>
      <c r="J15" s="31"/>
      <c r="M15" s="67"/>
    </row>
    <row r="16" spans="1:13" ht="12.75">
      <c r="A16" s="27">
        <v>6</v>
      </c>
      <c r="B16" s="27">
        <v>6</v>
      </c>
      <c r="C16" s="27" t="str">
        <f>+'Vins Blancs'!$D$10</f>
        <v>Chablis Joseph Drouhin 2006</v>
      </c>
      <c r="F16" s="31">
        <f t="shared" si="0"/>
        <v>23.200000000000003</v>
      </c>
      <c r="G16" s="31">
        <f>+'Vins Blancs'!$C$10</f>
        <v>58</v>
      </c>
      <c r="H16" s="33">
        <f t="shared" si="1"/>
        <v>0.4</v>
      </c>
      <c r="I16" s="31">
        <f t="shared" si="2"/>
        <v>34.8</v>
      </c>
      <c r="J16" s="31"/>
      <c r="M16" s="67"/>
    </row>
    <row r="17" spans="6:13" ht="12.75">
      <c r="F17" s="31"/>
      <c r="G17" s="31"/>
      <c r="H17" s="33"/>
      <c r="I17" s="31"/>
      <c r="J17" s="31"/>
      <c r="M17" s="67"/>
    </row>
    <row r="18" spans="3:13" ht="15.75">
      <c r="C18" s="35" t="s">
        <v>98</v>
      </c>
      <c r="D18" s="35"/>
      <c r="E18" s="35"/>
      <c r="F18" s="36">
        <f>+(SUM(F11:F16))/B16</f>
        <v>17.533333333333335</v>
      </c>
      <c r="G18" s="36">
        <f>+(SUM(G11:G16))/B16</f>
        <v>43.833333333333336</v>
      </c>
      <c r="H18" s="37">
        <f>F18/G18</f>
        <v>0.4</v>
      </c>
      <c r="I18" s="38">
        <f>G18-F18</f>
        <v>26.3</v>
      </c>
      <c r="J18" s="38"/>
      <c r="M18" s="67"/>
    </row>
    <row r="19" spans="7:13" ht="12.75">
      <c r="G19" s="31"/>
      <c r="M19" s="67"/>
    </row>
    <row r="20" spans="3:13" ht="18">
      <c r="C20" s="30" t="str">
        <f>+'Vins Blancs'!$D$12</f>
        <v>ITALIE</v>
      </c>
      <c r="D20" s="30"/>
      <c r="E20" s="30"/>
      <c r="F20" s="31"/>
      <c r="G20" s="32"/>
      <c r="H20" s="33"/>
      <c r="M20" s="67"/>
    </row>
    <row r="21" spans="1:18" ht="15.75">
      <c r="A21" s="27">
        <v>7</v>
      </c>
      <c r="B21" s="27">
        <v>1</v>
      </c>
      <c r="C21" s="34" t="str">
        <f>+'Vins Blancs'!$D$13</f>
        <v>Soana Monrubio Orvieto 2007</v>
      </c>
      <c r="D21" s="34"/>
      <c r="E21" s="34"/>
      <c r="F21" s="31">
        <f>0.4*G21</f>
        <v>11.600000000000001</v>
      </c>
      <c r="G21" s="32">
        <f>+'Vins Blancs'!$C$13</f>
        <v>29</v>
      </c>
      <c r="H21" s="33">
        <f aca="true" t="shared" si="3" ref="H21:H27">F21/G21</f>
        <v>0.4</v>
      </c>
      <c r="I21" s="31">
        <f aca="true" t="shared" si="4" ref="I21:I27">G21-F21</f>
        <v>17.4</v>
      </c>
      <c r="J21" s="31"/>
      <c r="L21" s="35" t="s">
        <v>72</v>
      </c>
      <c r="M21" s="70">
        <f>F27</f>
        <v>12.8</v>
      </c>
      <c r="R21" s="68"/>
    </row>
    <row r="22" spans="1:13" ht="12.75">
      <c r="A22" s="27">
        <v>8</v>
      </c>
      <c r="B22" s="27">
        <v>2</v>
      </c>
      <c r="C22" s="34" t="str">
        <f>+'Vins Blancs'!$D$14</f>
        <v>Fontana Morella Cerveteri 2006</v>
      </c>
      <c r="D22" s="34"/>
      <c r="E22" s="34"/>
      <c r="F22" s="31">
        <f>0.4*G22</f>
        <v>10</v>
      </c>
      <c r="G22" s="32">
        <f>+'Vins Blancs'!$C$14</f>
        <v>25</v>
      </c>
      <c r="H22" s="33">
        <f t="shared" si="3"/>
        <v>0.4</v>
      </c>
      <c r="I22" s="31">
        <f t="shared" si="4"/>
        <v>15</v>
      </c>
      <c r="J22" s="31"/>
      <c r="L22" s="35" t="s">
        <v>73</v>
      </c>
      <c r="M22" s="70">
        <f>G27</f>
        <v>32</v>
      </c>
    </row>
    <row r="23" spans="1:13" ht="12.75">
      <c r="A23" s="27">
        <v>9</v>
      </c>
      <c r="B23" s="27">
        <v>3</v>
      </c>
      <c r="C23" s="34" t="str">
        <f>+'Vins Blancs'!$D$15</f>
        <v>Folonari Soave 2006</v>
      </c>
      <c r="D23" s="34"/>
      <c r="E23" s="34"/>
      <c r="F23" s="31">
        <f>0.4*G23</f>
        <v>12.8</v>
      </c>
      <c r="G23" s="32">
        <f>+'Vins Blancs'!$C$15</f>
        <v>32</v>
      </c>
      <c r="H23" s="33">
        <f t="shared" si="3"/>
        <v>0.4</v>
      </c>
      <c r="I23" s="31">
        <f t="shared" si="4"/>
        <v>19.2</v>
      </c>
      <c r="J23" s="31"/>
      <c r="L23" s="35" t="s">
        <v>99</v>
      </c>
      <c r="M23" s="71">
        <f>H27</f>
        <v>0.4</v>
      </c>
    </row>
    <row r="24" spans="1:13" ht="12.75">
      <c r="A24" s="27">
        <v>10</v>
      </c>
      <c r="B24" s="27">
        <v>4</v>
      </c>
      <c r="C24" s="34" t="str">
        <f>+'Vins Blancs'!$D$16</f>
        <v>Pinot gris Santepietre Lamberti Delle Venezie i.g.t. 2006</v>
      </c>
      <c r="D24" s="34"/>
      <c r="E24" s="34"/>
      <c r="F24" s="31">
        <f>0.4*G24</f>
        <v>14</v>
      </c>
      <c r="G24" s="32">
        <f>+'Vins Blancs'!$C$16</f>
        <v>35</v>
      </c>
      <c r="H24" s="33">
        <f t="shared" si="3"/>
        <v>0.4</v>
      </c>
      <c r="I24" s="31">
        <f t="shared" si="4"/>
        <v>21</v>
      </c>
      <c r="J24" s="31"/>
      <c r="L24" s="35" t="s">
        <v>74</v>
      </c>
      <c r="M24" s="70">
        <f>I27</f>
        <v>19.2</v>
      </c>
    </row>
    <row r="25" spans="1:13" ht="12.75">
      <c r="A25" s="27">
        <v>11</v>
      </c>
      <c r="B25" s="27">
        <v>5</v>
      </c>
      <c r="C25" s="34" t="str">
        <f>+'Vins Blancs'!$D$17</f>
        <v>Chardonnay/Sauvignon Fumaio Banfi Toscana i.g.t. 2007</v>
      </c>
      <c r="D25" s="34"/>
      <c r="E25" s="34"/>
      <c r="F25" s="31">
        <f>0.4*G25</f>
        <v>15.600000000000001</v>
      </c>
      <c r="G25" s="32">
        <f>+'Vins Blancs'!$C$17</f>
        <v>39</v>
      </c>
      <c r="H25" s="33">
        <f t="shared" si="3"/>
        <v>0.4</v>
      </c>
      <c r="I25" s="31">
        <f t="shared" si="4"/>
        <v>23.4</v>
      </c>
      <c r="J25" s="31"/>
      <c r="M25" s="67"/>
    </row>
    <row r="26" spans="3:13" ht="12.75">
      <c r="C26" s="34"/>
      <c r="D26" s="34"/>
      <c r="E26" s="34"/>
      <c r="F26" s="31"/>
      <c r="G26" s="32"/>
      <c r="H26" s="33"/>
      <c r="I26" s="31"/>
      <c r="J26" s="31"/>
      <c r="M26" s="67"/>
    </row>
    <row r="27" spans="3:13" ht="15.75">
      <c r="C27" s="35" t="s">
        <v>98</v>
      </c>
      <c r="D27" s="35"/>
      <c r="E27" s="35"/>
      <c r="F27" s="36">
        <f>+(SUM(F21:F25))/B25</f>
        <v>12.8</v>
      </c>
      <c r="G27" s="36">
        <f>+(SUM(G21:G25))/B25</f>
        <v>32</v>
      </c>
      <c r="H27" s="37">
        <f t="shared" si="3"/>
        <v>0.4</v>
      </c>
      <c r="I27" s="38">
        <f t="shared" si="4"/>
        <v>19.2</v>
      </c>
      <c r="J27" s="38"/>
      <c r="M27" s="67"/>
    </row>
    <row r="28" spans="6:13" ht="12.75">
      <c r="F28" s="31"/>
      <c r="G28" s="32"/>
      <c r="H28" s="33"/>
      <c r="M28" s="67"/>
    </row>
    <row r="29" spans="3:13" ht="18">
      <c r="C29" s="30" t="str">
        <f>+'Vins Blancs'!$D$19</f>
        <v>NOUVELLE-ZÉLANDE</v>
      </c>
      <c r="D29" s="30"/>
      <c r="E29" s="30"/>
      <c r="F29" s="31"/>
      <c r="G29" s="32"/>
      <c r="H29" s="33"/>
      <c r="M29" s="67"/>
    </row>
    <row r="30" spans="1:13" ht="12.75">
      <c r="A30" s="27">
        <v>12</v>
      </c>
      <c r="B30" s="27">
        <v>1</v>
      </c>
      <c r="C30" s="39" t="str">
        <f>+'Vins Blancs'!$D$20</f>
        <v>Sauvignon blanc Babich Marlborough 2007</v>
      </c>
      <c r="D30" s="39"/>
      <c r="E30" s="39"/>
      <c r="F30" s="31">
        <f>0.4*G30</f>
        <v>19.6</v>
      </c>
      <c r="G30" s="32">
        <f>+'Vins Blancs'!$C$20</f>
        <v>49</v>
      </c>
      <c r="H30" s="33">
        <f>F30/G30</f>
        <v>0.4</v>
      </c>
      <c r="I30" s="31">
        <f>G30-F30</f>
        <v>29.4</v>
      </c>
      <c r="J30" s="31"/>
      <c r="L30" s="35" t="s">
        <v>72</v>
      </c>
      <c r="M30" s="70">
        <f>+F32</f>
        <v>19.6</v>
      </c>
    </row>
    <row r="31" spans="3:13" ht="12.75">
      <c r="C31" s="39"/>
      <c r="D31" s="39"/>
      <c r="E31" s="39"/>
      <c r="F31" s="31"/>
      <c r="G31" s="32"/>
      <c r="H31" s="33"/>
      <c r="I31" s="31"/>
      <c r="J31" s="31"/>
      <c r="L31" s="35" t="s">
        <v>73</v>
      </c>
      <c r="M31" s="70">
        <f>+G32</f>
        <v>49</v>
      </c>
    </row>
    <row r="32" spans="3:13" ht="15.75">
      <c r="C32" s="35" t="s">
        <v>98</v>
      </c>
      <c r="D32" s="35"/>
      <c r="E32" s="35"/>
      <c r="F32" s="36">
        <f>+F30/B30</f>
        <v>19.6</v>
      </c>
      <c r="G32" s="36">
        <f>+G30/B30</f>
        <v>49</v>
      </c>
      <c r="H32" s="37">
        <f>F32/G32</f>
        <v>0.4</v>
      </c>
      <c r="I32" s="38">
        <f>G32-F32</f>
        <v>29.4</v>
      </c>
      <c r="J32" s="38"/>
      <c r="L32" s="35" t="s">
        <v>99</v>
      </c>
      <c r="M32" s="71">
        <f>+H32</f>
        <v>0.4</v>
      </c>
    </row>
    <row r="33" spans="3:13" ht="15.75">
      <c r="C33" s="35"/>
      <c r="D33" s="35"/>
      <c r="E33" s="35"/>
      <c r="F33" s="36"/>
      <c r="G33" s="36"/>
      <c r="H33" s="37"/>
      <c r="I33" s="38"/>
      <c r="J33" s="38"/>
      <c r="L33" s="35" t="s">
        <v>74</v>
      </c>
      <c r="M33" s="70">
        <f>+I32</f>
        <v>29.4</v>
      </c>
    </row>
    <row r="34" spans="3:10" ht="25.5">
      <c r="C34" s="110" t="s">
        <v>107</v>
      </c>
      <c r="D34" s="110"/>
      <c r="E34" s="110"/>
      <c r="F34" s="36"/>
      <c r="G34" s="36"/>
      <c r="H34" s="37"/>
      <c r="I34" s="38"/>
      <c r="J34" s="38"/>
    </row>
    <row r="35" spans="2:13" ht="9" customHeight="1">
      <c r="B35" s="27" t="s">
        <v>20</v>
      </c>
      <c r="F35" s="31"/>
      <c r="G35" s="40"/>
      <c r="H35" s="33"/>
      <c r="M35" s="67"/>
    </row>
    <row r="36" spans="2:13" ht="18">
      <c r="B36" s="27" t="s">
        <v>20</v>
      </c>
      <c r="C36" s="30" t="str">
        <f>+'Vins Rouges'!D4</f>
        <v>ARGENTINE</v>
      </c>
      <c r="D36" s="30"/>
      <c r="E36" s="30"/>
      <c r="F36" s="31"/>
      <c r="G36" s="40"/>
      <c r="H36" s="33"/>
      <c r="M36" s="67"/>
    </row>
    <row r="37" spans="1:13" ht="12.75">
      <c r="A37" s="27">
        <v>13</v>
      </c>
      <c r="B37" s="27">
        <v>1</v>
      </c>
      <c r="C37" s="27" t="str">
        <f>+'Vins Rouges'!D5</f>
        <v>Malbec Trapiche Mendoza 2007</v>
      </c>
      <c r="F37" s="31">
        <f>0.4*G37</f>
        <v>12</v>
      </c>
      <c r="G37" s="32">
        <f>+'Vins Rouges'!C5</f>
        <v>30</v>
      </c>
      <c r="H37" s="33">
        <f>F37/G37</f>
        <v>0.4</v>
      </c>
      <c r="I37" s="31">
        <f>G37-F37</f>
        <v>18</v>
      </c>
      <c r="J37" s="31"/>
      <c r="L37" s="35" t="s">
        <v>72</v>
      </c>
      <c r="M37" s="70">
        <f>F40</f>
        <v>13.4</v>
      </c>
    </row>
    <row r="38" spans="1:13" ht="12.75">
      <c r="A38" s="27">
        <v>14</v>
      </c>
      <c r="B38" s="27">
        <v>2</v>
      </c>
      <c r="C38" s="27" t="str">
        <f>+'Vins Rouges'!D6</f>
        <v>Cab-Sauv/Malbec Equilibrium Finca el Portillo Mendoza 2006</v>
      </c>
      <c r="F38" s="31">
        <f>0.4*G38</f>
        <v>14.8</v>
      </c>
      <c r="G38" s="32">
        <f>+'Vins Rouges'!C6</f>
        <v>37</v>
      </c>
      <c r="H38" s="33">
        <f>F38/G38</f>
        <v>0.4</v>
      </c>
      <c r="I38" s="31">
        <f>G38-F38</f>
        <v>22.2</v>
      </c>
      <c r="J38" s="31"/>
      <c r="L38" s="35" t="s">
        <v>73</v>
      </c>
      <c r="M38" s="70">
        <f>G40</f>
        <v>33.5</v>
      </c>
    </row>
    <row r="39" spans="6:13" ht="12.75">
      <c r="F39" s="31"/>
      <c r="G39" s="32"/>
      <c r="H39" s="33"/>
      <c r="I39" s="31"/>
      <c r="J39" s="31"/>
      <c r="L39" s="35" t="s">
        <v>99</v>
      </c>
      <c r="M39" s="71">
        <f>+H40</f>
        <v>0.4</v>
      </c>
    </row>
    <row r="40" spans="3:13" ht="15.75">
      <c r="C40" s="35" t="s">
        <v>98</v>
      </c>
      <c r="D40" s="35"/>
      <c r="E40" s="35"/>
      <c r="F40" s="36">
        <f>+(F37+F38)/B38</f>
        <v>13.4</v>
      </c>
      <c r="G40" s="36">
        <f>+(G37+G38)/B38</f>
        <v>33.5</v>
      </c>
      <c r="H40" s="37">
        <f>F40/G40</f>
        <v>0.4</v>
      </c>
      <c r="I40" s="38">
        <f>G40-F40</f>
        <v>20.1</v>
      </c>
      <c r="J40" s="38"/>
      <c r="L40" s="35" t="s">
        <v>74</v>
      </c>
      <c r="M40" s="70">
        <f>+I40</f>
        <v>20.1</v>
      </c>
    </row>
    <row r="41" spans="6:8" ht="12.75">
      <c r="F41" s="31"/>
      <c r="G41" s="32"/>
      <c r="H41" s="33"/>
    </row>
    <row r="42" spans="3:13" ht="18">
      <c r="C42" s="30" t="str">
        <f>+'Vins Rouges'!D8</f>
        <v>AUSTRALIE</v>
      </c>
      <c r="D42" s="30"/>
      <c r="E42" s="30"/>
      <c r="F42" s="31"/>
      <c r="G42" s="32"/>
      <c r="H42" s="33"/>
      <c r="M42" s="67"/>
    </row>
    <row r="43" spans="1:13" ht="12.75">
      <c r="A43" s="27">
        <v>15</v>
      </c>
      <c r="B43" s="27">
        <v>1</v>
      </c>
      <c r="C43" s="27" t="str">
        <f>+'Vins Rouges'!D9</f>
        <v>Shiraz/Cabernet Jacob's Creek South Eastern Australia 2005</v>
      </c>
      <c r="F43" s="31">
        <f>0.4*G43</f>
        <v>14.4</v>
      </c>
      <c r="G43" s="32">
        <f>+'Vins Rouges'!C9</f>
        <v>36</v>
      </c>
      <c r="H43" s="33">
        <f aca="true" t="shared" si="5" ref="H43:H48">F43/G43</f>
        <v>0.4</v>
      </c>
      <c r="I43" s="31">
        <f aca="true" t="shared" si="6" ref="I43:I48">G43-F43</f>
        <v>21.6</v>
      </c>
      <c r="J43" s="31"/>
      <c r="L43" s="35" t="s">
        <v>72</v>
      </c>
      <c r="M43" s="70">
        <f>F48</f>
        <v>16.200000000000003</v>
      </c>
    </row>
    <row r="44" spans="1:13" ht="12.75">
      <c r="A44" s="27">
        <v>16</v>
      </c>
      <c r="B44" s="27">
        <v>2</v>
      </c>
      <c r="C44" s="27" t="str">
        <f>+'Vins Rouges'!D10</f>
        <v>Shiraz Deakin Estate Victoria 2005</v>
      </c>
      <c r="F44" s="31">
        <f>0.4*G44</f>
        <v>15.200000000000001</v>
      </c>
      <c r="G44" s="32">
        <f>+'Vins Rouges'!C10</f>
        <v>38</v>
      </c>
      <c r="H44" s="33">
        <f t="shared" si="5"/>
        <v>0.4</v>
      </c>
      <c r="I44" s="31">
        <f t="shared" si="6"/>
        <v>22.799999999999997</v>
      </c>
      <c r="J44" s="31"/>
      <c r="L44" s="35" t="s">
        <v>73</v>
      </c>
      <c r="M44" s="70">
        <f>G48</f>
        <v>40.5</v>
      </c>
    </row>
    <row r="45" spans="1:13" ht="12.75">
      <c r="A45" s="27">
        <v>17</v>
      </c>
      <c r="B45" s="27">
        <v>3</v>
      </c>
      <c r="C45" s="27" t="str">
        <f>+'Vins Rouges'!D11</f>
        <v>Shiraz Bin 555 Wyndham Estate South Eastern Australia 2005</v>
      </c>
      <c r="F45" s="31">
        <f>0.4*G45</f>
        <v>17.6</v>
      </c>
      <c r="G45" s="31">
        <f>+'Vins Rouges'!C11</f>
        <v>44</v>
      </c>
      <c r="H45" s="33">
        <f t="shared" si="5"/>
        <v>0.4</v>
      </c>
      <c r="I45" s="31">
        <f t="shared" si="6"/>
        <v>26.4</v>
      </c>
      <c r="J45" s="31"/>
      <c r="L45" s="35" t="s">
        <v>99</v>
      </c>
      <c r="M45" s="71">
        <f>H48</f>
        <v>0.4000000000000001</v>
      </c>
    </row>
    <row r="46" spans="1:13" ht="12.75">
      <c r="A46" s="27">
        <v>18</v>
      </c>
      <c r="B46" s="27">
        <v>4</v>
      </c>
      <c r="C46" s="27" t="str">
        <f>+'Vins Rouges'!D12</f>
        <v>Cabernet-Sauv./Merlot Koonunga Hill Penfolds South Australia 2006</v>
      </c>
      <c r="F46" s="31">
        <f>0.4*G46</f>
        <v>17.6</v>
      </c>
      <c r="G46" s="31">
        <f>+'Vins Rouges'!C12</f>
        <v>44</v>
      </c>
      <c r="H46" s="33">
        <f t="shared" si="5"/>
        <v>0.4</v>
      </c>
      <c r="I46" s="31">
        <f t="shared" si="6"/>
        <v>26.4</v>
      </c>
      <c r="J46" s="31"/>
      <c r="L46" s="35" t="s">
        <v>74</v>
      </c>
      <c r="M46" s="70">
        <f>I48</f>
        <v>24.299999999999997</v>
      </c>
    </row>
    <row r="47" spans="6:13" ht="12.75">
      <c r="F47" s="31"/>
      <c r="G47" s="31"/>
      <c r="H47" s="33"/>
      <c r="I47" s="31"/>
      <c r="J47" s="31"/>
      <c r="L47" s="35"/>
      <c r="M47" s="70"/>
    </row>
    <row r="48" spans="3:21" ht="15.75">
      <c r="C48" s="35" t="s">
        <v>98</v>
      </c>
      <c r="D48" s="35"/>
      <c r="E48" s="35"/>
      <c r="F48" s="38">
        <f>+(SUM(F43:F46)/B46)</f>
        <v>16.200000000000003</v>
      </c>
      <c r="G48" s="38">
        <f>+(SUM(G43:G46)/B46)</f>
        <v>40.5</v>
      </c>
      <c r="H48" s="37">
        <f t="shared" si="5"/>
        <v>0.4000000000000001</v>
      </c>
      <c r="I48" s="38">
        <f t="shared" si="6"/>
        <v>24.299999999999997</v>
      </c>
      <c r="J48" s="38"/>
      <c r="M48" s="67"/>
      <c r="Q48" s="27" t="s">
        <v>20</v>
      </c>
      <c r="R48" s="111" t="s">
        <v>20</v>
      </c>
      <c r="T48" s="27" t="s">
        <v>20</v>
      </c>
      <c r="U48" s="27" t="s">
        <v>20</v>
      </c>
    </row>
    <row r="49" spans="1:13" ht="12.75">
      <c r="A49" s="27" t="s">
        <v>20</v>
      </c>
      <c r="F49" s="31"/>
      <c r="G49" s="31"/>
      <c r="H49" s="33"/>
      <c r="M49" s="67"/>
    </row>
    <row r="50" spans="3:13" ht="18">
      <c r="C50" s="30" t="str">
        <f>+'Vins Rouges'!D14</f>
        <v>CHILI</v>
      </c>
      <c r="D50" s="30"/>
      <c r="E50" s="30"/>
      <c r="F50" s="31"/>
      <c r="G50" s="31"/>
      <c r="H50" s="33"/>
      <c r="M50" s="67"/>
    </row>
    <row r="51" spans="1:13" ht="12.75">
      <c r="A51" s="27">
        <v>19</v>
      </c>
      <c r="B51" s="27">
        <v>1</v>
      </c>
      <c r="C51" s="27" t="str">
        <f>+'Vins Rouges'!D15</f>
        <v>Cabernet-Sauvignon Caliterra Reserva valle de Colchagua 2006</v>
      </c>
      <c r="F51" s="31">
        <f>0.4*G51</f>
        <v>12.8</v>
      </c>
      <c r="G51" s="31">
        <f>+'Vins Rouges'!C15</f>
        <v>32</v>
      </c>
      <c r="H51" s="33">
        <f>F51/G51</f>
        <v>0.4</v>
      </c>
      <c r="I51" s="31">
        <f>G51-F51</f>
        <v>19.2</v>
      </c>
      <c r="J51" s="31"/>
      <c r="L51" s="35" t="s">
        <v>72</v>
      </c>
      <c r="M51" s="70">
        <f>F55</f>
        <v>15.066666666666668</v>
      </c>
    </row>
    <row r="52" spans="1:13" ht="12.75">
      <c r="A52" s="27">
        <v>20</v>
      </c>
      <c r="B52" s="27">
        <v>2</v>
      </c>
      <c r="C52" s="27" t="str">
        <f>+'Vins Rouges'!D16</f>
        <v>Shiraz Errazuriz Estate valle de Rapel 2007</v>
      </c>
      <c r="F52" s="31">
        <f>0.4*G52</f>
        <v>14.8</v>
      </c>
      <c r="G52" s="31">
        <f>+'Vins Rouges'!C16</f>
        <v>37</v>
      </c>
      <c r="H52" s="33">
        <f>F52/G52</f>
        <v>0.4</v>
      </c>
      <c r="I52" s="31">
        <f>G52-F52</f>
        <v>22.2</v>
      </c>
      <c r="J52" s="31"/>
      <c r="L52" s="35" t="s">
        <v>73</v>
      </c>
      <c r="M52" s="70">
        <f>G55</f>
        <v>37.666666666666664</v>
      </c>
    </row>
    <row r="53" spans="1:13" ht="12.75">
      <c r="A53" s="27">
        <v>21</v>
      </c>
      <c r="B53" s="27">
        <v>3</v>
      </c>
      <c r="C53" s="27" t="str">
        <f>+'Vins Rouges'!D17</f>
        <v>Merlot Cousino Macul Limited Release Maipo 2006</v>
      </c>
      <c r="F53" s="31">
        <f>0.4*G53</f>
        <v>17.6</v>
      </c>
      <c r="G53" s="31">
        <f>+'Vins Rouges'!C17</f>
        <v>44</v>
      </c>
      <c r="H53" s="33">
        <f>F53/G53</f>
        <v>0.4</v>
      </c>
      <c r="I53" s="31">
        <f>G53-F53</f>
        <v>26.4</v>
      </c>
      <c r="J53" s="31"/>
      <c r="L53" s="35" t="s">
        <v>99</v>
      </c>
      <c r="M53" s="71">
        <f>H55</f>
        <v>0.4000000000000001</v>
      </c>
    </row>
    <row r="54" spans="6:13" ht="12.75">
      <c r="F54" s="31"/>
      <c r="G54" s="31"/>
      <c r="H54" s="33"/>
      <c r="I54" s="31"/>
      <c r="J54" s="31"/>
      <c r="L54" s="35" t="s">
        <v>74</v>
      </c>
      <c r="M54" s="70">
        <f>+I55</f>
        <v>22.599999999999994</v>
      </c>
    </row>
    <row r="55" spans="3:10" ht="15.75">
      <c r="C55" s="35" t="s">
        <v>98</v>
      </c>
      <c r="D55" s="35"/>
      <c r="E55" s="35"/>
      <c r="F55" s="38">
        <f>+(SUM(F51:F53)/B53)</f>
        <v>15.066666666666668</v>
      </c>
      <c r="G55" s="38">
        <f>+(SUM(G51:G53)/B53)</f>
        <v>37.666666666666664</v>
      </c>
      <c r="H55" s="37">
        <f>F55/G55</f>
        <v>0.4000000000000001</v>
      </c>
      <c r="I55" s="38">
        <f>G55-F55</f>
        <v>22.599999999999994</v>
      </c>
      <c r="J55" s="38"/>
    </row>
    <row r="56" spans="1:13" ht="12.75">
      <c r="A56" s="27" t="s">
        <v>20</v>
      </c>
      <c r="F56" s="31"/>
      <c r="G56" s="31"/>
      <c r="H56" s="33"/>
      <c r="M56" s="67"/>
    </row>
    <row r="57" spans="3:13" ht="18">
      <c r="C57" s="30" t="str">
        <f>+'Vins Rouges'!D19</f>
        <v>ESPAGNE</v>
      </c>
      <c r="D57" s="30"/>
      <c r="E57" s="30"/>
      <c r="F57" s="31"/>
      <c r="G57" s="31"/>
      <c r="H57" s="33"/>
      <c r="M57" s="67"/>
    </row>
    <row r="58" spans="1:13" ht="12.75">
      <c r="A58" s="42">
        <v>22</v>
      </c>
      <c r="B58" s="42">
        <v>1</v>
      </c>
      <c r="C58" s="42" t="str">
        <f>+'Vins Rouges'!D20</f>
        <v>Hoya de Cadenas Reserva Utiel-Requena 2003</v>
      </c>
      <c r="D58" s="42"/>
      <c r="E58" s="42"/>
      <c r="F58" s="43">
        <f>0.4*G58</f>
        <v>14</v>
      </c>
      <c r="G58" s="43">
        <f>+'Vins Rouges'!C20</f>
        <v>35</v>
      </c>
      <c r="H58" s="44">
        <f>F58/G58</f>
        <v>0.4</v>
      </c>
      <c r="I58" s="43">
        <f>G58-F58</f>
        <v>21</v>
      </c>
      <c r="J58" s="43"/>
      <c r="L58" s="35" t="s">
        <v>72</v>
      </c>
      <c r="M58" s="70">
        <f>F62</f>
        <v>14.800000000000002</v>
      </c>
    </row>
    <row r="59" spans="1:13" ht="12.75">
      <c r="A59" s="27">
        <v>23</v>
      </c>
      <c r="B59" s="27">
        <v>2</v>
      </c>
      <c r="C59" s="27" t="str">
        <f>+'Vins Rouges'!D21</f>
        <v>Garnacha/Tempr. Torrelongares Reserva Carinena 2002</v>
      </c>
      <c r="F59" s="43">
        <f>0.4*G59</f>
        <v>15.200000000000001</v>
      </c>
      <c r="G59" s="31">
        <f>+'Vins Rouges'!C21</f>
        <v>38</v>
      </c>
      <c r="H59" s="33">
        <f>F59/G59</f>
        <v>0.4</v>
      </c>
      <c r="I59" s="31">
        <f>G59-F59</f>
        <v>22.799999999999997</v>
      </c>
      <c r="J59" s="31"/>
      <c r="L59" s="35" t="s">
        <v>73</v>
      </c>
      <c r="M59" s="70">
        <f>G62</f>
        <v>37</v>
      </c>
    </row>
    <row r="60" spans="1:13" ht="12.75">
      <c r="A60" s="27">
        <v>24</v>
      </c>
      <c r="B60" s="27">
        <v>3</v>
      </c>
      <c r="C60" s="27" t="str">
        <f>+'Vins Rouges'!D22</f>
        <v>Cabernet-Sauvignon Enate Tinto Somontano 2005</v>
      </c>
      <c r="F60" s="43">
        <f>0.4*G60</f>
        <v>15.200000000000001</v>
      </c>
      <c r="G60" s="31">
        <f>+'Vins Rouges'!C22</f>
        <v>38</v>
      </c>
      <c r="H60" s="33">
        <f>F60/G60</f>
        <v>0.4</v>
      </c>
      <c r="I60" s="31">
        <f>G60-F60</f>
        <v>22.799999999999997</v>
      </c>
      <c r="J60" s="31"/>
      <c r="L60" s="35" t="s">
        <v>99</v>
      </c>
      <c r="M60" s="71">
        <f>H62</f>
        <v>0.4000000000000001</v>
      </c>
    </row>
    <row r="61" spans="6:13" ht="12.75">
      <c r="F61" s="43"/>
      <c r="G61" s="31"/>
      <c r="H61" s="33"/>
      <c r="I61" s="31"/>
      <c r="J61" s="31"/>
      <c r="L61" s="35" t="s">
        <v>74</v>
      </c>
      <c r="M61" s="70">
        <f>+I62</f>
        <v>22.199999999999996</v>
      </c>
    </row>
    <row r="62" spans="3:10" ht="15.75">
      <c r="C62" s="35" t="s">
        <v>98</v>
      </c>
      <c r="D62" s="35"/>
      <c r="E62" s="35"/>
      <c r="F62" s="38">
        <f>+(SUM(F58:F60)/B60)</f>
        <v>14.800000000000002</v>
      </c>
      <c r="G62" s="38">
        <f>+(SUM(G58:G60)/B60)</f>
        <v>37</v>
      </c>
      <c r="H62" s="37">
        <f>F62/G62</f>
        <v>0.4000000000000001</v>
      </c>
      <c r="I62" s="38">
        <f>G62-F62</f>
        <v>22.199999999999996</v>
      </c>
      <c r="J62" s="38"/>
    </row>
    <row r="63" spans="6:13" ht="12.75">
      <c r="F63" s="31"/>
      <c r="G63" s="31"/>
      <c r="H63" s="33"/>
      <c r="M63" s="67"/>
    </row>
    <row r="64" spans="3:13" ht="18">
      <c r="C64" s="30" t="str">
        <f>+'Vins Rouges'!D24</f>
        <v>ÉTATS-UNIS</v>
      </c>
      <c r="D64" s="30"/>
      <c r="E64" s="30"/>
      <c r="F64" s="31"/>
      <c r="G64" s="31"/>
      <c r="H64" s="33"/>
      <c r="M64" s="67"/>
    </row>
    <row r="65" spans="1:13" ht="12.75">
      <c r="A65" s="27">
        <v>25</v>
      </c>
      <c r="B65" s="27">
        <v>1</v>
      </c>
      <c r="C65" s="27" t="str">
        <f>+'Vins Rouges'!D25</f>
        <v>Zinfandel Stone Cellars par Beringer Californie 2005</v>
      </c>
      <c r="F65" s="31">
        <f>0.4*G65</f>
        <v>14.8</v>
      </c>
      <c r="G65" s="31">
        <f>+'Vins Rouges'!C25</f>
        <v>37</v>
      </c>
      <c r="H65" s="33">
        <f>F65/G65</f>
        <v>0.4</v>
      </c>
      <c r="I65" s="31">
        <f>G65-F65</f>
        <v>22.2</v>
      </c>
      <c r="J65" s="31"/>
      <c r="L65" s="35" t="s">
        <v>72</v>
      </c>
      <c r="M65" s="70">
        <f>F71</f>
        <v>17.6</v>
      </c>
    </row>
    <row r="66" spans="1:13" ht="12.75">
      <c r="A66" s="27">
        <v>26</v>
      </c>
      <c r="B66" s="27">
        <v>2</v>
      </c>
      <c r="C66" s="27" t="str">
        <f>+'Vins Rouges'!D26</f>
        <v>Merlot Stone Cellars par Beringer Californie 2005</v>
      </c>
      <c r="F66" s="31">
        <f>0.4*G66</f>
        <v>16.400000000000002</v>
      </c>
      <c r="G66" s="31">
        <f>+'Vins Rouges'!C26</f>
        <v>41</v>
      </c>
      <c r="H66" s="33">
        <f>F66/G66</f>
        <v>0.4000000000000001</v>
      </c>
      <c r="I66" s="31">
        <f>G66-F66</f>
        <v>24.599999999999998</v>
      </c>
      <c r="J66" s="31"/>
      <c r="L66" s="35" t="s">
        <v>73</v>
      </c>
      <c r="M66" s="70">
        <f>G71</f>
        <v>44</v>
      </c>
    </row>
    <row r="67" spans="1:13" ht="12.75">
      <c r="A67" s="27">
        <v>27</v>
      </c>
      <c r="B67" s="27">
        <v>3</v>
      </c>
      <c r="C67" s="27" t="str">
        <f>+'Vins Rouges'!D27</f>
        <v>Cabernet-Sauvignon Fetzer Valley Oaks Californie 2005</v>
      </c>
      <c r="F67" s="31">
        <f>0.4*G67</f>
        <v>17.6</v>
      </c>
      <c r="G67" s="31">
        <f>+'Vins Rouges'!C27</f>
        <v>44</v>
      </c>
      <c r="H67" s="33">
        <f>F67/G67</f>
        <v>0.4</v>
      </c>
      <c r="I67" s="31">
        <f>G67-F67</f>
        <v>26.4</v>
      </c>
      <c r="J67" s="31"/>
      <c r="L67" s="35" t="s">
        <v>99</v>
      </c>
      <c r="M67" s="71">
        <f>H71</f>
        <v>0.4</v>
      </c>
    </row>
    <row r="68" spans="1:13" ht="12.75">
      <c r="A68" s="27">
        <v>28</v>
      </c>
      <c r="B68" s="27">
        <v>4</v>
      </c>
      <c r="C68" s="27" t="str">
        <f>+'Vins Rouges'!D28</f>
        <v>Syrah EXP Toasted Head Californie 2005</v>
      </c>
      <c r="F68" s="31">
        <f>0.4*G68</f>
        <v>19.6</v>
      </c>
      <c r="G68" s="31">
        <f>+'Vins Rouges'!C28</f>
        <v>49</v>
      </c>
      <c r="H68" s="33">
        <f>F68/G68</f>
        <v>0.4</v>
      </c>
      <c r="I68" s="31">
        <f>G68-F68</f>
        <v>29.4</v>
      </c>
      <c r="J68" s="31"/>
      <c r="L68" s="35" t="s">
        <v>74</v>
      </c>
      <c r="M68" s="70">
        <f>+I71</f>
        <v>26.4</v>
      </c>
    </row>
    <row r="69" spans="1:10" ht="12.75">
      <c r="A69" s="27">
        <v>29</v>
      </c>
      <c r="B69" s="27">
        <v>5</v>
      </c>
      <c r="C69" s="27" t="str">
        <f>+'Vins Rouges'!D29</f>
        <v>Pinot noir Mondavi Coastal Central Coast Californie 2006</v>
      </c>
      <c r="F69" s="31">
        <f>0.4*G69</f>
        <v>19.6</v>
      </c>
      <c r="G69" s="31">
        <f>+'Vins Rouges'!C29</f>
        <v>49</v>
      </c>
      <c r="H69" s="33">
        <f>F69/G69</f>
        <v>0.4</v>
      </c>
      <c r="I69" s="31">
        <f>G69-F69</f>
        <v>29.4</v>
      </c>
      <c r="J69" s="31"/>
    </row>
    <row r="70" spans="6:10" ht="12.75">
      <c r="F70" s="31"/>
      <c r="G70" s="31"/>
      <c r="H70" s="33"/>
      <c r="I70" s="31"/>
      <c r="J70" s="31"/>
    </row>
    <row r="71" spans="3:13" ht="15.75">
      <c r="C71" s="35" t="s">
        <v>98</v>
      </c>
      <c r="D71" s="35"/>
      <c r="E71" s="35"/>
      <c r="F71" s="38">
        <f>+(SUM(F65:F69)/B69)</f>
        <v>17.6</v>
      </c>
      <c r="G71" s="38">
        <f>+(SUM(G65:G69)/B69)</f>
        <v>44</v>
      </c>
      <c r="H71" s="37">
        <f>F71/G71</f>
        <v>0.4</v>
      </c>
      <c r="I71" s="38">
        <f>G71-F71</f>
        <v>26.4</v>
      </c>
      <c r="J71" s="38"/>
      <c r="M71" s="67"/>
    </row>
    <row r="72" spans="6:13" ht="12.75">
      <c r="F72" s="31"/>
      <c r="G72" s="31"/>
      <c r="H72" s="33"/>
      <c r="M72" s="67"/>
    </row>
    <row r="73" spans="3:13" ht="18">
      <c r="C73" s="30" t="str">
        <f>+'Vins Rouges'!D31</f>
        <v>FRANCE</v>
      </c>
      <c r="D73" s="30"/>
      <c r="E73" s="30"/>
      <c r="F73" s="31"/>
      <c r="G73" s="31"/>
      <c r="H73" s="33"/>
      <c r="M73" s="67"/>
    </row>
    <row r="74" spans="1:20" ht="12.75">
      <c r="A74" s="27">
        <v>30</v>
      </c>
      <c r="B74" s="27">
        <v>1</v>
      </c>
      <c r="C74" s="27" t="str">
        <f>+'Vins Rouges'!D32</f>
        <v>Pinot noir François de Blossac vin pays Jardin de la France 2006</v>
      </c>
      <c r="F74" s="31">
        <f>0.4*G74</f>
        <v>12.8</v>
      </c>
      <c r="G74" s="31">
        <f>+'Vins Rouges'!C32</f>
        <v>32</v>
      </c>
      <c r="H74" s="33">
        <f aca="true" t="shared" si="7" ref="H74:H80">F74/G74</f>
        <v>0.4</v>
      </c>
      <c r="I74" s="31">
        <f aca="true" t="shared" si="8" ref="I74:I80">G74-F74</f>
        <v>19.2</v>
      </c>
      <c r="J74" s="31"/>
      <c r="L74" s="35" t="s">
        <v>72</v>
      </c>
      <c r="M74" s="70">
        <f>+F82</f>
        <v>14.514285714285716</v>
      </c>
      <c r="T74" s="41"/>
    </row>
    <row r="75" spans="1:20" ht="12.75">
      <c r="A75" s="27">
        <v>31</v>
      </c>
      <c r="B75" s="27">
        <v>2</v>
      </c>
      <c r="C75" s="27" t="str">
        <f>+'Vins Rouges'!D33</f>
        <v>Merlot,  Collection privée,  France</v>
      </c>
      <c r="F75" s="31">
        <f aca="true" t="shared" si="9" ref="F75:F80">0.4*G75</f>
        <v>12.8</v>
      </c>
      <c r="G75" s="31">
        <f>+'Vins Rouges'!C33</f>
        <v>32</v>
      </c>
      <c r="H75" s="33">
        <f t="shared" si="7"/>
        <v>0.4</v>
      </c>
      <c r="I75" s="31">
        <f t="shared" si="8"/>
        <v>19.2</v>
      </c>
      <c r="J75" s="31"/>
      <c r="L75" s="35" t="s">
        <v>73</v>
      </c>
      <c r="M75" s="70">
        <f>+G82</f>
        <v>36.285714285714285</v>
      </c>
      <c r="T75" s="41"/>
    </row>
    <row r="76" spans="1:20" ht="12.75">
      <c r="A76" s="27">
        <v>32</v>
      </c>
      <c r="B76" s="27">
        <v>3</v>
      </c>
      <c r="C76" s="27" t="str">
        <f>+'Vins Rouges'!D34</f>
        <v>Château Bellevue La Forêt Côtes du Frontonnais 2004</v>
      </c>
      <c r="F76" s="31">
        <f t="shared" si="9"/>
        <v>14.8</v>
      </c>
      <c r="G76" s="31">
        <f>+'Vins Rouges'!C34</f>
        <v>37</v>
      </c>
      <c r="H76" s="33">
        <f t="shared" si="7"/>
        <v>0.4</v>
      </c>
      <c r="I76" s="31">
        <f t="shared" si="8"/>
        <v>22.2</v>
      </c>
      <c r="J76" s="31"/>
      <c r="L76" s="35" t="s">
        <v>99</v>
      </c>
      <c r="M76" s="71">
        <f>+H82</f>
        <v>0.4000000000000001</v>
      </c>
      <c r="T76" s="41"/>
    </row>
    <row r="77" spans="1:20" ht="12.75">
      <c r="A77" s="27">
        <v>33</v>
      </c>
      <c r="B77" s="27">
        <v>4</v>
      </c>
      <c r="C77" s="27" t="str">
        <f>+'Vins Rouges'!D35</f>
        <v>Les Comtes de Cahors Cahors 2004</v>
      </c>
      <c r="F77" s="31">
        <f t="shared" si="9"/>
        <v>14</v>
      </c>
      <c r="G77" s="31">
        <f>+'Vins Rouges'!C35</f>
        <v>35</v>
      </c>
      <c r="H77" s="33">
        <f t="shared" si="7"/>
        <v>0.4</v>
      </c>
      <c r="I77" s="31">
        <f t="shared" si="8"/>
        <v>21</v>
      </c>
      <c r="J77" s="31"/>
      <c r="L77" s="35" t="s">
        <v>74</v>
      </c>
      <c r="M77" s="70">
        <f>+I82</f>
        <v>21.77142857142857</v>
      </c>
      <c r="T77" s="41"/>
    </row>
    <row r="78" spans="1:20" ht="12.75">
      <c r="A78" s="27">
        <v>34</v>
      </c>
      <c r="B78" s="27">
        <v>5</v>
      </c>
      <c r="C78" s="27" t="str">
        <f>+'Vins Rouges'!D36</f>
        <v>Bourgogne Passe-tout-grains Prince Philippe Thorin 2006</v>
      </c>
      <c r="F78" s="31">
        <f t="shared" si="9"/>
        <v>15.200000000000001</v>
      </c>
      <c r="G78" s="31">
        <f>+'Vins Rouges'!C36</f>
        <v>38</v>
      </c>
      <c r="H78" s="33">
        <f t="shared" si="7"/>
        <v>0.4</v>
      </c>
      <c r="I78" s="31">
        <f t="shared" si="8"/>
        <v>22.799999999999997</v>
      </c>
      <c r="J78" s="31"/>
      <c r="L78" s="69"/>
      <c r="M78" s="72"/>
      <c r="T78" s="41"/>
    </row>
    <row r="79" spans="1:20" ht="12.75">
      <c r="A79" s="27">
        <v>35</v>
      </c>
      <c r="B79" s="27">
        <v>6</v>
      </c>
      <c r="C79" s="27" t="str">
        <f>+'Vins Rouges'!D37</f>
        <v>Perrin Réserve Côtes du Rhône 2006</v>
      </c>
      <c r="F79" s="31">
        <f t="shared" si="9"/>
        <v>16</v>
      </c>
      <c r="G79" s="31">
        <f>+'Vins Rouges'!C37</f>
        <v>40</v>
      </c>
      <c r="H79" s="33">
        <f t="shared" si="7"/>
        <v>0.4</v>
      </c>
      <c r="I79" s="31">
        <f t="shared" si="8"/>
        <v>24</v>
      </c>
      <c r="J79" s="31"/>
      <c r="L79" s="69"/>
      <c r="M79" s="72"/>
      <c r="T79" s="41"/>
    </row>
    <row r="80" spans="1:20" ht="12.75">
      <c r="A80" s="27">
        <v>36</v>
      </c>
      <c r="B80" s="27">
        <v>7</v>
      </c>
      <c r="C80" s="27" t="str">
        <f>+'Vins Rouges'!D38</f>
        <v>Torus Madiran 2004</v>
      </c>
      <c r="F80" s="31">
        <f t="shared" si="9"/>
        <v>16</v>
      </c>
      <c r="G80" s="31">
        <f>+'Vins Rouges'!C38</f>
        <v>40</v>
      </c>
      <c r="H80" s="33">
        <f t="shared" si="7"/>
        <v>0.4</v>
      </c>
      <c r="I80" s="31">
        <f t="shared" si="8"/>
        <v>24</v>
      </c>
      <c r="J80" s="31"/>
      <c r="L80" s="69"/>
      <c r="M80" s="72"/>
      <c r="T80" s="41"/>
    </row>
    <row r="81" spans="6:20" ht="12.75">
      <c r="F81" s="31"/>
      <c r="G81" s="31"/>
      <c r="H81" s="33"/>
      <c r="I81" s="31"/>
      <c r="J81" s="31"/>
      <c r="L81" s="69"/>
      <c r="M81" s="72"/>
      <c r="T81" s="41"/>
    </row>
    <row r="82" spans="3:21" ht="15.75">
      <c r="C82" s="35" t="s">
        <v>98</v>
      </c>
      <c r="D82" s="35"/>
      <c r="E82" s="35"/>
      <c r="F82" s="38">
        <f>+(SUM(F74:F80)/B80)</f>
        <v>14.514285714285716</v>
      </c>
      <c r="G82" s="38">
        <f>+(SUM(G74:G80)/B80)</f>
        <v>36.285714285714285</v>
      </c>
      <c r="H82" s="37">
        <f>F82/G82</f>
        <v>0.4000000000000001</v>
      </c>
      <c r="I82" s="38">
        <f>G82-F82</f>
        <v>21.77142857142857</v>
      </c>
      <c r="J82" s="38"/>
      <c r="L82" s="69" t="s">
        <v>20</v>
      </c>
      <c r="M82" s="72" t="s">
        <v>20</v>
      </c>
      <c r="N82"/>
      <c r="O82"/>
      <c r="P82"/>
      <c r="Q82"/>
      <c r="R82"/>
      <c r="S82"/>
      <c r="T82"/>
      <c r="U82"/>
    </row>
    <row r="83" spans="3:21" ht="15.75">
      <c r="C83" s="35"/>
      <c r="D83" s="35"/>
      <c r="E83" s="35"/>
      <c r="F83" s="38"/>
      <c r="G83" s="38"/>
      <c r="H83" s="37"/>
      <c r="I83" s="38"/>
      <c r="J83" s="38"/>
      <c r="L83" s="69" t="s">
        <v>20</v>
      </c>
      <c r="M83" s="73" t="s">
        <v>20</v>
      </c>
      <c r="N83"/>
      <c r="O83"/>
      <c r="P83"/>
      <c r="Q83"/>
      <c r="R83"/>
      <c r="S83"/>
      <c r="T83"/>
      <c r="U83"/>
    </row>
    <row r="84" spans="3:21" ht="19.5">
      <c r="C84" s="30" t="str">
        <f>+'Vins Rouges&amp;Rosés'!D4</f>
        <v>ITALIE</v>
      </c>
      <c r="D84" s="30"/>
      <c r="E84" s="30"/>
      <c r="F84" s="31"/>
      <c r="G84" s="31"/>
      <c r="H84" s="33"/>
      <c r="J84" s="38"/>
      <c r="L84" s="69"/>
      <c r="M84" s="73"/>
      <c r="N84"/>
      <c r="O84"/>
      <c r="P84"/>
      <c r="Q84"/>
      <c r="R84"/>
      <c r="S84"/>
      <c r="T84"/>
      <c r="U84"/>
    </row>
    <row r="85" spans="1:21" ht="15.75">
      <c r="A85" s="42">
        <v>37</v>
      </c>
      <c r="B85" s="42">
        <v>1</v>
      </c>
      <c r="C85" s="42" t="str">
        <f>+'Vins Rouges&amp;Rosés'!D5</f>
        <v>Fontana Morella vino da tavola</v>
      </c>
      <c r="D85" s="42"/>
      <c r="E85" s="42"/>
      <c r="F85" s="43">
        <f>0.4*G85</f>
        <v>10</v>
      </c>
      <c r="G85" s="43">
        <f>+'Vins Rouges&amp;Rosés'!C5</f>
        <v>25</v>
      </c>
      <c r="H85" s="44">
        <f aca="true" t="shared" si="10" ref="H85:H93">F85/G85</f>
        <v>0.4</v>
      </c>
      <c r="I85" s="43">
        <f aca="true" t="shared" si="11" ref="I85:I93">G85-F85</f>
        <v>15</v>
      </c>
      <c r="J85" s="38"/>
      <c r="L85" s="35" t="s">
        <v>72</v>
      </c>
      <c r="M85" s="70">
        <f>+F93</f>
        <v>15.714285714285717</v>
      </c>
      <c r="N85"/>
      <c r="O85"/>
      <c r="P85"/>
      <c r="Q85"/>
      <c r="R85"/>
      <c r="S85"/>
      <c r="T85"/>
      <c r="U85"/>
    </row>
    <row r="86" spans="1:21" ht="15.75">
      <c r="A86" s="27">
        <v>38</v>
      </c>
      <c r="B86" s="27">
        <v>2</v>
      </c>
      <c r="C86" s="27" t="str">
        <f>+'Vins Rouges&amp;Rosés'!D6</f>
        <v>Merlot Lamberti Santepietre Delle Venezie i.g.t. 2006</v>
      </c>
      <c r="F86" s="43">
        <f aca="true" t="shared" si="12" ref="F86:F91">0.4*G86</f>
        <v>13.200000000000001</v>
      </c>
      <c r="G86" s="31">
        <f>+'Vins Rouges&amp;Rosés'!C6</f>
        <v>33</v>
      </c>
      <c r="H86" s="33">
        <f t="shared" si="10"/>
        <v>0.4</v>
      </c>
      <c r="I86" s="31">
        <f t="shared" si="11"/>
        <v>19.799999999999997</v>
      </c>
      <c r="J86" s="38"/>
      <c r="L86" s="35" t="s">
        <v>73</v>
      </c>
      <c r="M86" s="70">
        <f>+G93</f>
        <v>39.285714285714285</v>
      </c>
      <c r="N86"/>
      <c r="O86"/>
      <c r="P86"/>
      <c r="Q86"/>
      <c r="R86"/>
      <c r="S86"/>
      <c r="T86"/>
      <c r="U86"/>
    </row>
    <row r="87" spans="1:21" ht="15.75">
      <c r="A87" s="27">
        <v>39</v>
      </c>
      <c r="B87" s="27">
        <v>3</v>
      </c>
      <c r="C87" s="27" t="str">
        <f>+'Vins Rouges&amp;Rosés'!D7</f>
        <v>Modello Masi Delle Venezie i.g.t. 2006</v>
      </c>
      <c r="F87" s="43">
        <f t="shared" si="12"/>
        <v>14.8</v>
      </c>
      <c r="G87" s="31">
        <f>+'Vins Rouges&amp;Rosés'!C7</f>
        <v>37</v>
      </c>
      <c r="H87" s="33">
        <f t="shared" si="10"/>
        <v>0.4</v>
      </c>
      <c r="I87" s="31">
        <f t="shared" si="11"/>
        <v>22.2</v>
      </c>
      <c r="J87" s="38"/>
      <c r="L87" s="35" t="s">
        <v>99</v>
      </c>
      <c r="M87" s="71">
        <f>+H93</f>
        <v>0.4000000000000001</v>
      </c>
      <c r="N87"/>
      <c r="O87"/>
      <c r="P87"/>
      <c r="Q87"/>
      <c r="R87"/>
      <c r="S87"/>
      <c r="T87"/>
      <c r="U87"/>
    </row>
    <row r="88" spans="1:21" ht="15.75">
      <c r="A88" s="27">
        <v>40</v>
      </c>
      <c r="B88" s="27">
        <v>4</v>
      </c>
      <c r="C88" s="27" t="str">
        <f>+'Vins Rouges&amp;Rosés'!D8</f>
        <v>Fonte al Sole Ruffino Toscana i.g.t. Sangiovese/Merlot 2004</v>
      </c>
      <c r="F88" s="43">
        <f t="shared" si="12"/>
        <v>14.4</v>
      </c>
      <c r="G88" s="31">
        <f>+'Vins Rouges&amp;Rosés'!C8</f>
        <v>36</v>
      </c>
      <c r="H88" s="33">
        <f t="shared" si="10"/>
        <v>0.4</v>
      </c>
      <c r="I88" s="31">
        <f t="shared" si="11"/>
        <v>21.6</v>
      </c>
      <c r="J88" s="38"/>
      <c r="L88" s="35" t="s">
        <v>74</v>
      </c>
      <c r="M88" s="70">
        <f>+I93</f>
        <v>23.57142857142857</v>
      </c>
      <c r="N88"/>
      <c r="O88"/>
      <c r="P88"/>
      <c r="Q88"/>
      <c r="R88"/>
      <c r="S88"/>
      <c r="T88"/>
      <c r="U88"/>
    </row>
    <row r="89" spans="1:21" ht="15.75">
      <c r="A89" s="27">
        <v>41</v>
      </c>
      <c r="B89" s="27">
        <v>5</v>
      </c>
      <c r="C89" s="27" t="str">
        <f>+'Vins Rouges&amp;Rosés'!D9</f>
        <v>Poggio alla Badiola Mazzei Toscana i.g.t. 2006</v>
      </c>
      <c r="F89" s="43">
        <f t="shared" si="12"/>
        <v>16.8</v>
      </c>
      <c r="G89" s="31">
        <f>+'Vins Rouges&amp;Rosés'!C9</f>
        <v>42</v>
      </c>
      <c r="H89" s="33">
        <f t="shared" si="10"/>
        <v>0.4</v>
      </c>
      <c r="I89" s="31">
        <f t="shared" si="11"/>
        <v>25.2</v>
      </c>
      <c r="J89" s="38"/>
      <c r="L89" s="69"/>
      <c r="M89" s="73"/>
      <c r="N89"/>
      <c r="O89"/>
      <c r="P89"/>
      <c r="Q89"/>
      <c r="R89"/>
      <c r="S89"/>
      <c r="T89"/>
      <c r="U89"/>
    </row>
    <row r="90" spans="1:21" ht="15.75">
      <c r="A90" s="27">
        <v>42</v>
      </c>
      <c r="B90" s="27">
        <v>6</v>
      </c>
      <c r="C90" s="27" t="str">
        <f>+'Vins Rouges&amp;Rosés'!D10</f>
        <v>Ripasso Folonari Valpolicella Superiore Classico 2005</v>
      </c>
      <c r="F90" s="43">
        <f t="shared" si="12"/>
        <v>17.6</v>
      </c>
      <c r="G90" s="31">
        <f>+'Vins Rouges&amp;Rosés'!C10</f>
        <v>44</v>
      </c>
      <c r="H90" s="33">
        <f t="shared" si="10"/>
        <v>0.4</v>
      </c>
      <c r="I90" s="31">
        <f t="shared" si="11"/>
        <v>26.4</v>
      </c>
      <c r="J90" s="38"/>
      <c r="L90" s="69"/>
      <c r="M90" s="73"/>
      <c r="N90"/>
      <c r="O90"/>
      <c r="P90"/>
      <c r="Q90"/>
      <c r="R90"/>
      <c r="S90"/>
      <c r="T90"/>
      <c r="U90"/>
    </row>
    <row r="91" spans="1:21" ht="15.75">
      <c r="A91" s="27">
        <v>43</v>
      </c>
      <c r="B91" s="27">
        <v>7</v>
      </c>
      <c r="C91" s="27" t="str">
        <f>+'Vins Rouges&amp;Rosés'!D11</f>
        <v>Brolio Chianti Classico 2005</v>
      </c>
      <c r="F91" s="43">
        <f t="shared" si="12"/>
        <v>23.200000000000003</v>
      </c>
      <c r="G91" s="31">
        <f>+'Vins Rouges&amp;Rosés'!C11</f>
        <v>58</v>
      </c>
      <c r="H91" s="33">
        <f t="shared" si="10"/>
        <v>0.4</v>
      </c>
      <c r="I91" s="31">
        <f t="shared" si="11"/>
        <v>34.8</v>
      </c>
      <c r="J91" s="38"/>
      <c r="L91" s="69"/>
      <c r="M91" s="73"/>
      <c r="N91"/>
      <c r="O91"/>
      <c r="P91"/>
      <c r="Q91"/>
      <c r="R91"/>
      <c r="S91"/>
      <c r="T91"/>
      <c r="U91"/>
    </row>
    <row r="92" spans="6:21" ht="15.75">
      <c r="F92" s="43"/>
      <c r="G92" s="31"/>
      <c r="H92" s="33"/>
      <c r="I92" s="31"/>
      <c r="J92" s="38"/>
      <c r="L92" s="69"/>
      <c r="M92" s="73"/>
      <c r="N92"/>
      <c r="O92"/>
      <c r="P92"/>
      <c r="Q92"/>
      <c r="R92"/>
      <c r="S92"/>
      <c r="T92"/>
      <c r="U92"/>
    </row>
    <row r="93" spans="3:21" ht="15.75">
      <c r="C93" s="35" t="s">
        <v>98</v>
      </c>
      <c r="D93" s="35"/>
      <c r="E93" s="35"/>
      <c r="F93" s="38">
        <f>+(SUM(F85:F91)/B91)</f>
        <v>15.714285714285717</v>
      </c>
      <c r="G93" s="38">
        <f>+(SUM(G85:G91)/B91)</f>
        <v>39.285714285714285</v>
      </c>
      <c r="H93" s="37">
        <f t="shared" si="10"/>
        <v>0.4000000000000001</v>
      </c>
      <c r="I93" s="38">
        <f t="shared" si="11"/>
        <v>23.57142857142857</v>
      </c>
      <c r="J93" s="38"/>
      <c r="L93" s="69"/>
      <c r="M93" s="73"/>
      <c r="N93"/>
      <c r="O93"/>
      <c r="P93"/>
      <c r="Q93"/>
      <c r="R93"/>
      <c r="S93"/>
      <c r="T93"/>
      <c r="U93"/>
    </row>
    <row r="94" spans="3:21" ht="15.75">
      <c r="C94" s="35"/>
      <c r="D94" s="35"/>
      <c r="E94" s="35"/>
      <c r="F94" s="38"/>
      <c r="G94" s="38"/>
      <c r="H94" s="37"/>
      <c r="I94" s="38"/>
      <c r="J94" s="38"/>
      <c r="L94" s="69"/>
      <c r="M94" s="73"/>
      <c r="N94"/>
      <c r="O94"/>
      <c r="P94"/>
      <c r="Q94"/>
      <c r="R94"/>
      <c r="S94"/>
      <c r="T94"/>
      <c r="U94"/>
    </row>
    <row r="95" spans="3:21" ht="19.5">
      <c r="C95" s="30" t="str">
        <f>+'Vins Rouges&amp;Rosés'!D13</f>
        <v>MEXIQUE</v>
      </c>
      <c r="D95" s="30"/>
      <c r="E95" s="30"/>
      <c r="F95" s="31"/>
      <c r="G95" s="31"/>
      <c r="H95" s="33"/>
      <c r="J95" s="38"/>
      <c r="L95" s="69"/>
      <c r="M95" s="73"/>
      <c r="N95"/>
      <c r="O95"/>
      <c r="P95"/>
      <c r="Q95"/>
      <c r="R95"/>
      <c r="S95"/>
      <c r="T95"/>
      <c r="U95"/>
    </row>
    <row r="96" spans="1:21" ht="15.75">
      <c r="A96" s="27">
        <v>44</v>
      </c>
      <c r="B96" s="27">
        <v>1</v>
      </c>
      <c r="C96" s="27" t="str">
        <f>+'Vins Rouges&amp;Rosés'!D14</f>
        <v>Petite Sirah L.A. Cetto Valle de Guadalupe 2005</v>
      </c>
      <c r="F96" s="31">
        <f>0.4*G96</f>
        <v>12.8</v>
      </c>
      <c r="G96" s="31">
        <f>+'Vins Rouges&amp;Rosés'!C14</f>
        <v>32</v>
      </c>
      <c r="H96" s="33">
        <f>F96/G96</f>
        <v>0.4</v>
      </c>
      <c r="I96" s="31">
        <f>G96-F96</f>
        <v>19.2</v>
      </c>
      <c r="J96" s="38"/>
      <c r="L96" s="35" t="s">
        <v>72</v>
      </c>
      <c r="M96" s="70">
        <f>+F97</f>
        <v>12.8</v>
      </c>
      <c r="N96"/>
      <c r="O96"/>
      <c r="P96"/>
      <c r="Q96"/>
      <c r="R96"/>
      <c r="S96"/>
      <c r="T96"/>
      <c r="U96"/>
    </row>
    <row r="97" spans="3:21" ht="15.75">
      <c r="C97" s="35" t="s">
        <v>98</v>
      </c>
      <c r="D97" s="35"/>
      <c r="E97" s="35"/>
      <c r="F97" s="38">
        <f>+F96/B96</f>
        <v>12.8</v>
      </c>
      <c r="G97" s="38">
        <f>+G96/B96</f>
        <v>32</v>
      </c>
      <c r="H97" s="37">
        <f>F97/G97</f>
        <v>0.4</v>
      </c>
      <c r="I97" s="38">
        <f>G97-F97</f>
        <v>19.2</v>
      </c>
      <c r="J97" s="38"/>
      <c r="L97" s="35" t="s">
        <v>73</v>
      </c>
      <c r="M97" s="70">
        <f>+G97</f>
        <v>32</v>
      </c>
      <c r="N97"/>
      <c r="O97"/>
      <c r="P97"/>
      <c r="Q97"/>
      <c r="R97"/>
      <c r="S97"/>
      <c r="T97"/>
      <c r="U97"/>
    </row>
    <row r="98" spans="3:21" ht="15.75">
      <c r="C98" s="35"/>
      <c r="D98" s="35"/>
      <c r="E98" s="35"/>
      <c r="F98" s="38"/>
      <c r="G98" s="38"/>
      <c r="H98" s="37"/>
      <c r="I98" s="38"/>
      <c r="J98" s="38"/>
      <c r="L98" s="35" t="s">
        <v>75</v>
      </c>
      <c r="M98" s="71">
        <f>+H103</f>
        <v>0.4</v>
      </c>
      <c r="N98"/>
      <c r="O98"/>
      <c r="P98"/>
      <c r="Q98"/>
      <c r="R98"/>
      <c r="S98"/>
      <c r="T98"/>
      <c r="U98"/>
    </row>
    <row r="99" spans="3:21" ht="15.75">
      <c r="C99" s="35"/>
      <c r="D99" s="35"/>
      <c r="E99" s="35"/>
      <c r="F99" s="38"/>
      <c r="G99" s="38"/>
      <c r="H99" s="37"/>
      <c r="I99" s="38"/>
      <c r="J99" s="38"/>
      <c r="L99" s="35" t="s">
        <v>74</v>
      </c>
      <c r="M99" s="70">
        <f>+I97</f>
        <v>19.2</v>
      </c>
      <c r="N99"/>
      <c r="O99"/>
      <c r="P99"/>
      <c r="Q99"/>
      <c r="R99"/>
      <c r="S99"/>
      <c r="T99"/>
      <c r="U99"/>
    </row>
    <row r="100" spans="3:21" ht="19.5">
      <c r="C100" s="30" t="str">
        <f>+'Vins Rouges&amp;Rosés'!D16</f>
        <v>PORTUGAL</v>
      </c>
      <c r="D100" s="30"/>
      <c r="E100" s="30"/>
      <c r="F100" s="31"/>
      <c r="G100" s="31"/>
      <c r="H100" s="33"/>
      <c r="J100" s="38"/>
      <c r="N100"/>
      <c r="O100"/>
      <c r="P100"/>
      <c r="Q100"/>
      <c r="R100"/>
      <c r="S100"/>
      <c r="T100"/>
      <c r="U100"/>
    </row>
    <row r="101" spans="1:21" ht="15.75">
      <c r="A101" s="27">
        <v>45</v>
      </c>
      <c r="B101" s="27">
        <v>1</v>
      </c>
      <c r="C101" s="27" t="str">
        <f>+'Vins Rouges&amp;Rosés'!D17</f>
        <v>Vinho regional Alentejano Vinha do Monte 2005</v>
      </c>
      <c r="F101" s="31">
        <f>0.4*G101</f>
        <v>12.8</v>
      </c>
      <c r="G101" s="31">
        <f>+'Vins Rouges&amp;Rosés'!C17</f>
        <v>32</v>
      </c>
      <c r="H101" s="33">
        <f>F101/G101</f>
        <v>0.4</v>
      </c>
      <c r="I101" s="31">
        <f>G101-F101</f>
        <v>19.2</v>
      </c>
      <c r="J101" s="38"/>
      <c r="L101" s="35" t="s">
        <v>72</v>
      </c>
      <c r="M101" s="70">
        <f>+F103</f>
        <v>12.8</v>
      </c>
      <c r="N101"/>
      <c r="O101"/>
      <c r="P101"/>
      <c r="Q101"/>
      <c r="R101"/>
      <c r="S101"/>
      <c r="T101"/>
      <c r="U101"/>
    </row>
    <row r="102" spans="6:21" ht="15.75">
      <c r="F102" s="31"/>
      <c r="G102" s="31"/>
      <c r="H102" s="33"/>
      <c r="I102" s="31"/>
      <c r="J102" s="38"/>
      <c r="L102" s="35" t="s">
        <v>73</v>
      </c>
      <c r="M102" s="70">
        <f>+G103</f>
        <v>32</v>
      </c>
      <c r="N102"/>
      <c r="O102"/>
      <c r="P102"/>
      <c r="Q102"/>
      <c r="R102"/>
      <c r="S102"/>
      <c r="T102"/>
      <c r="U102"/>
    </row>
    <row r="103" spans="3:21" ht="15.75">
      <c r="C103" s="35" t="s">
        <v>98</v>
      </c>
      <c r="D103" s="35"/>
      <c r="E103" s="35"/>
      <c r="F103" s="38">
        <f>+F101/B101</f>
        <v>12.8</v>
      </c>
      <c r="G103" s="38">
        <f>+G101/B101</f>
        <v>32</v>
      </c>
      <c r="H103" s="37">
        <f>F103/G103</f>
        <v>0.4</v>
      </c>
      <c r="I103" s="38">
        <f>G103-F103</f>
        <v>19.2</v>
      </c>
      <c r="J103" s="38"/>
      <c r="L103" s="35" t="s">
        <v>99</v>
      </c>
      <c r="M103" s="71">
        <f>+H103</f>
        <v>0.4</v>
      </c>
      <c r="N103"/>
      <c r="O103"/>
      <c r="P103"/>
      <c r="Q103"/>
      <c r="R103"/>
      <c r="S103"/>
      <c r="T103"/>
      <c r="U103"/>
    </row>
    <row r="104" spans="3:21" ht="15.75">
      <c r="C104" s="35"/>
      <c r="D104" s="35"/>
      <c r="E104" s="35"/>
      <c r="F104" s="38"/>
      <c r="G104" s="38"/>
      <c r="H104" s="37"/>
      <c r="I104" s="38"/>
      <c r="J104" s="38"/>
      <c r="L104" s="35" t="s">
        <v>74</v>
      </c>
      <c r="M104" s="70">
        <f>+I103</f>
        <v>19.2</v>
      </c>
      <c r="N104"/>
      <c r="O104"/>
      <c r="P104"/>
      <c r="Q104"/>
      <c r="R104"/>
      <c r="S104"/>
      <c r="T104"/>
      <c r="U104"/>
    </row>
    <row r="105" spans="3:21" ht="25.5">
      <c r="C105" s="110" t="s">
        <v>89</v>
      </c>
      <c r="D105" s="110"/>
      <c r="E105" s="110"/>
      <c r="F105" s="38"/>
      <c r="G105" s="38"/>
      <c r="H105" s="37"/>
      <c r="I105" s="38"/>
      <c r="J105" s="38"/>
      <c r="L105" s="69"/>
      <c r="M105" s="72"/>
      <c r="N105"/>
      <c r="O105"/>
      <c r="P105"/>
      <c r="Q105"/>
      <c r="R105"/>
      <c r="S105"/>
      <c r="T105"/>
      <c r="U105"/>
    </row>
    <row r="106" spans="3:21" ht="7.5" customHeight="1">
      <c r="C106" s="110"/>
      <c r="D106" s="110"/>
      <c r="E106" s="110"/>
      <c r="F106" s="38"/>
      <c r="G106" s="38"/>
      <c r="H106" s="37"/>
      <c r="I106" s="38"/>
      <c r="J106" s="38"/>
      <c r="L106" s="69"/>
      <c r="M106" s="72"/>
      <c r="N106"/>
      <c r="O106"/>
      <c r="P106"/>
      <c r="Q106"/>
      <c r="R106"/>
      <c r="S106"/>
      <c r="T106"/>
      <c r="U106"/>
    </row>
    <row r="107" spans="3:21" ht="19.5">
      <c r="C107" s="30" t="s">
        <v>90</v>
      </c>
      <c r="D107" s="30"/>
      <c r="E107" s="30"/>
      <c r="F107" s="31"/>
      <c r="G107" s="31"/>
      <c r="H107" s="33"/>
      <c r="J107" s="38"/>
      <c r="L107" s="69"/>
      <c r="M107" s="72"/>
      <c r="N107"/>
      <c r="O107"/>
      <c r="P107"/>
      <c r="Q107"/>
      <c r="R107"/>
      <c r="S107"/>
      <c r="T107"/>
      <c r="U107"/>
    </row>
    <row r="108" spans="1:21" ht="15.75">
      <c r="A108" s="27">
        <v>46</v>
      </c>
      <c r="B108" s="27">
        <v>1</v>
      </c>
      <c r="C108" s="27" t="str">
        <f>+'Vins Rouges&amp;Rosés'!D22</f>
        <v>Listel-Gris Grain de Gris vin de pays Sables du Golfe du Lio</v>
      </c>
      <c r="F108" s="31">
        <f>0.4*G108</f>
        <v>12</v>
      </c>
      <c r="G108" s="31">
        <f>+'Vins Rouges&amp;Rosés'!C22</f>
        <v>30</v>
      </c>
      <c r="H108" s="33">
        <f>F108/G108</f>
        <v>0.4</v>
      </c>
      <c r="I108" s="31">
        <f>G108-F108</f>
        <v>18</v>
      </c>
      <c r="J108" s="38"/>
      <c r="L108" s="35" t="s">
        <v>72</v>
      </c>
      <c r="M108" s="70">
        <f>+F113</f>
        <v>14.600000000000001</v>
      </c>
      <c r="N108"/>
      <c r="O108"/>
      <c r="P108"/>
      <c r="Q108"/>
      <c r="R108"/>
      <c r="S108"/>
      <c r="T108"/>
      <c r="U108"/>
    </row>
    <row r="109" spans="1:21" ht="15.75">
      <c r="A109" s="27">
        <v>47</v>
      </c>
      <c r="B109" s="27">
        <v>2</v>
      </c>
      <c r="C109" s="27" t="str">
        <f>+'Vins Rouges&amp;Rosés'!D23</f>
        <v>Château Bellevue La Forêt Côtes du Frontonnais rosé 2006</v>
      </c>
      <c r="F109" s="31">
        <f>0.4*G109</f>
        <v>14.4</v>
      </c>
      <c r="G109" s="31">
        <f>+'Vins Rouges&amp;Rosés'!C23</f>
        <v>36</v>
      </c>
      <c r="H109" s="33">
        <f>F109/G109</f>
        <v>0.4</v>
      </c>
      <c r="I109" s="31">
        <f>G109-F109</f>
        <v>21.6</v>
      </c>
      <c r="J109" s="38"/>
      <c r="L109" s="35" t="s">
        <v>73</v>
      </c>
      <c r="M109" s="70">
        <f>+G113</f>
        <v>36.5</v>
      </c>
      <c r="N109"/>
      <c r="O109"/>
      <c r="P109"/>
      <c r="Q109"/>
      <c r="R109"/>
      <c r="S109"/>
      <c r="T109"/>
      <c r="U109"/>
    </row>
    <row r="110" spans="1:21" ht="15.75">
      <c r="A110" s="27">
        <v>48</v>
      </c>
      <c r="B110" s="27">
        <v>3</v>
      </c>
      <c r="C110" s="27" t="str">
        <f>+'Vins Rouges&amp;Rosés'!D24</f>
        <v>Roseline Prestige Côtes de Provence rosé 2007</v>
      </c>
      <c r="F110" s="31">
        <f>0.4*G110</f>
        <v>15.200000000000001</v>
      </c>
      <c r="G110" s="31">
        <f>+'Vins Rouges&amp;Rosés'!C24</f>
        <v>38</v>
      </c>
      <c r="H110" s="33">
        <f>F110/G110</f>
        <v>0.4</v>
      </c>
      <c r="I110" s="31">
        <f>G110-F110</f>
        <v>22.799999999999997</v>
      </c>
      <c r="J110" s="38"/>
      <c r="L110" s="35" t="s">
        <v>99</v>
      </c>
      <c r="M110" s="71">
        <f>+H113</f>
        <v>0.4</v>
      </c>
      <c r="N110"/>
      <c r="O110"/>
      <c r="P110"/>
      <c r="Q110"/>
      <c r="R110"/>
      <c r="S110"/>
      <c r="T110"/>
      <c r="U110"/>
    </row>
    <row r="111" spans="1:21" ht="15.75">
      <c r="A111" s="27">
        <v>49</v>
      </c>
      <c r="B111" s="27">
        <v>4</v>
      </c>
      <c r="C111" s="27" t="str">
        <f>+'Vins Rouges&amp;Rosés'!D25</f>
        <v>Pétale de Rose Côtes de Provence rosé 2007</v>
      </c>
      <c r="F111" s="31">
        <f>0.4*G111</f>
        <v>16.8</v>
      </c>
      <c r="G111" s="31">
        <f>+'Vins Rouges&amp;Rosés'!C25</f>
        <v>42</v>
      </c>
      <c r="H111" s="33">
        <f>F111/G111</f>
        <v>0.4</v>
      </c>
      <c r="I111" s="31">
        <f>G111-F111</f>
        <v>25.2</v>
      </c>
      <c r="J111" s="38"/>
      <c r="L111" s="35" t="s">
        <v>74</v>
      </c>
      <c r="M111" s="70">
        <f>+I113</f>
        <v>21.9</v>
      </c>
      <c r="N111"/>
      <c r="O111"/>
      <c r="P111"/>
      <c r="Q111"/>
      <c r="R111"/>
      <c r="S111"/>
      <c r="T111"/>
      <c r="U111"/>
    </row>
    <row r="112" spans="6:21" ht="15.75">
      <c r="F112" s="31"/>
      <c r="G112" s="31"/>
      <c r="H112" s="33"/>
      <c r="I112" s="31"/>
      <c r="J112" s="38"/>
      <c r="L112" s="35"/>
      <c r="M112" s="70"/>
      <c r="N112"/>
      <c r="O112"/>
      <c r="P112"/>
      <c r="Q112"/>
      <c r="R112"/>
      <c r="S112"/>
      <c r="T112"/>
      <c r="U112"/>
    </row>
    <row r="113" spans="3:21" ht="15.75">
      <c r="C113" s="35" t="s">
        <v>98</v>
      </c>
      <c r="D113" s="35"/>
      <c r="E113" s="35"/>
      <c r="F113" s="38">
        <f>+(SUM(F108:F111)/B111)</f>
        <v>14.600000000000001</v>
      </c>
      <c r="G113" s="38">
        <f>+(SUM(G108:G111)/B111)</f>
        <v>36.5</v>
      </c>
      <c r="H113" s="37">
        <f>F113/G113</f>
        <v>0.4</v>
      </c>
      <c r="I113" s="38">
        <f>G113-F113</f>
        <v>21.9</v>
      </c>
      <c r="J113" s="38"/>
      <c r="L113" s="69"/>
      <c r="M113" s="72"/>
      <c r="N113"/>
      <c r="O113"/>
      <c r="P113"/>
      <c r="Q113"/>
      <c r="R113"/>
      <c r="S113"/>
      <c r="T113"/>
      <c r="U113"/>
    </row>
    <row r="114" spans="3:21" ht="15.75">
      <c r="C114" s="35"/>
      <c r="D114" s="35"/>
      <c r="E114" s="35"/>
      <c r="F114" s="38"/>
      <c r="G114" s="38"/>
      <c r="H114" s="37"/>
      <c r="I114" s="38"/>
      <c r="J114" s="38"/>
      <c r="L114" s="69"/>
      <c r="M114" s="72"/>
      <c r="N114"/>
      <c r="O114"/>
      <c r="P114"/>
      <c r="Q114"/>
      <c r="R114"/>
      <c r="S114"/>
      <c r="T114"/>
      <c r="U114"/>
    </row>
    <row r="115" spans="3:21" ht="25.5">
      <c r="C115" s="110" t="s">
        <v>91</v>
      </c>
      <c r="D115" s="110"/>
      <c r="E115" s="110"/>
      <c r="F115" s="38"/>
      <c r="G115" s="38"/>
      <c r="H115" s="37"/>
      <c r="I115" s="38"/>
      <c r="J115" s="38"/>
      <c r="L115" s="69"/>
      <c r="M115" s="72"/>
      <c r="N115"/>
      <c r="O115"/>
      <c r="P115"/>
      <c r="Q115"/>
      <c r="R115"/>
      <c r="S115"/>
      <c r="T115"/>
      <c r="U115"/>
    </row>
    <row r="116" spans="3:21" ht="7.5" customHeight="1">
      <c r="C116" s="110"/>
      <c r="D116" s="110"/>
      <c r="E116" s="110"/>
      <c r="F116" s="38"/>
      <c r="G116" s="38"/>
      <c r="H116" s="37"/>
      <c r="I116" s="38"/>
      <c r="J116" s="38"/>
      <c r="L116" s="69"/>
      <c r="M116" s="72"/>
      <c r="N116"/>
      <c r="O116"/>
      <c r="P116"/>
      <c r="Q116"/>
      <c r="R116"/>
      <c r="S116"/>
      <c r="T116"/>
      <c r="U116"/>
    </row>
    <row r="117" spans="1:21" ht="15.75">
      <c r="A117" s="27">
        <v>50</v>
      </c>
      <c r="B117" s="27">
        <v>1</v>
      </c>
      <c r="C117" s="27" t="str">
        <f>+'Vins de Porto'!D4</f>
        <v>Offley Cachucha reserve Porto blanc</v>
      </c>
      <c r="F117" s="31">
        <f>0.4*G117</f>
        <v>19.200000000000003</v>
      </c>
      <c r="G117" s="31">
        <f>+'Vins de Porto'!C4</f>
        <v>48</v>
      </c>
      <c r="H117" s="33">
        <f>F117/G117</f>
        <v>0.4000000000000001</v>
      </c>
      <c r="I117" s="31">
        <f>G117-F117</f>
        <v>28.799999999999997</v>
      </c>
      <c r="J117" s="38"/>
      <c r="L117" s="35" t="s">
        <v>72</v>
      </c>
      <c r="M117" s="70">
        <f>+F122</f>
        <v>19</v>
      </c>
      <c r="N117"/>
      <c r="O117"/>
      <c r="P117"/>
      <c r="Q117"/>
      <c r="R117"/>
      <c r="S117"/>
      <c r="T117"/>
      <c r="U117"/>
    </row>
    <row r="118" spans="1:21" ht="15.75">
      <c r="A118" s="27">
        <v>51</v>
      </c>
      <c r="B118" s="27">
        <v>2</v>
      </c>
      <c r="C118" s="27" t="str">
        <f>+'Vins de Porto'!D9</f>
        <v>Offley Rei tawny</v>
      </c>
      <c r="F118" s="31">
        <f>0.4*G118</f>
        <v>15.200000000000001</v>
      </c>
      <c r="G118" s="31">
        <f>+'Vins de Porto'!C9</f>
        <v>38</v>
      </c>
      <c r="H118" s="33">
        <f>F118/G118</f>
        <v>0.4</v>
      </c>
      <c r="I118" s="31">
        <f>G118-F118</f>
        <v>22.799999999999997</v>
      </c>
      <c r="J118" s="38"/>
      <c r="L118" s="35" t="s">
        <v>73</v>
      </c>
      <c r="M118" s="70">
        <f>+G122</f>
        <v>47.5</v>
      </c>
      <c r="N118"/>
      <c r="O118"/>
      <c r="P118"/>
      <c r="Q118"/>
      <c r="R118"/>
      <c r="S118"/>
      <c r="T118"/>
      <c r="U118"/>
    </row>
    <row r="119" spans="1:21" ht="15.75">
      <c r="A119" s="27">
        <v>52</v>
      </c>
      <c r="B119" s="27">
        <v>3</v>
      </c>
      <c r="C119" s="27" t="str">
        <f>+'Vins de Porto'!D10</f>
        <v>Offley late bottled vintage 2000</v>
      </c>
      <c r="F119" s="31">
        <f>0.4*G119</f>
        <v>20.8</v>
      </c>
      <c r="G119" s="31">
        <f>+'Vins de Porto'!C10</f>
        <v>52</v>
      </c>
      <c r="H119" s="33">
        <f>F119/G119</f>
        <v>0.4</v>
      </c>
      <c r="I119" s="31">
        <f>G119-F119</f>
        <v>31.2</v>
      </c>
      <c r="J119" s="38"/>
      <c r="L119" s="35" t="s">
        <v>99</v>
      </c>
      <c r="M119" s="71">
        <f>+H122</f>
        <v>0.4</v>
      </c>
      <c r="N119"/>
      <c r="O119"/>
      <c r="P119"/>
      <c r="Q119"/>
      <c r="R119"/>
      <c r="S119"/>
      <c r="T119"/>
      <c r="U119"/>
    </row>
    <row r="120" spans="1:21" ht="15.75">
      <c r="A120" s="27">
        <v>53</v>
      </c>
      <c r="B120" s="27">
        <v>4</v>
      </c>
      <c r="C120" s="27" t="str">
        <f>+'Vins de Porto'!D13</f>
        <v>Warre’s Otima Tawny, 10 ans</v>
      </c>
      <c r="F120" s="31">
        <f>0.4*G120</f>
        <v>20.8</v>
      </c>
      <c r="G120" s="31">
        <f>+'Vins de Porto'!C13</f>
        <v>52</v>
      </c>
      <c r="H120" s="33">
        <f>F120/G120</f>
        <v>0.4</v>
      </c>
      <c r="I120" s="31">
        <f>G120-F120</f>
        <v>31.2</v>
      </c>
      <c r="J120" s="38"/>
      <c r="L120" s="35" t="s">
        <v>74</v>
      </c>
      <c r="M120" s="70">
        <f>+I122</f>
        <v>28.5</v>
      </c>
      <c r="N120"/>
      <c r="O120"/>
      <c r="P120"/>
      <c r="Q120"/>
      <c r="R120"/>
      <c r="S120"/>
      <c r="T120"/>
      <c r="U120"/>
    </row>
    <row r="121" spans="6:21" ht="15.75">
      <c r="F121" s="31"/>
      <c r="G121" s="31"/>
      <c r="H121" s="33"/>
      <c r="I121" s="31"/>
      <c r="J121" s="38"/>
      <c r="L121" s="35"/>
      <c r="M121" s="70"/>
      <c r="N121"/>
      <c r="O121"/>
      <c r="P121"/>
      <c r="Q121"/>
      <c r="R121"/>
      <c r="S121"/>
      <c r="T121"/>
      <c r="U121"/>
    </row>
    <row r="122" spans="3:21" ht="15.75">
      <c r="C122" s="35" t="s">
        <v>98</v>
      </c>
      <c r="D122" s="35"/>
      <c r="E122" s="35"/>
      <c r="F122" s="38">
        <f>+(SUM(F117:F120)/B120)</f>
        <v>19</v>
      </c>
      <c r="G122" s="38">
        <f>+(SUM(G117:G120)/B120)</f>
        <v>47.5</v>
      </c>
      <c r="H122" s="37">
        <f>F122/G122</f>
        <v>0.4</v>
      </c>
      <c r="I122" s="38">
        <f>G122-F122</f>
        <v>28.5</v>
      </c>
      <c r="J122" s="38"/>
      <c r="L122" s="69"/>
      <c r="M122" s="72"/>
      <c r="N122"/>
      <c r="O122"/>
      <c r="P122"/>
      <c r="Q122"/>
      <c r="R122"/>
      <c r="S122"/>
      <c r="T122"/>
      <c r="U122"/>
    </row>
    <row r="123" spans="3:21" ht="15.75">
      <c r="C123" s="35"/>
      <c r="D123" s="35"/>
      <c r="E123" s="35"/>
      <c r="F123" s="38"/>
      <c r="G123" s="38"/>
      <c r="H123" s="37"/>
      <c r="I123" s="38"/>
      <c r="J123" s="38"/>
      <c r="L123" s="35"/>
      <c r="M123" s="70"/>
      <c r="N123"/>
      <c r="O123"/>
      <c r="P123"/>
      <c r="Q123"/>
      <c r="R123"/>
      <c r="S123"/>
      <c r="T123"/>
      <c r="U123"/>
    </row>
    <row r="124" spans="3:21" ht="16.5" thickBot="1">
      <c r="C124" s="35"/>
      <c r="D124" s="35"/>
      <c r="E124" s="35"/>
      <c r="F124" s="38"/>
      <c r="G124" s="38"/>
      <c r="H124" s="37"/>
      <c r="I124" s="38"/>
      <c r="J124" s="38"/>
      <c r="L124" s="35" t="s">
        <v>20</v>
      </c>
      <c r="M124" s="71" t="s">
        <v>20</v>
      </c>
      <c r="N124"/>
      <c r="O124"/>
      <c r="P124"/>
      <c r="Q124"/>
      <c r="R124"/>
      <c r="S124"/>
      <c r="T124"/>
      <c r="U124"/>
    </row>
    <row r="125" spans="2:21" ht="18" thickBot="1" thickTop="1">
      <c r="B125" s="46"/>
      <c r="C125" s="47"/>
      <c r="D125" s="47"/>
      <c r="E125" s="47"/>
      <c r="F125" s="48"/>
      <c r="G125" s="48"/>
      <c r="H125" s="49"/>
      <c r="I125" s="48"/>
      <c r="J125" s="77"/>
      <c r="K125" s="56"/>
      <c r="N125"/>
      <c r="O125"/>
      <c r="P125"/>
      <c r="Q125"/>
      <c r="R125"/>
      <c r="S125"/>
      <c r="T125"/>
      <c r="U125"/>
    </row>
    <row r="126" spans="2:21" ht="15" thickBot="1" thickTop="1">
      <c r="B126" s="50"/>
      <c r="C126" s="51"/>
      <c r="D126" s="51"/>
      <c r="E126" s="51"/>
      <c r="F126" s="61" t="s">
        <v>71</v>
      </c>
      <c r="G126" s="61" t="s">
        <v>69</v>
      </c>
      <c r="H126" s="62" t="s">
        <v>92</v>
      </c>
      <c r="I126" s="60" t="s">
        <v>100</v>
      </c>
      <c r="J126" s="76"/>
      <c r="K126" s="56"/>
      <c r="L126" s="35" t="s">
        <v>72</v>
      </c>
      <c r="M126" s="70">
        <f>+F128</f>
        <v>15.652830188679246</v>
      </c>
      <c r="N126"/>
      <c r="O126"/>
      <c r="P126"/>
      <c r="Q126"/>
      <c r="R126"/>
      <c r="S126"/>
      <c r="T126"/>
      <c r="U126"/>
    </row>
    <row r="127" spans="2:21" ht="18.75" thickTop="1">
      <c r="B127" s="50"/>
      <c r="C127" s="52" t="s">
        <v>103</v>
      </c>
      <c r="D127" s="52"/>
      <c r="E127" s="52"/>
      <c r="F127" s="53"/>
      <c r="G127" s="53"/>
      <c r="H127" s="54"/>
      <c r="I127" s="56"/>
      <c r="J127" s="55"/>
      <c r="K127" s="56"/>
      <c r="L127" s="35" t="s">
        <v>73</v>
      </c>
      <c r="M127" s="70">
        <f>+G128</f>
        <v>39.132075471698116</v>
      </c>
      <c r="N127"/>
      <c r="O127"/>
      <c r="P127"/>
      <c r="Q127"/>
      <c r="R127"/>
      <c r="S127"/>
      <c r="T127"/>
      <c r="U127"/>
    </row>
    <row r="128" spans="2:21" ht="18.75">
      <c r="B128" s="50"/>
      <c r="C128" s="35" t="s">
        <v>98</v>
      </c>
      <c r="D128" s="35"/>
      <c r="E128" s="35"/>
      <c r="F128" s="63">
        <f>+(F11+F12+F13+F14+F15+F16+F21+F22+F23+F24+F25+F30+F37+F38+F43+F44+F45+F46+F51+F52+F53+F58+F59+F60+F65+F66+F67+F68+F69+F74+F75+F76+F77+F78+F79+F80+F85+F86+F87+F88+F89+F90+F91+F96+F101+F108+F109+F110+F111+F117+F118+F119+F120)/A120</f>
        <v>15.652830188679246</v>
      </c>
      <c r="G128" s="63">
        <f>+(G11+G12+G13+G14+G15+G16+G21+G22+G23+G24+G25+G30+G37+G38+G43+G44+G45+G46+G51+G52+G53+G58+G59+G60+G65+G66+G67+G68+G69+G74+G75+G76+G77+G78+G79+G80+G85+G86+G87+G88+G89+G90+G91+G96+G101+G108+G109+G110+G111+G117+G118+G119+G120)/A120</f>
        <v>39.132075471698116</v>
      </c>
      <c r="H128" s="37">
        <f>F128/G128</f>
        <v>0.4</v>
      </c>
      <c r="I128" s="38">
        <f>G128-F128</f>
        <v>23.47924528301887</v>
      </c>
      <c r="J128" s="78"/>
      <c r="K128" s="56"/>
      <c r="L128" s="35" t="s">
        <v>99</v>
      </c>
      <c r="M128" s="71">
        <f>+H128</f>
        <v>0.4</v>
      </c>
      <c r="N128"/>
      <c r="O128"/>
      <c r="P128"/>
      <c r="Q128"/>
      <c r="R128"/>
      <c r="S128"/>
      <c r="T128"/>
      <c r="U128"/>
    </row>
    <row r="129" spans="2:21" ht="15.75">
      <c r="B129" s="50"/>
      <c r="C129" s="56"/>
      <c r="D129" s="56"/>
      <c r="E129" s="56"/>
      <c r="F129" s="64"/>
      <c r="G129" s="64"/>
      <c r="H129" s="65"/>
      <c r="I129" s="66"/>
      <c r="J129" s="79"/>
      <c r="K129" s="56"/>
      <c r="L129" s="35" t="s">
        <v>74</v>
      </c>
      <c r="M129" s="70">
        <f>+I128</f>
        <v>23.47924528301887</v>
      </c>
      <c r="N129"/>
      <c r="O129"/>
      <c r="P129"/>
      <c r="Q129"/>
      <c r="R129"/>
      <c r="S129"/>
      <c r="T129"/>
      <c r="U129"/>
    </row>
    <row r="130" spans="2:21" ht="13.5" thickBot="1">
      <c r="B130" s="57"/>
      <c r="C130" s="58"/>
      <c r="D130" s="58"/>
      <c r="E130" s="58"/>
      <c r="F130" s="58"/>
      <c r="G130" s="58"/>
      <c r="H130" s="58"/>
      <c r="I130" s="58"/>
      <c r="J130" s="59"/>
      <c r="K130" s="56"/>
      <c r="L130" s="69" t="s">
        <v>20</v>
      </c>
      <c r="M130" s="72" t="s">
        <v>20</v>
      </c>
      <c r="N130"/>
      <c r="O130"/>
      <c r="P130"/>
      <c r="Q130"/>
      <c r="R130"/>
      <c r="S130"/>
      <c r="T130"/>
      <c r="U130"/>
    </row>
    <row r="131" spans="7:21" ht="13.5" thickTop="1">
      <c r="G131" s="27" t="s">
        <v>20</v>
      </c>
      <c r="L131" s="69" t="s">
        <v>20</v>
      </c>
      <c r="M131" s="72" t="s">
        <v>20</v>
      </c>
      <c r="N131"/>
      <c r="O131"/>
      <c r="P131"/>
      <c r="Q131"/>
      <c r="R131"/>
      <c r="S131"/>
      <c r="T131"/>
      <c r="U131"/>
    </row>
    <row r="132" spans="6:21" ht="12.75">
      <c r="F132" s="31"/>
      <c r="G132" s="31"/>
      <c r="L132" s="69" t="s">
        <v>20</v>
      </c>
      <c r="M132" s="73" t="s">
        <v>20</v>
      </c>
      <c r="N132"/>
      <c r="O132"/>
      <c r="P132"/>
      <c r="Q132"/>
      <c r="R132"/>
      <c r="S132"/>
      <c r="T132"/>
      <c r="U132"/>
    </row>
    <row r="133" spans="6:21" ht="12.75">
      <c r="F133" s="31"/>
      <c r="G133" s="31"/>
      <c r="L133" s="69" t="s">
        <v>20</v>
      </c>
      <c r="M133" s="72" t="s">
        <v>20</v>
      </c>
      <c r="N133"/>
      <c r="O133"/>
      <c r="P133"/>
      <c r="Q133"/>
      <c r="R133"/>
      <c r="S133"/>
      <c r="T133"/>
      <c r="U133"/>
    </row>
    <row r="134" spans="6:13" ht="12.75">
      <c r="F134" s="31"/>
      <c r="L134" s="27" t="s">
        <v>20</v>
      </c>
      <c r="M134" s="27" t="s">
        <v>20</v>
      </c>
    </row>
    <row r="135" spans="6:13" ht="12.75">
      <c r="F135" s="31"/>
      <c r="M135" s="27" t="s">
        <v>20</v>
      </c>
    </row>
    <row r="136" spans="6:13" ht="12.75">
      <c r="F136" s="31"/>
      <c r="M136" s="27" t="s">
        <v>20</v>
      </c>
    </row>
    <row r="137" spans="6:13" ht="12.75">
      <c r="F137" s="31"/>
      <c r="M137" s="27" t="s">
        <v>20</v>
      </c>
    </row>
    <row r="138" ht="12.75">
      <c r="F138" s="31"/>
    </row>
    <row r="139" ht="12.75">
      <c r="F139" s="31"/>
    </row>
    <row r="140" ht="12.75">
      <c r="F140" s="31"/>
    </row>
    <row r="141" ht="12.75">
      <c r="F141" s="31"/>
    </row>
    <row r="142" ht="12.75">
      <c r="F142" s="31"/>
    </row>
    <row r="143" ht="12.75">
      <c r="F143" s="31"/>
    </row>
    <row r="144" ht="12.75">
      <c r="F144" s="31"/>
    </row>
    <row r="145" ht="12.75">
      <c r="F145" s="31"/>
    </row>
    <row r="146" ht="12.75">
      <c r="F146" s="31"/>
    </row>
    <row r="147" ht="12.75">
      <c r="F147" s="31"/>
    </row>
    <row r="148" ht="12.75">
      <c r="F148" s="31"/>
    </row>
    <row r="149" ht="12.75">
      <c r="F149" s="31"/>
    </row>
  </sheetData>
  <sheetProtection/>
  <mergeCells count="4">
    <mergeCell ref="F4:F6"/>
    <mergeCell ref="G4:G6"/>
    <mergeCell ref="H4:H6"/>
    <mergeCell ref="I4:I6"/>
  </mergeCells>
  <printOptions/>
  <pageMargins left="0.787401575" right="0.787401575" top="0.984251969" bottom="0.984251969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8"/>
  <sheetViews>
    <sheetView showGridLines="0" showZeros="0" zoomScale="130" zoomScaleNormal="130" zoomScalePageLayoutView="0" workbookViewId="0" topLeftCell="A1">
      <selection activeCell="A1" sqref="A1"/>
    </sheetView>
  </sheetViews>
  <sheetFormatPr defaultColWidth="11.00390625" defaultRowHeight="12.75"/>
  <cols>
    <col min="1" max="1" width="4.125" style="0" customWidth="1"/>
    <col min="2" max="2" width="7.125" style="0" customWidth="1"/>
    <col min="3" max="3" width="7.125" style="12" customWidth="1"/>
    <col min="4" max="4" width="54.00390625" style="0" customWidth="1"/>
    <col min="5" max="5" width="13.875" style="0" customWidth="1"/>
    <col min="7" max="9" width="56.50390625" style="0" customWidth="1"/>
    <col min="10" max="11" width="10.375" style="0" customWidth="1"/>
    <col min="12" max="12" width="21.50390625" style="0" customWidth="1"/>
    <col min="13" max="13" width="5.875" style="0" customWidth="1"/>
  </cols>
  <sheetData>
    <row r="1" spans="3:6" ht="129.75" customHeight="1">
      <c r="C1" s="11"/>
      <c r="E1" s="107" t="s">
        <v>70</v>
      </c>
      <c r="F1" s="89">
        <f>+(C5+C6+C7+C8+C9+C10+C13+C14+C15+C16+C17+C20)/12</f>
        <v>39.333333333333336</v>
      </c>
    </row>
    <row r="2" spans="3:6" ht="72" customHeight="1">
      <c r="C2" s="16" t="s">
        <v>62</v>
      </c>
      <c r="E2" s="80" t="s">
        <v>20</v>
      </c>
      <c r="F2" s="90"/>
    </row>
    <row r="3" spans="3:7" ht="12.75" customHeight="1">
      <c r="C3" s="11"/>
      <c r="E3" s="87"/>
      <c r="F3" s="90"/>
      <c r="G3" s="88"/>
    </row>
    <row r="4" spans="3:7" ht="12.75" customHeight="1">
      <c r="C4" s="14"/>
      <c r="D4" s="15" t="s">
        <v>9</v>
      </c>
      <c r="E4" s="80" t="s">
        <v>82</v>
      </c>
      <c r="F4" s="84">
        <f>+(C5+C6+C7+C8+C9+C10)/6</f>
        <v>43.833333333333336</v>
      </c>
      <c r="G4" s="88"/>
    </row>
    <row r="5" spans="3:7" ht="12.75" customHeight="1">
      <c r="C5" s="81">
        <v>32</v>
      </c>
      <c r="D5" s="13" t="s">
        <v>101</v>
      </c>
      <c r="E5" s="87"/>
      <c r="F5" s="87"/>
      <c r="G5" s="88"/>
    </row>
    <row r="6" spans="3:7" ht="12.75" customHeight="1">
      <c r="C6" s="81">
        <v>40</v>
      </c>
      <c r="D6" s="13" t="s">
        <v>57</v>
      </c>
      <c r="E6" s="87"/>
      <c r="F6" s="90"/>
      <c r="G6" s="88"/>
    </row>
    <row r="7" spans="3:7" ht="12.75" customHeight="1">
      <c r="C7" s="81">
        <v>39</v>
      </c>
      <c r="D7" s="13" t="s">
        <v>43</v>
      </c>
      <c r="E7" s="88"/>
      <c r="F7" s="90"/>
      <c r="G7" s="88"/>
    </row>
    <row r="8" spans="3:7" ht="12.75" customHeight="1">
      <c r="C8" s="81">
        <v>44</v>
      </c>
      <c r="D8" s="13" t="s">
        <v>44</v>
      </c>
      <c r="E8" s="88"/>
      <c r="F8" s="90"/>
      <c r="G8" s="88"/>
    </row>
    <row r="9" spans="3:7" ht="12.75" customHeight="1">
      <c r="C9" s="81">
        <v>50</v>
      </c>
      <c r="D9" s="13" t="s">
        <v>45</v>
      </c>
      <c r="E9" s="88"/>
      <c r="F9" s="90"/>
      <c r="G9" s="88"/>
    </row>
    <row r="10" spans="3:7" ht="12.75" customHeight="1">
      <c r="C10" s="81">
        <v>58</v>
      </c>
      <c r="D10" s="13" t="s">
        <v>46</v>
      </c>
      <c r="E10" s="88"/>
      <c r="F10" s="90"/>
      <c r="G10" s="88"/>
    </row>
    <row r="11" spans="5:7" ht="12.75" customHeight="1">
      <c r="E11" s="80"/>
      <c r="F11" s="90"/>
      <c r="G11" s="88"/>
    </row>
    <row r="12" spans="3:7" ht="12.75" customHeight="1">
      <c r="C12" s="14"/>
      <c r="D12" s="18" t="s">
        <v>10</v>
      </c>
      <c r="E12" s="80" t="s">
        <v>83</v>
      </c>
      <c r="F12" s="89">
        <f>+(C13+C14+C15+C16+C17)/5</f>
        <v>32</v>
      </c>
      <c r="G12" s="88"/>
    </row>
    <row r="13" spans="2:7" ht="12.75" customHeight="1">
      <c r="B13" s="14"/>
      <c r="C13" s="81">
        <v>29</v>
      </c>
      <c r="D13" s="5" t="s">
        <v>47</v>
      </c>
      <c r="E13" s="87"/>
      <c r="F13" s="87"/>
      <c r="G13" s="88"/>
    </row>
    <row r="14" spans="2:7" ht="12.75" customHeight="1">
      <c r="B14" s="14" t="s">
        <v>68</v>
      </c>
      <c r="C14" s="81">
        <v>25</v>
      </c>
      <c r="D14" s="5" t="s">
        <v>39</v>
      </c>
      <c r="E14" s="87"/>
      <c r="F14" s="87"/>
      <c r="G14" s="88"/>
    </row>
    <row r="15" spans="2:7" ht="12.75" customHeight="1">
      <c r="B15" s="14"/>
      <c r="C15" s="81">
        <v>32</v>
      </c>
      <c r="D15" s="5" t="s">
        <v>12</v>
      </c>
      <c r="E15" s="87"/>
      <c r="F15" s="87"/>
      <c r="G15" s="88"/>
    </row>
    <row r="16" spans="2:7" ht="12.75" customHeight="1">
      <c r="B16" s="14"/>
      <c r="C16" s="81">
        <v>35</v>
      </c>
      <c r="D16" s="5" t="s">
        <v>33</v>
      </c>
      <c r="E16" s="86"/>
      <c r="F16" s="90"/>
      <c r="G16" s="88"/>
    </row>
    <row r="17" spans="2:7" ht="12.75" customHeight="1">
      <c r="B17" s="14"/>
      <c r="C17" s="81">
        <v>39</v>
      </c>
      <c r="D17" s="5" t="s">
        <v>13</v>
      </c>
      <c r="E17" s="80"/>
      <c r="F17" s="80"/>
      <c r="G17" s="88"/>
    </row>
    <row r="18" spans="2:7" ht="12.75" customHeight="1">
      <c r="B18" s="8"/>
      <c r="C18" s="82"/>
      <c r="D18" s="7"/>
      <c r="E18" s="87" t="s">
        <v>20</v>
      </c>
      <c r="F18" s="87"/>
      <c r="G18" s="88"/>
    </row>
    <row r="19" spans="2:7" ht="12.75" customHeight="1">
      <c r="B19" s="4"/>
      <c r="C19" s="83"/>
      <c r="D19" s="18" t="s">
        <v>30</v>
      </c>
      <c r="E19" s="80" t="s">
        <v>84</v>
      </c>
      <c r="F19" s="89">
        <f>+C20/1</f>
        <v>49</v>
      </c>
      <c r="G19" s="88"/>
    </row>
    <row r="20" spans="2:7" ht="12.75" customHeight="1">
      <c r="B20" s="14"/>
      <c r="C20" s="81">
        <v>49</v>
      </c>
      <c r="D20" s="5" t="s">
        <v>34</v>
      </c>
      <c r="E20" s="80"/>
      <c r="F20" s="85"/>
      <c r="G20" s="88"/>
    </row>
    <row r="21" spans="5:6" ht="12.75" customHeight="1">
      <c r="E21" s="14"/>
      <c r="F21" s="14"/>
    </row>
    <row r="22" spans="5:6" ht="12.75" customHeight="1">
      <c r="E22" s="8"/>
      <c r="F22" s="8"/>
    </row>
    <row r="23" ht="12.75" customHeight="1">
      <c r="E23" s="4"/>
    </row>
    <row r="24" spans="5:6" ht="12.75" customHeight="1">
      <c r="E24" s="14"/>
      <c r="F24" s="14"/>
    </row>
    <row r="25" spans="5:6" ht="12.75" customHeight="1">
      <c r="E25" s="4"/>
      <c r="F25" s="4"/>
    </row>
    <row r="26" ht="12.75" customHeight="1">
      <c r="E26" s="4"/>
    </row>
    <row r="27" spans="5:6" ht="12.75" customHeight="1">
      <c r="E27" s="14"/>
      <c r="F27" s="14"/>
    </row>
    <row r="28" spans="3:6" ht="12.75" customHeight="1">
      <c r="C28" s="2"/>
      <c r="D28" s="17"/>
      <c r="E28" s="8" t="s">
        <v>20</v>
      </c>
      <c r="F28" s="8"/>
    </row>
    <row r="29" spans="3:5" ht="12.75" customHeight="1">
      <c r="C29" s="14"/>
      <c r="D29" s="13"/>
      <c r="E29" s="8"/>
    </row>
    <row r="30" spans="3:6" ht="12.75" customHeight="1">
      <c r="C30" s="2"/>
      <c r="D30" s="7"/>
      <c r="E30" s="14"/>
      <c r="F30" s="14"/>
    </row>
    <row r="31" spans="3:6" ht="12.75" customHeight="1">
      <c r="C31" s="2"/>
      <c r="D31" s="17"/>
      <c r="E31" s="8"/>
      <c r="F31" s="8"/>
    </row>
    <row r="32" spans="3:5" ht="12.75" customHeight="1">
      <c r="C32" s="14"/>
      <c r="D32" s="13"/>
      <c r="E32" s="4"/>
    </row>
    <row r="33" spans="3:6" ht="12.75" customHeight="1">
      <c r="C33" s="14"/>
      <c r="D33" s="13"/>
      <c r="E33" s="14"/>
      <c r="F33" s="14"/>
    </row>
    <row r="34" spans="3:6" ht="12.75" customHeight="1">
      <c r="C34" s="14"/>
      <c r="D34" s="13"/>
      <c r="E34" s="14"/>
      <c r="F34" s="14"/>
    </row>
    <row r="35" spans="3:6" ht="12.75" customHeight="1">
      <c r="C35" s="14"/>
      <c r="D35" s="13"/>
      <c r="E35" s="14"/>
      <c r="F35" s="14"/>
    </row>
    <row r="36" spans="3:6" ht="12.75" customHeight="1">
      <c r="C36" s="14"/>
      <c r="D36" s="13"/>
      <c r="E36" s="14"/>
      <c r="F36" s="14"/>
    </row>
    <row r="37" spans="3:6" ht="12.75" customHeight="1">
      <c r="C37" s="14"/>
      <c r="D37" s="13"/>
      <c r="E37" s="14"/>
      <c r="F37" s="14"/>
    </row>
    <row r="38" spans="3:6" ht="12.75" customHeight="1">
      <c r="C38" s="2"/>
      <c r="E38" s="14"/>
      <c r="F38" s="14"/>
    </row>
    <row r="39" spans="3:4" ht="12.75" customHeight="1">
      <c r="C39" s="2"/>
      <c r="D39" s="7"/>
    </row>
    <row r="40" ht="12.75" customHeight="1">
      <c r="C40" s="2"/>
    </row>
    <row r="41" spans="3:6" ht="12.75" customHeight="1">
      <c r="C41" s="2"/>
      <c r="D41" s="13"/>
      <c r="E41" s="14"/>
      <c r="F41" s="14"/>
    </row>
    <row r="42" spans="3:6" ht="12.75" customHeight="1">
      <c r="C42" s="2"/>
      <c r="D42" s="13"/>
      <c r="E42" s="14"/>
      <c r="F42" s="14"/>
    </row>
    <row r="43" spans="3:6" ht="12.75" customHeight="1">
      <c r="C43" s="2"/>
      <c r="D43" s="13"/>
      <c r="E43" s="14"/>
      <c r="F43" s="14"/>
    </row>
    <row r="44" spans="3:6" ht="12.75" customHeight="1">
      <c r="C44" s="2"/>
      <c r="D44" s="13"/>
      <c r="E44" s="14"/>
      <c r="F44" s="14"/>
    </row>
    <row r="45" spans="3:6" ht="12.75" customHeight="1">
      <c r="C45" s="2"/>
      <c r="D45" s="13"/>
      <c r="E45" s="14"/>
      <c r="F45" s="14"/>
    </row>
    <row r="46" spans="3:6" ht="12.75" customHeight="1">
      <c r="C46" s="2"/>
      <c r="D46" s="7"/>
      <c r="E46" s="8"/>
      <c r="F46" s="8"/>
    </row>
    <row r="47" spans="3:5" ht="12.75" customHeight="1">
      <c r="C47" s="2"/>
      <c r="E47" s="4"/>
    </row>
    <row r="48" spans="4:6" ht="12.75" customHeight="1">
      <c r="D48" s="13"/>
      <c r="E48" s="14"/>
      <c r="F48" s="1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hyperlinks>
    <hyperlink ref="E1" r:id="rId1" display="Calcul du PmO"/>
  </hyperlinks>
  <printOptions horizontalCentered="1" verticalCentered="1"/>
  <pageMargins left="0.1968503937007874" right="0.1968503937007874" top="0.11811023622047245" bottom="0.1968503937007874" header="0" footer="0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0"/>
  <sheetViews>
    <sheetView showGridLines="0" showZeros="0" zoomScalePageLayoutView="0" workbookViewId="0" topLeftCell="A1">
      <selection activeCell="A1" sqref="A1"/>
    </sheetView>
  </sheetViews>
  <sheetFormatPr defaultColWidth="11.00390625" defaultRowHeight="12.75"/>
  <cols>
    <col min="1" max="1" width="4.125" style="0" customWidth="1"/>
    <col min="2" max="2" width="7.125" style="0" customWidth="1"/>
    <col min="3" max="3" width="7.125" style="12" customWidth="1"/>
    <col min="4" max="4" width="54.00390625" style="0" customWidth="1"/>
    <col min="5" max="5" width="14.00390625" style="0" customWidth="1"/>
    <col min="7" max="9" width="56.50390625" style="0" customWidth="1"/>
    <col min="10" max="11" width="10.375" style="0" customWidth="1"/>
    <col min="12" max="12" width="21.50390625" style="0" customWidth="1"/>
    <col min="13" max="13" width="5.875" style="0" customWidth="1"/>
  </cols>
  <sheetData>
    <row r="1" ht="129.75" customHeight="1">
      <c r="C1" s="11"/>
    </row>
    <row r="2" spans="3:6" ht="72" customHeight="1">
      <c r="C2" s="16" t="s">
        <v>62</v>
      </c>
      <c r="E2" s="45" t="s">
        <v>70</v>
      </c>
      <c r="F2" s="69">
        <f>(C5+C6+C9+C10+C11+C12+C15+C16+C17+C20+C21+C22+C25+C26+C27+C28+C29+C32+C33+C34+C35+C36+C37+C38)/24</f>
        <v>38.625</v>
      </c>
    </row>
    <row r="3" spans="3:6" ht="12.75" customHeight="1">
      <c r="C3" s="11"/>
      <c r="E3" s="114"/>
      <c r="F3" s="15"/>
    </row>
    <row r="4" spans="3:7" ht="12.75" customHeight="1">
      <c r="C4" s="2"/>
      <c r="D4" s="17" t="s">
        <v>4</v>
      </c>
      <c r="E4" s="116" t="s">
        <v>93</v>
      </c>
      <c r="F4" s="26">
        <f>+(C5+C6)/2</f>
        <v>33.5</v>
      </c>
      <c r="G4" s="112"/>
    </row>
    <row r="5" spans="2:7" ht="12.75" customHeight="1">
      <c r="B5" s="14"/>
      <c r="C5" s="113">
        <v>30</v>
      </c>
      <c r="D5" s="5" t="s">
        <v>14</v>
      </c>
      <c r="E5" s="117"/>
      <c r="F5" s="118"/>
      <c r="G5" s="112"/>
    </row>
    <row r="6" spans="2:7" ht="12.75" customHeight="1">
      <c r="B6" s="14"/>
      <c r="C6" s="113">
        <v>37</v>
      </c>
      <c r="D6" s="5" t="s">
        <v>36</v>
      </c>
      <c r="E6" s="117"/>
      <c r="F6" s="118"/>
      <c r="G6" s="112"/>
    </row>
    <row r="7" spans="2:7" ht="12.75" customHeight="1">
      <c r="B7" s="14"/>
      <c r="C7" s="113"/>
      <c r="D7" s="7"/>
      <c r="E7" s="114"/>
      <c r="F7" s="72"/>
      <c r="G7" s="112"/>
    </row>
    <row r="8" spans="2:7" ht="12.75" customHeight="1">
      <c r="B8" s="14"/>
      <c r="C8" s="113"/>
      <c r="D8" s="17" t="s">
        <v>5</v>
      </c>
      <c r="E8" s="116" t="s">
        <v>94</v>
      </c>
      <c r="F8" s="26">
        <f>(+C9+C10+C11+C12)/4</f>
        <v>40.5</v>
      </c>
      <c r="G8" s="112"/>
    </row>
    <row r="9" spans="2:7" ht="12.75" customHeight="1">
      <c r="B9" s="14"/>
      <c r="C9" s="113">
        <v>36</v>
      </c>
      <c r="D9" s="5" t="s">
        <v>15</v>
      </c>
      <c r="E9" s="117"/>
      <c r="F9" s="118"/>
      <c r="G9" s="112"/>
    </row>
    <row r="10" spans="2:7" ht="12.75" customHeight="1">
      <c r="B10" s="8"/>
      <c r="C10" s="113">
        <v>38</v>
      </c>
      <c r="D10" s="5" t="s">
        <v>37</v>
      </c>
      <c r="E10" s="117"/>
      <c r="F10" s="118"/>
      <c r="G10" s="112"/>
    </row>
    <row r="11" spans="2:7" ht="12.75" customHeight="1">
      <c r="B11" s="4"/>
      <c r="C11" s="113">
        <v>44</v>
      </c>
      <c r="D11" s="5" t="s">
        <v>16</v>
      </c>
      <c r="E11" s="117"/>
      <c r="F11" s="118"/>
      <c r="G11" s="112"/>
    </row>
    <row r="12" spans="2:7" ht="12.75" customHeight="1">
      <c r="B12" s="14"/>
      <c r="C12" s="113">
        <v>44</v>
      </c>
      <c r="D12" s="5" t="s">
        <v>38</v>
      </c>
      <c r="E12" s="117"/>
      <c r="F12" s="118"/>
      <c r="G12" s="112"/>
    </row>
    <row r="13" spans="3:7" ht="12.75" customHeight="1">
      <c r="C13" s="113"/>
      <c r="D13" s="7"/>
      <c r="E13" s="114"/>
      <c r="F13" s="72"/>
      <c r="G13" s="112"/>
    </row>
    <row r="14" spans="3:7" ht="12.75" customHeight="1">
      <c r="C14" s="113"/>
      <c r="D14" s="17" t="s">
        <v>6</v>
      </c>
      <c r="E14" s="116" t="s">
        <v>95</v>
      </c>
      <c r="F14" s="26">
        <f>+(C15+C16+C17)/3</f>
        <v>37.666666666666664</v>
      </c>
      <c r="G14" s="112"/>
    </row>
    <row r="15" spans="3:7" ht="12.75" customHeight="1">
      <c r="C15" s="113">
        <v>32</v>
      </c>
      <c r="D15" s="5" t="s">
        <v>48</v>
      </c>
      <c r="E15" s="117"/>
      <c r="F15" s="118"/>
      <c r="G15" s="112"/>
    </row>
    <row r="16" spans="3:7" ht="12.75" customHeight="1">
      <c r="C16" s="113">
        <v>37</v>
      </c>
      <c r="D16" s="5" t="s">
        <v>17</v>
      </c>
      <c r="E16" s="117"/>
      <c r="F16" s="118"/>
      <c r="G16" s="112"/>
    </row>
    <row r="17" spans="3:7" ht="12.75" customHeight="1">
      <c r="C17" s="113">
        <v>44</v>
      </c>
      <c r="D17" s="5" t="s">
        <v>49</v>
      </c>
      <c r="E17" s="117"/>
      <c r="F17" s="118"/>
      <c r="G17" s="112"/>
    </row>
    <row r="18" spans="3:7" ht="12.75" customHeight="1">
      <c r="C18" s="113"/>
      <c r="D18" s="7"/>
      <c r="E18" s="114"/>
      <c r="F18" s="72"/>
      <c r="G18" s="112"/>
    </row>
    <row r="19" spans="3:7" ht="12.75" customHeight="1">
      <c r="C19" s="113"/>
      <c r="D19" s="17" t="s">
        <v>7</v>
      </c>
      <c r="E19" s="116" t="s">
        <v>96</v>
      </c>
      <c r="F19" s="26">
        <f>+(C20+C21+C22)/3</f>
        <v>37</v>
      </c>
      <c r="G19" s="112"/>
    </row>
    <row r="20" spans="3:7" ht="12.75" customHeight="1">
      <c r="C20" s="113">
        <v>35</v>
      </c>
      <c r="D20" s="5" t="s">
        <v>21</v>
      </c>
      <c r="E20" s="117"/>
      <c r="F20" s="118"/>
      <c r="G20" s="112"/>
    </row>
    <row r="21" spans="3:7" ht="12.75" customHeight="1">
      <c r="C21" s="113">
        <v>38</v>
      </c>
      <c r="D21" s="5" t="s">
        <v>18</v>
      </c>
      <c r="E21" s="117"/>
      <c r="F21" s="118"/>
      <c r="G21" s="112"/>
    </row>
    <row r="22" spans="3:7" ht="12.75" customHeight="1">
      <c r="C22" s="113">
        <v>38</v>
      </c>
      <c r="D22" s="5" t="s">
        <v>22</v>
      </c>
      <c r="E22" s="117"/>
      <c r="F22" s="118"/>
      <c r="G22" s="112"/>
    </row>
    <row r="23" spans="3:7" ht="12.75" customHeight="1">
      <c r="C23" s="113"/>
      <c r="D23" s="7"/>
      <c r="E23" s="114"/>
      <c r="F23" s="72"/>
      <c r="G23" s="112"/>
    </row>
    <row r="24" spans="3:7" ht="12.75" customHeight="1">
      <c r="C24" s="113"/>
      <c r="D24" s="17" t="s">
        <v>8</v>
      </c>
      <c r="E24" s="116" t="s">
        <v>97</v>
      </c>
      <c r="F24" s="26">
        <f>+(C25+C26+C27+C28+C29)/5</f>
        <v>44</v>
      </c>
      <c r="G24" s="112"/>
    </row>
    <row r="25" spans="3:7" ht="12.75" customHeight="1">
      <c r="C25" s="113">
        <v>37</v>
      </c>
      <c r="D25" s="5" t="s">
        <v>23</v>
      </c>
      <c r="E25" s="117"/>
      <c r="F25" s="118"/>
      <c r="G25" s="112"/>
    </row>
    <row r="26" spans="3:7" ht="12.75" customHeight="1">
      <c r="C26" s="113">
        <v>41</v>
      </c>
      <c r="D26" s="5" t="s">
        <v>24</v>
      </c>
      <c r="E26" s="117"/>
      <c r="F26" s="118"/>
      <c r="G26" s="112"/>
    </row>
    <row r="27" spans="3:7" ht="12.75" customHeight="1">
      <c r="C27" s="113">
        <v>44</v>
      </c>
      <c r="D27" s="5" t="s">
        <v>19</v>
      </c>
      <c r="E27" s="117"/>
      <c r="F27" s="118"/>
      <c r="G27" s="112"/>
    </row>
    <row r="28" spans="3:7" ht="12.75" customHeight="1">
      <c r="C28" s="113">
        <v>49</v>
      </c>
      <c r="D28" s="5" t="s">
        <v>25</v>
      </c>
      <c r="E28" s="117"/>
      <c r="F28" s="118"/>
      <c r="G28" s="112"/>
    </row>
    <row r="29" spans="3:7" ht="12.75" customHeight="1">
      <c r="C29" s="113">
        <v>49</v>
      </c>
      <c r="D29" s="5" t="s">
        <v>26</v>
      </c>
      <c r="E29" s="117"/>
      <c r="F29" s="118"/>
      <c r="G29" s="112"/>
    </row>
    <row r="30" spans="3:7" ht="12.75" customHeight="1">
      <c r="C30" s="113"/>
      <c r="D30" s="9"/>
      <c r="E30" s="114"/>
      <c r="F30" s="72"/>
      <c r="G30" s="112"/>
    </row>
    <row r="31" spans="3:7" ht="12.75" customHeight="1">
      <c r="C31" s="113"/>
      <c r="D31" s="17" t="s">
        <v>9</v>
      </c>
      <c r="E31" s="116" t="s">
        <v>82</v>
      </c>
      <c r="F31" s="26">
        <f>+(C32+C33+C34+C35+C36+C37+C38)/7</f>
        <v>36.285714285714285</v>
      </c>
      <c r="G31" s="112"/>
    </row>
    <row r="32" spans="3:7" ht="12.75" customHeight="1">
      <c r="C32" s="113">
        <v>32</v>
      </c>
      <c r="D32" s="5" t="s">
        <v>27</v>
      </c>
      <c r="E32" s="117"/>
      <c r="F32" s="118"/>
      <c r="G32" s="112"/>
    </row>
    <row r="33" spans="3:7" ht="12.75" customHeight="1">
      <c r="C33" s="113">
        <v>32</v>
      </c>
      <c r="D33" s="5" t="s">
        <v>102</v>
      </c>
      <c r="E33" s="117"/>
      <c r="F33" s="118"/>
      <c r="G33" s="112"/>
    </row>
    <row r="34" spans="3:7" ht="12.75" customHeight="1">
      <c r="C34" s="113">
        <v>37</v>
      </c>
      <c r="D34" s="5" t="s">
        <v>0</v>
      </c>
      <c r="E34" s="117"/>
      <c r="F34" s="118"/>
      <c r="G34" s="112"/>
    </row>
    <row r="35" spans="3:6" ht="12.75" customHeight="1">
      <c r="C35" s="113">
        <v>35</v>
      </c>
      <c r="D35" s="5" t="s">
        <v>1</v>
      </c>
      <c r="E35" s="117"/>
      <c r="F35" s="117"/>
    </row>
    <row r="36" spans="3:6" ht="12.75" customHeight="1">
      <c r="C36" s="113">
        <v>38</v>
      </c>
      <c r="D36" s="5" t="s">
        <v>2</v>
      </c>
      <c r="E36" s="117"/>
      <c r="F36" s="117"/>
    </row>
    <row r="37" spans="3:6" ht="12.75" customHeight="1">
      <c r="C37" s="113">
        <v>40</v>
      </c>
      <c r="D37" s="5" t="s">
        <v>3</v>
      </c>
      <c r="E37" s="117"/>
      <c r="F37" s="117"/>
    </row>
    <row r="38" spans="3:6" ht="12.75" customHeight="1">
      <c r="C38" s="113">
        <v>40</v>
      </c>
      <c r="D38" s="5" t="s">
        <v>28</v>
      </c>
      <c r="E38" s="14"/>
      <c r="F38" s="14"/>
    </row>
    <row r="39" spans="3:6" ht="12.75" customHeight="1">
      <c r="C39" s="2"/>
      <c r="D39" s="9"/>
      <c r="E39" s="8"/>
      <c r="F39" s="8"/>
    </row>
    <row r="40" spans="3:5" ht="12.75" customHeight="1">
      <c r="C40" s="2"/>
      <c r="E40" s="4"/>
    </row>
    <row r="41" spans="3:6" ht="12.75" customHeight="1">
      <c r="C41" s="2"/>
      <c r="D41" s="13"/>
      <c r="E41" s="14"/>
      <c r="F41" s="14"/>
    </row>
    <row r="42" spans="3:6" ht="12.75" customHeight="1">
      <c r="C42" s="2"/>
      <c r="D42" s="13"/>
      <c r="E42" s="14"/>
      <c r="F42" s="14"/>
    </row>
    <row r="43" spans="3:6" ht="12.75" customHeight="1">
      <c r="C43" s="2"/>
      <c r="D43" s="13"/>
      <c r="E43" s="14"/>
      <c r="F43" s="14"/>
    </row>
    <row r="44" spans="3:6" ht="12.75" customHeight="1">
      <c r="C44" s="2"/>
      <c r="D44" s="13"/>
      <c r="E44" s="14"/>
      <c r="F44" s="14"/>
    </row>
    <row r="45" spans="3:6" ht="12.75" customHeight="1">
      <c r="C45" s="2"/>
      <c r="D45" s="13"/>
      <c r="E45" s="14"/>
      <c r="F45" s="14"/>
    </row>
    <row r="46" spans="3:6" ht="12.75" customHeight="1">
      <c r="C46" s="2"/>
      <c r="D46" s="13"/>
      <c r="E46" s="14"/>
      <c r="F46" s="14"/>
    </row>
    <row r="47" spans="3:6" ht="12.75" customHeight="1">
      <c r="C47" s="2"/>
      <c r="D47" s="13"/>
      <c r="E47" s="14"/>
      <c r="F47" s="14"/>
    </row>
    <row r="48" spans="4:6" ht="12.75" customHeight="1">
      <c r="D48" s="9"/>
      <c r="E48" s="4"/>
      <c r="F48" s="4"/>
    </row>
    <row r="49" ht="12.75" customHeight="1">
      <c r="E49" s="4"/>
    </row>
    <row r="50" spans="4:6" ht="12.75" customHeight="1">
      <c r="D50" s="13"/>
      <c r="E50" s="14"/>
      <c r="F50" s="14"/>
    </row>
    <row r="51" spans="4:6" ht="12.75" customHeight="1">
      <c r="D51" s="9"/>
      <c r="E51" s="8"/>
      <c r="F51" s="8"/>
    </row>
    <row r="52" ht="12.75" customHeight="1">
      <c r="E52" s="4"/>
    </row>
    <row r="53" spans="4:6" ht="12.75" customHeight="1">
      <c r="D53" s="13"/>
      <c r="E53" s="14"/>
      <c r="F53" s="14"/>
    </row>
    <row r="54" spans="4:6" ht="12.75" customHeight="1">
      <c r="D54" s="10"/>
      <c r="E54" s="8"/>
      <c r="F54" s="8"/>
    </row>
    <row r="55" spans="5:6" ht="12.75" customHeight="1">
      <c r="E55" s="8"/>
      <c r="F55" s="8"/>
    </row>
    <row r="56" spans="4:5" ht="12.75" customHeight="1">
      <c r="D56" s="3"/>
      <c r="E56" s="4"/>
    </row>
    <row r="57" spans="4:6" ht="12.75" customHeight="1">
      <c r="D57" s="13"/>
      <c r="E57" s="14"/>
      <c r="F57" s="14"/>
    </row>
    <row r="58" spans="4:6" ht="13.5">
      <c r="D58" s="13"/>
      <c r="E58" s="14"/>
      <c r="F58" s="14"/>
    </row>
    <row r="59" spans="4:6" ht="13.5">
      <c r="D59" s="13"/>
      <c r="E59" s="14"/>
      <c r="F59" s="14"/>
    </row>
    <row r="60" spans="4:6" ht="13.5">
      <c r="D60" s="13"/>
      <c r="E60" s="14"/>
      <c r="F60" s="14"/>
    </row>
  </sheetData>
  <sheetProtection/>
  <hyperlinks>
    <hyperlink ref="E2" r:id="rId1" display="Calcul du PmO"/>
  </hyperlinks>
  <printOptions horizontalCentered="1" verticalCentered="1"/>
  <pageMargins left="0.1968503937007874" right="0.1968503937007874" top="0.11811023622047245" bottom="0.1968503937007874" header="0" footer="0"/>
  <pageSetup orientation="portrait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0"/>
  <sheetViews>
    <sheetView showGridLines="0" showZeros="0" zoomScalePageLayoutView="0" workbookViewId="0" topLeftCell="A1">
      <selection activeCell="A1" sqref="A1"/>
    </sheetView>
  </sheetViews>
  <sheetFormatPr defaultColWidth="11.00390625" defaultRowHeight="12.75"/>
  <cols>
    <col min="1" max="1" width="4.125" style="0" customWidth="1"/>
    <col min="2" max="2" width="7.125" style="0" customWidth="1"/>
    <col min="3" max="3" width="7.125" style="12" customWidth="1"/>
    <col min="4" max="4" width="54.00390625" style="0" customWidth="1"/>
    <col min="5" max="5" width="15.00390625" style="0" customWidth="1"/>
    <col min="7" max="9" width="56.50390625" style="0" customWidth="1"/>
    <col min="10" max="11" width="10.375" style="0" customWidth="1"/>
    <col min="12" max="12" width="21.50390625" style="0" customWidth="1"/>
    <col min="13" max="13" width="5.875" style="0" customWidth="1"/>
  </cols>
  <sheetData>
    <row r="1" spans="3:6" ht="129.75" customHeight="1">
      <c r="C1" s="11"/>
      <c r="E1" s="45" t="s">
        <v>70</v>
      </c>
      <c r="F1" s="89">
        <f>+(C5+C6+C7+C8+C9+C10+C11+C14+C17+C22+C23+C24+C25)/13</f>
        <v>37.30769230769231</v>
      </c>
    </row>
    <row r="2" spans="3:7" ht="72" customHeight="1">
      <c r="C2" s="16" t="s">
        <v>62</v>
      </c>
      <c r="D2" t="s">
        <v>67</v>
      </c>
      <c r="E2" s="90" t="s">
        <v>77</v>
      </c>
      <c r="F2" s="89">
        <f>+(C5+C6+C7+C8+C9+C10+C11+C14+C17)/9</f>
        <v>37.666666666666664</v>
      </c>
      <c r="G2" s="90"/>
    </row>
    <row r="3" spans="3:7" ht="12.75" customHeight="1">
      <c r="C3" s="11"/>
      <c r="E3" s="87"/>
      <c r="F3" s="89"/>
      <c r="G3" s="90"/>
    </row>
    <row r="4" spans="3:7" ht="12.75" customHeight="1">
      <c r="C4" s="2"/>
      <c r="D4" s="17" t="s">
        <v>10</v>
      </c>
      <c r="E4" s="95" t="s">
        <v>76</v>
      </c>
      <c r="F4" s="89">
        <f>+(C5+C6+C7+C8+C9+C10+C11)/7</f>
        <v>39.285714285714285</v>
      </c>
      <c r="G4" s="90"/>
    </row>
    <row r="5" spans="2:7" ht="12.75" customHeight="1">
      <c r="B5" s="14" t="s">
        <v>35</v>
      </c>
      <c r="C5" s="14">
        <v>25</v>
      </c>
      <c r="D5" s="5" t="s">
        <v>40</v>
      </c>
      <c r="E5" s="80"/>
      <c r="F5" s="92"/>
      <c r="G5" s="90"/>
    </row>
    <row r="6" spans="2:7" ht="12.75" customHeight="1">
      <c r="B6" s="14"/>
      <c r="C6" s="14">
        <v>33</v>
      </c>
      <c r="D6" s="5" t="s">
        <v>41</v>
      </c>
      <c r="E6" s="80"/>
      <c r="F6" s="92"/>
      <c r="G6" s="90"/>
    </row>
    <row r="7" spans="2:7" ht="12.75" customHeight="1">
      <c r="B7" s="14"/>
      <c r="C7" s="14">
        <v>37</v>
      </c>
      <c r="D7" s="5" t="s">
        <v>29</v>
      </c>
      <c r="E7" s="80"/>
      <c r="F7" s="92"/>
      <c r="G7" s="90"/>
    </row>
    <row r="8" spans="2:7" ht="12.75" customHeight="1">
      <c r="B8" s="14"/>
      <c r="C8" s="14">
        <v>36</v>
      </c>
      <c r="D8" s="5" t="s">
        <v>63</v>
      </c>
      <c r="E8" s="80"/>
      <c r="F8" s="92"/>
      <c r="G8" s="90"/>
    </row>
    <row r="9" spans="2:7" ht="12.75" customHeight="1">
      <c r="B9" s="14"/>
      <c r="C9" s="14">
        <v>42</v>
      </c>
      <c r="D9" s="5" t="s">
        <v>64</v>
      </c>
      <c r="E9" s="80"/>
      <c r="F9" s="92"/>
      <c r="G9" s="90"/>
    </row>
    <row r="10" spans="2:7" ht="12.75" customHeight="1">
      <c r="B10" s="8"/>
      <c r="C10" s="14">
        <v>44</v>
      </c>
      <c r="D10" s="5" t="s">
        <v>42</v>
      </c>
      <c r="E10" s="80"/>
      <c r="F10" s="92"/>
      <c r="G10" s="90"/>
    </row>
    <row r="11" spans="2:7" ht="12.75" customHeight="1">
      <c r="B11" s="4"/>
      <c r="C11" s="14">
        <v>58</v>
      </c>
      <c r="D11" s="5" t="s">
        <v>65</v>
      </c>
      <c r="E11" s="80"/>
      <c r="F11" s="92"/>
      <c r="G11" s="90"/>
    </row>
    <row r="12" spans="2:7" ht="12.75" customHeight="1">
      <c r="B12" s="14"/>
      <c r="C12" s="2"/>
      <c r="D12" s="9"/>
      <c r="E12" s="91"/>
      <c r="F12" s="93"/>
      <c r="G12" s="90"/>
    </row>
    <row r="13" spans="3:7" ht="12.75" customHeight="1">
      <c r="C13" s="2"/>
      <c r="D13" s="17" t="s">
        <v>31</v>
      </c>
      <c r="E13" s="95" t="s">
        <v>78</v>
      </c>
      <c r="F13" s="89">
        <f>+C14/1</f>
        <v>32</v>
      </c>
      <c r="G13" s="90"/>
    </row>
    <row r="14" spans="3:7" ht="12.75" customHeight="1">
      <c r="C14" s="14">
        <v>32</v>
      </c>
      <c r="D14" s="5" t="s">
        <v>66</v>
      </c>
      <c r="E14" s="80"/>
      <c r="F14" s="92"/>
      <c r="G14" s="90"/>
    </row>
    <row r="15" spans="3:7" ht="12.75" customHeight="1">
      <c r="C15" s="2"/>
      <c r="D15" s="9"/>
      <c r="E15" s="87"/>
      <c r="F15" s="94"/>
      <c r="G15" s="90"/>
    </row>
    <row r="16" spans="3:7" ht="12.75" customHeight="1">
      <c r="C16" s="2"/>
      <c r="D16" s="17" t="s">
        <v>32</v>
      </c>
      <c r="E16" s="95" t="s">
        <v>79</v>
      </c>
      <c r="F16" s="89">
        <f>+C17/1</f>
        <v>32</v>
      </c>
      <c r="G16" s="90"/>
    </row>
    <row r="17" spans="3:7" ht="12.75" customHeight="1">
      <c r="C17" s="14">
        <v>32</v>
      </c>
      <c r="D17" s="5" t="s">
        <v>11</v>
      </c>
      <c r="E17" s="80"/>
      <c r="F17" s="92"/>
      <c r="G17" s="90"/>
    </row>
    <row r="18" spans="3:7" ht="12.75" customHeight="1">
      <c r="C18" s="2"/>
      <c r="D18" s="10"/>
      <c r="E18" s="87"/>
      <c r="F18" s="94"/>
      <c r="G18" s="90"/>
    </row>
    <row r="19" spans="3:7" ht="12.75" customHeight="1">
      <c r="C19" s="2"/>
      <c r="E19" s="87"/>
      <c r="F19" s="94"/>
      <c r="G19" s="90"/>
    </row>
    <row r="20" spans="3:7" ht="12.75" customHeight="1">
      <c r="C20" s="2"/>
      <c r="D20" s="3"/>
      <c r="E20" s="95" t="s">
        <v>79</v>
      </c>
      <c r="F20" s="89">
        <f>+(C22+C23+C24+C25)/4</f>
        <v>36.5</v>
      </c>
      <c r="G20" s="90"/>
    </row>
    <row r="21" spans="3:7" ht="12.75" customHeight="1">
      <c r="C21" s="2"/>
      <c r="E21" s="90"/>
      <c r="F21" s="89"/>
      <c r="G21" s="90"/>
    </row>
    <row r="22" spans="3:7" ht="12.75" customHeight="1">
      <c r="C22" s="14">
        <v>30</v>
      </c>
      <c r="D22" s="5" t="s">
        <v>58</v>
      </c>
      <c r="E22" s="80"/>
      <c r="F22" s="92"/>
      <c r="G22" s="90"/>
    </row>
    <row r="23" spans="3:7" ht="12.75" customHeight="1">
      <c r="C23" s="14">
        <v>36</v>
      </c>
      <c r="D23" s="5" t="s">
        <v>59</v>
      </c>
      <c r="E23" s="80"/>
      <c r="F23" s="92"/>
      <c r="G23" s="90"/>
    </row>
    <row r="24" spans="3:7" ht="12.75" customHeight="1">
      <c r="C24" s="14">
        <v>38</v>
      </c>
      <c r="D24" s="5" t="s">
        <v>60</v>
      </c>
      <c r="E24" s="80"/>
      <c r="F24" s="92"/>
      <c r="G24" s="90"/>
    </row>
    <row r="25" spans="3:7" ht="12.75" customHeight="1">
      <c r="C25" s="14">
        <v>42</v>
      </c>
      <c r="D25" s="5" t="s">
        <v>61</v>
      </c>
      <c r="E25" s="80"/>
      <c r="F25" s="92"/>
      <c r="G25" s="90"/>
    </row>
    <row r="26" spans="3:7" ht="12.75" customHeight="1">
      <c r="C26" s="2"/>
      <c r="E26" s="90"/>
      <c r="F26" s="89"/>
      <c r="G26" s="90"/>
    </row>
    <row r="27" spans="3:7" ht="12.75" customHeight="1">
      <c r="C27" s="2"/>
      <c r="E27" s="90"/>
      <c r="F27" s="89"/>
      <c r="G27" s="90"/>
    </row>
    <row r="28" spans="3:7" ht="12.75" customHeight="1">
      <c r="C28" s="2"/>
      <c r="D28" s="5"/>
      <c r="E28" s="80"/>
      <c r="F28" s="92"/>
      <c r="G28" s="90"/>
    </row>
    <row r="29" spans="3:7" ht="12.75" customHeight="1">
      <c r="C29" s="2"/>
      <c r="D29" s="5"/>
      <c r="E29" s="80"/>
      <c r="F29" s="92"/>
      <c r="G29" s="90"/>
    </row>
    <row r="30" spans="3:7" ht="12.75" customHeight="1">
      <c r="C30" s="2"/>
      <c r="D30" s="9"/>
      <c r="E30" s="87"/>
      <c r="F30" s="94"/>
      <c r="G30" s="90"/>
    </row>
    <row r="31" spans="3:7" ht="12.75" customHeight="1">
      <c r="C31" s="2"/>
      <c r="D31" s="17"/>
      <c r="E31" s="91"/>
      <c r="F31" s="89"/>
      <c r="G31" s="90"/>
    </row>
    <row r="32" spans="3:7" ht="12.75" customHeight="1">
      <c r="C32" s="2"/>
      <c r="D32" s="5"/>
      <c r="E32" s="80"/>
      <c r="F32" s="80"/>
      <c r="G32" s="90"/>
    </row>
    <row r="33" spans="3:7" ht="12.75" customHeight="1">
      <c r="C33" s="2"/>
      <c r="D33" s="5"/>
      <c r="E33" s="80"/>
      <c r="F33" s="80"/>
      <c r="G33" s="90"/>
    </row>
    <row r="34" spans="3:7" ht="12.75" customHeight="1">
      <c r="C34" s="2"/>
      <c r="D34" s="5"/>
      <c r="E34" s="80"/>
      <c r="F34" s="80"/>
      <c r="G34" s="90"/>
    </row>
    <row r="35" spans="3:7" ht="12.75" customHeight="1">
      <c r="C35" s="2"/>
      <c r="D35" s="5"/>
      <c r="E35" s="80"/>
      <c r="F35" s="80"/>
      <c r="G35" s="90"/>
    </row>
    <row r="36" spans="3:7" ht="12.75" customHeight="1">
      <c r="C36" s="2"/>
      <c r="D36" s="5"/>
      <c r="E36" s="80"/>
      <c r="F36" s="80"/>
      <c r="G36" s="90"/>
    </row>
    <row r="37" spans="3:7" ht="12.75" customHeight="1">
      <c r="C37" s="2"/>
      <c r="D37" s="5"/>
      <c r="E37" s="80"/>
      <c r="F37" s="80"/>
      <c r="G37" s="90"/>
    </row>
    <row r="38" spans="3:7" ht="12.75" customHeight="1">
      <c r="C38" s="2"/>
      <c r="D38" s="5"/>
      <c r="E38" s="80"/>
      <c r="F38" s="80"/>
      <c r="G38" s="90"/>
    </row>
    <row r="39" spans="3:7" ht="12.75" customHeight="1">
      <c r="C39" s="2"/>
      <c r="D39" s="9"/>
      <c r="E39" s="87"/>
      <c r="F39" s="87"/>
      <c r="G39" s="90"/>
    </row>
    <row r="40" spans="3:7" ht="12.75" customHeight="1">
      <c r="C40" s="2"/>
      <c r="E40" s="91"/>
      <c r="F40" s="90"/>
      <c r="G40" s="90"/>
    </row>
    <row r="41" spans="3:6" ht="12.75" customHeight="1">
      <c r="C41" s="2"/>
      <c r="D41" s="13"/>
      <c r="E41" s="14"/>
      <c r="F41" s="14"/>
    </row>
    <row r="42" spans="3:6" ht="12.75" customHeight="1">
      <c r="C42" s="2"/>
      <c r="D42" s="13"/>
      <c r="E42" s="14"/>
      <c r="F42" s="14"/>
    </row>
    <row r="43" spans="3:6" ht="12.75" customHeight="1">
      <c r="C43" s="2"/>
      <c r="D43" s="13"/>
      <c r="E43" s="14"/>
      <c r="F43" s="14"/>
    </row>
    <row r="44" spans="3:6" ht="12.75" customHeight="1">
      <c r="C44" s="2"/>
      <c r="D44" s="13"/>
      <c r="E44" s="14"/>
      <c r="F44" s="14"/>
    </row>
    <row r="45" spans="3:6" ht="12.75" customHeight="1">
      <c r="C45" s="2"/>
      <c r="D45" s="13"/>
      <c r="E45" s="14"/>
      <c r="F45" s="14"/>
    </row>
    <row r="46" spans="3:6" ht="12.75" customHeight="1">
      <c r="C46" s="2"/>
      <c r="D46" s="13"/>
      <c r="E46" s="14"/>
      <c r="F46" s="14"/>
    </row>
    <row r="47" spans="3:6" ht="12.75" customHeight="1">
      <c r="C47" s="2"/>
      <c r="D47" s="13"/>
      <c r="E47" s="14"/>
      <c r="F47" s="14"/>
    </row>
    <row r="48" spans="4:6" ht="12.75" customHeight="1">
      <c r="D48" s="9"/>
      <c r="E48" s="4"/>
      <c r="F48" s="4"/>
    </row>
    <row r="49" ht="12.75" customHeight="1">
      <c r="E49" s="4"/>
    </row>
    <row r="50" spans="4:6" ht="12.75" customHeight="1">
      <c r="D50" s="13"/>
      <c r="E50" s="14"/>
      <c r="F50" s="14"/>
    </row>
    <row r="51" spans="4:6" ht="12.75" customHeight="1">
      <c r="D51" s="9"/>
      <c r="E51" s="8"/>
      <c r="F51" s="8"/>
    </row>
    <row r="52" ht="12.75" customHeight="1">
      <c r="E52" s="4"/>
    </row>
    <row r="53" spans="4:6" ht="12.75" customHeight="1">
      <c r="D53" s="13"/>
      <c r="E53" s="14"/>
      <c r="F53" s="14"/>
    </row>
    <row r="54" spans="4:6" ht="12.75" customHeight="1">
      <c r="D54" s="10"/>
      <c r="E54" s="8"/>
      <c r="F54" s="8"/>
    </row>
    <row r="55" spans="5:6" ht="12.75" customHeight="1">
      <c r="E55" s="8"/>
      <c r="F55" s="8"/>
    </row>
    <row r="56" spans="4:5" ht="12.75" customHeight="1">
      <c r="D56" s="3"/>
      <c r="E56" s="4"/>
    </row>
    <row r="57" spans="4:6" ht="12.75" customHeight="1">
      <c r="D57" s="13"/>
      <c r="E57" s="14"/>
      <c r="F57" s="14"/>
    </row>
    <row r="58" spans="4:6" ht="13.5">
      <c r="D58" s="13"/>
      <c r="E58" s="14"/>
      <c r="F58" s="14"/>
    </row>
    <row r="59" spans="4:6" ht="13.5">
      <c r="D59" s="13"/>
      <c r="E59" s="14"/>
      <c r="F59" s="14"/>
    </row>
    <row r="60" spans="4:6" ht="13.5">
      <c r="D60" s="13"/>
      <c r="E60" s="14"/>
      <c r="F60" s="14"/>
    </row>
  </sheetData>
  <sheetProtection/>
  <hyperlinks>
    <hyperlink ref="E1" r:id="rId1" display="Calcul du PmO"/>
  </hyperlinks>
  <printOptions horizontalCentered="1" verticalCentered="1"/>
  <pageMargins left="0.1968503937007874" right="0.1968503937007874" top="0.11811023622047245" bottom="0.1968503937007874" header="0" footer="0"/>
  <pageSetup orientation="portrait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8"/>
  <sheetViews>
    <sheetView showGridLines="0" showZeros="0" zoomScalePageLayoutView="0" workbookViewId="0" topLeftCell="A1">
      <selection activeCell="A1" sqref="A1"/>
    </sheetView>
  </sheetViews>
  <sheetFormatPr defaultColWidth="11.00390625" defaultRowHeight="12.75"/>
  <cols>
    <col min="1" max="1" width="4.125" style="0" customWidth="1"/>
    <col min="2" max="2" width="7.125" style="0" customWidth="1"/>
    <col min="3" max="3" width="7.125" style="2" customWidth="1"/>
    <col min="4" max="4" width="54.00390625" style="0" customWidth="1"/>
    <col min="5" max="5" width="14.00390625" style="0" customWidth="1"/>
    <col min="7" max="9" width="56.50390625" style="0" customWidth="1"/>
    <col min="10" max="11" width="10.375" style="0" customWidth="1"/>
    <col min="12" max="12" width="21.50390625" style="0" customWidth="1"/>
    <col min="13" max="13" width="5.875" style="0" customWidth="1"/>
  </cols>
  <sheetData>
    <row r="1" spans="5:7" ht="129.75" customHeight="1">
      <c r="E1" s="45" t="s">
        <v>70</v>
      </c>
      <c r="F1" s="26">
        <f>(+C4+C9+C10+C13)/4</f>
        <v>47.5</v>
      </c>
      <c r="G1" s="108" t="s">
        <v>20</v>
      </c>
    </row>
    <row r="2" spans="2:7" ht="72" customHeight="1">
      <c r="B2" s="25" t="s">
        <v>50</v>
      </c>
      <c r="C2" s="25" t="s">
        <v>51</v>
      </c>
      <c r="E2" s="69" t="s">
        <v>80</v>
      </c>
      <c r="F2" s="96">
        <f>C4/1</f>
        <v>48</v>
      </c>
      <c r="G2" s="19"/>
    </row>
    <row r="3" spans="5:8" ht="12.75" customHeight="1">
      <c r="E3" s="114"/>
      <c r="F3" s="96"/>
      <c r="G3" s="8"/>
      <c r="H3" s="21"/>
    </row>
    <row r="4" spans="2:8" ht="12.75" customHeight="1">
      <c r="B4" s="106">
        <v>5.25</v>
      </c>
      <c r="C4" s="106">
        <v>48</v>
      </c>
      <c r="D4" s="5" t="s">
        <v>52</v>
      </c>
      <c r="E4" s="114"/>
      <c r="F4" s="96"/>
      <c r="G4" s="8"/>
      <c r="H4" s="4"/>
    </row>
    <row r="5" spans="2:8" ht="12.75" customHeight="1">
      <c r="B5" s="104"/>
      <c r="C5" s="104"/>
      <c r="D5" s="5"/>
      <c r="E5" s="114"/>
      <c r="F5" s="115"/>
      <c r="G5" s="8"/>
      <c r="H5" s="4"/>
    </row>
    <row r="6" spans="2:8" ht="12.75" customHeight="1">
      <c r="B6" s="105"/>
      <c r="C6" s="105"/>
      <c r="D6" s="5"/>
      <c r="E6" s="114"/>
      <c r="F6" s="96"/>
      <c r="G6" s="8"/>
      <c r="H6" s="21"/>
    </row>
    <row r="7" spans="2:8" ht="12.75" customHeight="1">
      <c r="B7" s="105"/>
      <c r="C7" s="105"/>
      <c r="D7" s="5"/>
      <c r="E7" s="114" t="s">
        <v>81</v>
      </c>
      <c r="F7" s="96">
        <f>(C9+C10)/2</f>
        <v>45</v>
      </c>
      <c r="G7" s="8"/>
      <c r="H7" s="21"/>
    </row>
    <row r="8" spans="2:8" ht="12.75" customHeight="1">
      <c r="B8" s="105"/>
      <c r="C8" s="105"/>
      <c r="E8" s="8"/>
      <c r="F8" s="96"/>
      <c r="G8" s="8"/>
      <c r="H8" s="21"/>
    </row>
    <row r="9" spans="2:8" ht="12.75" customHeight="1">
      <c r="B9" s="106">
        <v>4.75</v>
      </c>
      <c r="C9" s="106">
        <v>38</v>
      </c>
      <c r="D9" s="5" t="s">
        <v>53</v>
      </c>
      <c r="E9" s="8"/>
      <c r="F9" s="103"/>
      <c r="G9" s="8"/>
      <c r="H9" s="4"/>
    </row>
    <row r="10" spans="2:8" ht="12.75" customHeight="1">
      <c r="B10" s="106">
        <v>5.25</v>
      </c>
      <c r="C10" s="106">
        <v>52</v>
      </c>
      <c r="D10" s="5" t="s">
        <v>54</v>
      </c>
      <c r="E10" s="8"/>
      <c r="F10" s="103"/>
      <c r="G10" s="8"/>
      <c r="H10" s="4"/>
    </row>
    <row r="11" spans="2:8" ht="12.75" customHeight="1">
      <c r="B11" s="21"/>
      <c r="C11" s="21"/>
      <c r="D11" s="5"/>
      <c r="E11" s="8"/>
      <c r="F11" s="103"/>
      <c r="G11" s="8"/>
      <c r="H11" s="21"/>
    </row>
    <row r="12" spans="2:8" ht="12.75" customHeight="1">
      <c r="B12" s="25" t="s">
        <v>50</v>
      </c>
      <c r="C12" s="25" t="s">
        <v>55</v>
      </c>
      <c r="D12" s="5"/>
      <c r="E12" s="8"/>
      <c r="F12" s="103"/>
      <c r="G12" s="8"/>
      <c r="H12" s="4"/>
    </row>
    <row r="13" spans="2:8" ht="12.75" customHeight="1">
      <c r="B13" s="97">
        <v>6.25</v>
      </c>
      <c r="C13" s="97">
        <v>52</v>
      </c>
      <c r="D13" s="5" t="s">
        <v>56</v>
      </c>
      <c r="E13" s="8"/>
      <c r="F13" s="103"/>
      <c r="G13" s="8"/>
      <c r="H13" s="4"/>
    </row>
    <row r="14" spans="2:8" ht="12.75" customHeight="1">
      <c r="B14" s="104"/>
      <c r="C14" s="104"/>
      <c r="E14" s="8"/>
      <c r="F14" s="99"/>
      <c r="G14" s="8"/>
      <c r="H14" s="4"/>
    </row>
    <row r="15" spans="2:8" ht="12.75" customHeight="1">
      <c r="B15" s="104"/>
      <c r="C15" s="104"/>
      <c r="D15" s="5"/>
      <c r="E15" s="8"/>
      <c r="F15" s="99"/>
      <c r="G15" s="8"/>
      <c r="H15" s="4"/>
    </row>
    <row r="16" spans="2:8" ht="12.75" customHeight="1">
      <c r="B16" s="105"/>
      <c r="C16" s="105"/>
      <c r="D16" s="5"/>
      <c r="E16" s="95" t="s">
        <v>20</v>
      </c>
      <c r="F16" s="99" t="s">
        <v>20</v>
      </c>
      <c r="G16" s="8"/>
      <c r="H16" s="4"/>
    </row>
    <row r="17" spans="2:8" ht="12.75" customHeight="1">
      <c r="B17" s="105"/>
      <c r="C17" s="105"/>
      <c r="D17" s="5"/>
      <c r="E17" s="8"/>
      <c r="F17" s="99"/>
      <c r="G17" s="8"/>
      <c r="H17" s="4"/>
    </row>
    <row r="18" spans="2:8" ht="12.75" customHeight="1">
      <c r="B18" s="105"/>
      <c r="C18" s="97" t="s">
        <v>20</v>
      </c>
      <c r="D18" s="5" t="s">
        <v>20</v>
      </c>
      <c r="E18" s="8"/>
      <c r="F18" s="98"/>
      <c r="G18" s="8"/>
      <c r="H18" s="4"/>
    </row>
    <row r="19" spans="2:8" ht="12.75" customHeight="1">
      <c r="B19" s="104"/>
      <c r="C19" s="97" t="s">
        <v>20</v>
      </c>
      <c r="D19" s="1" t="s">
        <v>20</v>
      </c>
      <c r="E19" s="8"/>
      <c r="F19" s="98"/>
      <c r="G19" s="8"/>
      <c r="H19" s="4"/>
    </row>
    <row r="20" spans="2:8" ht="12.75" customHeight="1">
      <c r="B20" s="104"/>
      <c r="C20" s="97" t="s">
        <v>20</v>
      </c>
      <c r="D20" s="5" t="s">
        <v>20</v>
      </c>
      <c r="E20" s="8"/>
      <c r="F20" s="98"/>
      <c r="G20" s="8"/>
      <c r="H20" s="4"/>
    </row>
    <row r="21" spans="2:8" ht="12.75" customHeight="1">
      <c r="B21" s="105"/>
      <c r="C21" s="97" t="s">
        <v>20</v>
      </c>
      <c r="D21" s="1" t="s">
        <v>20</v>
      </c>
      <c r="E21" s="101"/>
      <c r="F21" s="98"/>
      <c r="G21" s="8"/>
      <c r="H21" s="4"/>
    </row>
    <row r="22" spans="2:8" ht="12.75" customHeight="1">
      <c r="B22" s="104"/>
      <c r="C22" s="97" t="s">
        <v>20</v>
      </c>
      <c r="D22" s="5" t="s">
        <v>20</v>
      </c>
      <c r="E22" s="8"/>
      <c r="F22" s="98"/>
      <c r="G22" s="8"/>
      <c r="H22" s="4"/>
    </row>
    <row r="23" spans="2:8" ht="12.75" customHeight="1">
      <c r="B23" s="104"/>
      <c r="C23" s="97" t="s">
        <v>20</v>
      </c>
      <c r="D23" s="1" t="s">
        <v>20</v>
      </c>
      <c r="E23" s="8"/>
      <c r="F23" s="102"/>
      <c r="G23" s="8"/>
      <c r="H23" s="8"/>
    </row>
    <row r="24" spans="2:8" ht="12.75" customHeight="1">
      <c r="B24" s="104"/>
      <c r="C24" s="97" t="s">
        <v>20</v>
      </c>
      <c r="D24" s="5" t="s">
        <v>20</v>
      </c>
      <c r="E24" s="101"/>
      <c r="F24" s="69"/>
      <c r="G24" s="8"/>
      <c r="H24" s="8"/>
    </row>
    <row r="25" spans="2:8" ht="12.75" customHeight="1">
      <c r="B25" s="104"/>
      <c r="C25" s="97" t="s">
        <v>20</v>
      </c>
      <c r="D25" s="1" t="s">
        <v>20</v>
      </c>
      <c r="E25" s="8"/>
      <c r="F25" s="69"/>
      <c r="G25" s="8"/>
      <c r="H25" s="8"/>
    </row>
    <row r="26" spans="2:8" ht="12.75" customHeight="1">
      <c r="B26" s="105"/>
      <c r="C26" s="97" t="s">
        <v>20</v>
      </c>
      <c r="D26" s="5" t="s">
        <v>20</v>
      </c>
      <c r="E26" s="8"/>
      <c r="F26" s="100"/>
      <c r="G26" s="20"/>
      <c r="H26" s="8"/>
    </row>
    <row r="27" spans="2:8" ht="12.75" customHeight="1">
      <c r="B27" s="105"/>
      <c r="C27" s="97" t="s">
        <v>20</v>
      </c>
      <c r="D27" s="1" t="s">
        <v>20</v>
      </c>
      <c r="E27" s="101"/>
      <c r="F27" s="69"/>
      <c r="G27" s="20"/>
      <c r="H27" s="8"/>
    </row>
    <row r="28" spans="2:8" ht="12.75" customHeight="1">
      <c r="B28" s="105"/>
      <c r="C28" s="97" t="s">
        <v>20</v>
      </c>
      <c r="D28" s="5" t="s">
        <v>20</v>
      </c>
      <c r="E28" s="8" t="s">
        <v>20</v>
      </c>
      <c r="F28" s="69"/>
      <c r="G28" s="8"/>
      <c r="H28" s="8"/>
    </row>
    <row r="29" spans="2:8" ht="12.75" customHeight="1">
      <c r="B29" s="104"/>
      <c r="C29" s="97"/>
      <c r="D29" s="1" t="s">
        <v>20</v>
      </c>
      <c r="E29" s="8"/>
      <c r="F29" s="100"/>
      <c r="G29" s="20"/>
      <c r="H29" s="8"/>
    </row>
    <row r="30" spans="2:8" ht="12.75" customHeight="1">
      <c r="B30" s="4"/>
      <c r="C30" s="4"/>
      <c r="D30" s="5"/>
      <c r="E30" s="101"/>
      <c r="F30" s="69"/>
      <c r="G30" s="20"/>
      <c r="H30" s="8"/>
    </row>
    <row r="31" spans="2:8" ht="12.75" customHeight="1">
      <c r="B31" s="21"/>
      <c r="C31" s="21"/>
      <c r="D31" s="5"/>
      <c r="E31" s="8"/>
      <c r="F31" s="69"/>
      <c r="G31" s="8"/>
      <c r="H31" s="8"/>
    </row>
    <row r="32" spans="4:8" ht="12.75" customHeight="1">
      <c r="D32" s="5"/>
      <c r="E32" s="8"/>
      <c r="F32" s="100"/>
      <c r="G32" s="20"/>
      <c r="H32" s="8"/>
    </row>
    <row r="33" spans="4:8" ht="12.75" customHeight="1">
      <c r="D33" s="5"/>
      <c r="E33" s="101"/>
      <c r="F33" s="69"/>
      <c r="G33" s="20"/>
      <c r="H33" s="8"/>
    </row>
    <row r="34" spans="4:8" ht="12.75" customHeight="1">
      <c r="D34" s="5"/>
      <c r="E34" s="101"/>
      <c r="F34" s="69"/>
      <c r="G34" s="8"/>
      <c r="H34" s="8"/>
    </row>
    <row r="35" spans="4:8" ht="12.75" customHeight="1">
      <c r="D35" s="5"/>
      <c r="E35" s="101"/>
      <c r="F35" s="100"/>
      <c r="G35" s="20"/>
      <c r="H35" s="8"/>
    </row>
    <row r="36" spans="4:8" ht="12.75" customHeight="1">
      <c r="D36" s="5"/>
      <c r="E36" s="101"/>
      <c r="F36" s="69"/>
      <c r="G36" s="20"/>
      <c r="H36" s="8"/>
    </row>
    <row r="37" spans="4:8" ht="12.75" customHeight="1">
      <c r="D37" s="5"/>
      <c r="E37" s="101"/>
      <c r="F37" s="69"/>
      <c r="G37" s="8"/>
      <c r="H37" s="4"/>
    </row>
    <row r="38" spans="5:8" ht="12.75" customHeight="1">
      <c r="E38" s="101"/>
      <c r="F38" s="100"/>
      <c r="G38" s="8"/>
      <c r="H38" s="4"/>
    </row>
    <row r="39" spans="4:8" ht="12.75" customHeight="1">
      <c r="D39" s="7"/>
      <c r="E39" s="19"/>
      <c r="F39" s="100"/>
      <c r="G39" s="20"/>
      <c r="H39" s="21"/>
    </row>
    <row r="40" spans="5:8" ht="12.75" customHeight="1">
      <c r="E40" s="19"/>
      <c r="F40" s="69"/>
      <c r="G40" s="20"/>
      <c r="H40" s="21"/>
    </row>
    <row r="41" spans="4:8" ht="12.75" customHeight="1">
      <c r="D41" s="13"/>
      <c r="E41" s="101"/>
      <c r="F41" s="69"/>
      <c r="G41" s="8"/>
      <c r="H41" s="4"/>
    </row>
    <row r="42" spans="4:8" ht="12.75" customHeight="1">
      <c r="D42" s="13"/>
      <c r="E42" s="101"/>
      <c r="F42" s="100"/>
      <c r="G42" s="8"/>
      <c r="H42" s="21"/>
    </row>
    <row r="43" spans="4:8" ht="12.75" customHeight="1">
      <c r="D43" s="13"/>
      <c r="E43" s="14"/>
      <c r="F43" s="19"/>
      <c r="G43" s="21"/>
      <c r="H43" s="21"/>
    </row>
    <row r="44" spans="4:8" ht="12.75" customHeight="1">
      <c r="D44" s="13"/>
      <c r="E44" s="14"/>
      <c r="F44" s="6"/>
      <c r="G44" s="21"/>
      <c r="H44" s="21"/>
    </row>
    <row r="45" spans="4:8" ht="12.75" customHeight="1">
      <c r="D45" s="13"/>
      <c r="E45" s="14"/>
      <c r="F45" s="7"/>
      <c r="G45" s="21"/>
      <c r="H45" s="21"/>
    </row>
    <row r="46" spans="4:8" ht="12.75" customHeight="1">
      <c r="D46" s="7"/>
      <c r="E46" s="8"/>
      <c r="F46" s="3"/>
      <c r="G46" s="21"/>
      <c r="H46" s="4"/>
    </row>
    <row r="47" spans="5:8" ht="12.75" customHeight="1">
      <c r="E47" s="4"/>
      <c r="F47" s="3"/>
      <c r="G47" s="21"/>
      <c r="H47" s="4"/>
    </row>
    <row r="48" spans="4:8" ht="12.75" customHeight="1">
      <c r="D48" s="13"/>
      <c r="E48" s="14"/>
      <c r="F48" s="3"/>
      <c r="G48" s="21"/>
      <c r="H48" s="4"/>
    </row>
    <row r="49" spans="6:8" ht="12.75" customHeight="1">
      <c r="F49" s="3"/>
      <c r="G49" s="21"/>
      <c r="H49" s="4"/>
    </row>
    <row r="50" spans="6:8" ht="12.75" customHeight="1">
      <c r="F50" s="3"/>
      <c r="G50" s="21"/>
      <c r="H50" s="4"/>
    </row>
    <row r="51" spans="6:8" ht="12.75" customHeight="1">
      <c r="F51" s="3"/>
      <c r="G51" s="21"/>
      <c r="H51" s="4"/>
    </row>
    <row r="52" spans="6:8" ht="12.75" customHeight="1">
      <c r="F52" s="3"/>
      <c r="G52" s="21"/>
      <c r="H52" s="4"/>
    </row>
    <row r="53" spans="6:8" ht="12.75" customHeight="1">
      <c r="F53" s="3"/>
      <c r="G53" s="21"/>
      <c r="H53" s="4"/>
    </row>
    <row r="54" spans="6:8" ht="12.75" customHeight="1">
      <c r="F54" s="3"/>
      <c r="G54" s="21"/>
      <c r="H54" s="4"/>
    </row>
    <row r="55" spans="6:8" ht="12.75" customHeight="1">
      <c r="F55" s="3"/>
      <c r="G55" s="21"/>
      <c r="H55" s="4"/>
    </row>
    <row r="56" spans="6:8" ht="12.75" customHeight="1">
      <c r="F56" s="3"/>
      <c r="G56" s="21"/>
      <c r="H56" s="4"/>
    </row>
    <row r="57" spans="6:8" ht="12.75" customHeight="1">
      <c r="F57" s="3"/>
      <c r="G57" s="21"/>
      <c r="H57" s="4"/>
    </row>
    <row r="58" spans="6:8" ht="15.75">
      <c r="F58" s="22"/>
      <c r="G58" s="23"/>
      <c r="H58" s="24"/>
    </row>
  </sheetData>
  <sheetProtection/>
  <hyperlinks>
    <hyperlink ref="E1" r:id="rId1" display="Calcul du PmO"/>
  </hyperlinks>
  <printOptions horizontalCentered="1" verticalCentered="1"/>
  <pageMargins left="0.1968503937007874" right="0.1968503937007874" top="0.11811023622047245" bottom="0.1968503937007874" header="0" footer="0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Christian Latour</cp:lastModifiedBy>
  <cp:lastPrinted>2017-09-07T13:55:40Z</cp:lastPrinted>
  <dcterms:created xsi:type="dcterms:W3CDTF">2007-09-13T14:32:31Z</dcterms:created>
  <dcterms:modified xsi:type="dcterms:W3CDTF">2024-02-20T18:19:07Z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