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00" yWindow="0" windowWidth="37520" windowHeight="16140" tabRatio="920" activeTab="0"/>
  </bookViews>
  <sheets>
    <sheet name="Calcul CmO et PmO" sheetId="1" r:id="rId1"/>
    <sheet name="Vins Blancs" sheetId="2" r:id="rId2"/>
    <sheet name="Vins Rouges" sheetId="3" r:id="rId3"/>
    <sheet name="Vins Rouges&amp;Rosés" sheetId="4" r:id="rId4"/>
    <sheet name="Vins de Porto" sheetId="5" r:id="rId5"/>
  </sheets>
  <externalReferences>
    <externalReference r:id="rId8"/>
  </externalReferences>
  <definedNames>
    <definedName name="image1">#REF!</definedName>
  </definedNames>
  <calcPr fullCalcOnLoad="1"/>
</workbook>
</file>

<file path=xl/comments1.xml><?xml version="1.0" encoding="utf-8"?>
<comments xmlns="http://schemas.openxmlformats.org/spreadsheetml/2006/main">
  <authors>
    <author>Christian Latour</author>
  </authors>
  <commentList>
    <comment ref="D4" authorId="0">
      <text>
        <r>
          <rPr>
            <b/>
            <sz val="9"/>
            <rFont val="Verdana"/>
            <family val="0"/>
          </rPr>
          <t>Christian Latour:</t>
        </r>
        <r>
          <rPr>
            <sz val="9"/>
            <rFont val="Verdana"/>
            <family val="0"/>
          </rPr>
          <t xml:space="preserve">
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<sst xmlns="http://schemas.openxmlformats.org/spreadsheetml/2006/main" count="247" uniqueCount="107">
  <si>
    <t>Château Bellevue La Forêt Côtes du Frontonnais 2004</t>
  </si>
  <si>
    <t>Les Comtes de Cahors Cahors 2004</t>
  </si>
  <si>
    <t>Bourgogne Passe-tout-grains Prince Philippe Thorin 2006</t>
  </si>
  <si>
    <t>Perrin Réserve Côtes du Rhône 2006</t>
  </si>
  <si>
    <t>ARGENTINE</t>
  </si>
  <si>
    <t>AUSTRALIE</t>
  </si>
  <si>
    <t>CHILI</t>
  </si>
  <si>
    <t>ESPAGNE</t>
  </si>
  <si>
    <t>ÉTATS-UNIS</t>
  </si>
  <si>
    <t>FRANCE</t>
  </si>
  <si>
    <t>ITALIE</t>
  </si>
  <si>
    <t>Vinho regional Alentejano Vinha do Monte 2005</t>
  </si>
  <si>
    <t>Folonari Soave 2006</t>
  </si>
  <si>
    <t>Chardonnay/Sauvignon Fumaio Banfi Toscana i.g.t. 2007</t>
  </si>
  <si>
    <t>Malbec Trapiche Mendoza 2007</t>
  </si>
  <si>
    <t>Shiraz/Cabernet Jacob's Creek South Eastern Australia 2005</t>
  </si>
  <si>
    <t>Shiraz Bin 555 Wyndham Estate South Eastern Australia 2005</t>
  </si>
  <si>
    <t>Shiraz Errazuriz Estate valle de Rapel 2007</t>
  </si>
  <si>
    <t>Garnacha/Tempr. Torrelongares Reserva Carinena 2002</t>
  </si>
  <si>
    <t>Cabernet-Sauvignon Fetzer Valley Oaks Californie 2005</t>
  </si>
  <si>
    <t xml:space="preserve"> </t>
  </si>
  <si>
    <t>Hoya de Cadenas Reserva Utiel-Requena 2003</t>
  </si>
  <si>
    <t>Cabernet-Sauvignon Enate Tinto Somontano 2005</t>
  </si>
  <si>
    <t>Zinfandel Stone Cellars par Beringer Californie 2005</t>
  </si>
  <si>
    <t>Merlot Stone Cellars par Beringer Californie 2005</t>
  </si>
  <si>
    <t>Syrah EXP Toasted Head Californie 2005</t>
  </si>
  <si>
    <t>Pinot noir Mondavi Coastal Central Coast Californie 2006</t>
  </si>
  <si>
    <t>Pinot noir François de Blossac vin pays Jardin de la France 2006</t>
  </si>
  <si>
    <t>Torus Madiran 2004</t>
  </si>
  <si>
    <t>Modello Masi Delle Venezie i.g.t. 2006</t>
  </si>
  <si>
    <t>NOUVELLE-ZÉLANDE</t>
  </si>
  <si>
    <t>MEXIQUE</t>
  </si>
  <si>
    <t>PORTUGAL</t>
  </si>
  <si>
    <t>Pinot gris Santepietre Lamberti Delle Venezie i.g.t. 2006</t>
  </si>
  <si>
    <t>Sauvignon blanc Babich Marlborough 2007</t>
  </si>
  <si>
    <t>* 1000 ml</t>
  </si>
  <si>
    <t>Cab-Sauv/Malbec Equilibrium Finca el Portillo Mendoza 2006</t>
  </si>
  <si>
    <t>Shiraz Deakin Estate Victoria 2005</t>
  </si>
  <si>
    <t>Cabernet-Sauv./Merlot Koonunga Hill Penfolds South Australia 2006</t>
  </si>
  <si>
    <t>Fontana Morella Cerveteri 2006</t>
  </si>
  <si>
    <t>Fontana Morella vino da tavola</t>
  </si>
  <si>
    <t>Merlot Lamberti Santepietre Delle Venezie i.g.t. 2006</t>
  </si>
  <si>
    <t>Ripasso Folonari Valpolicella Superiore Classico 2005</t>
  </si>
  <si>
    <t>Pinot gris Pfaffenheim Alsace 2006</t>
  </si>
  <si>
    <t>Riesling Hugel Alsace 2006</t>
  </si>
  <si>
    <t>Gewurztraminer Hugel Alsace 2006</t>
  </si>
  <si>
    <t>Chablis Joseph Drouhin 2006</t>
  </si>
  <si>
    <t>Soana Monrubio Orvieto 2007</t>
  </si>
  <si>
    <t>Cabernet-Sauvignon Caliterra Reserva valle de Colchagua 2006</t>
  </si>
  <si>
    <t>Merlot Cousino Macul Limited Release Maipo 2006</t>
  </si>
  <si>
    <t>60 ml</t>
  </si>
  <si>
    <t>750  ml</t>
  </si>
  <si>
    <t>Offley Cachucha reserve Porto blanc</t>
  </si>
  <si>
    <t>Offley Rei tawny</t>
  </si>
  <si>
    <t>Offley late bottled vintage 2000</t>
  </si>
  <si>
    <t>500  ml</t>
  </si>
  <si>
    <t>Warre’s Otima Tawny, 10 ans</t>
  </si>
  <si>
    <t>Bourgogne Aligoté Prince Philippe Thorin 2006</t>
  </si>
  <si>
    <t>Listel-Gris Grain de Gris vin de pays Sables du Golfe du Lio</t>
  </si>
  <si>
    <t>Château Bellevue La Forêt Côtes du Frontonnais rosé 2006</t>
  </si>
  <si>
    <t>Roseline Prestige Côtes de Provence rosé 2007</t>
  </si>
  <si>
    <t>Pétale de Rose Côtes de Provence rosé 2007</t>
  </si>
  <si>
    <t>750 ml</t>
  </si>
  <si>
    <t>Fonte al Sole Ruffino Toscana i.g.t. Sangiovese/Merlot 2004</t>
  </si>
  <si>
    <t>Poggio alla Badiola Mazzei Toscana i.g.t. 2006</t>
  </si>
  <si>
    <t>Brolio Chianti Classico 2005</t>
  </si>
  <si>
    <t>Petite Sirah L.A. Cetto Valle de Guadalupe 2005</t>
  </si>
  <si>
    <t>suite</t>
  </si>
  <si>
    <t>1000 ml</t>
  </si>
  <si>
    <t>PmO</t>
  </si>
  <si>
    <t>LISTE DE PRODUIT ET DE PRIX</t>
  </si>
  <si>
    <t>Calcul du PmO</t>
  </si>
  <si>
    <t>CmO</t>
  </si>
  <si>
    <t>Coût moyen offert (CmO) pour la catégorie</t>
  </si>
  <si>
    <t>Prix moyen offert (PmO) pour la catégorie</t>
  </si>
  <si>
    <t>Marge brute moyenne offerte pour la catégorie</t>
  </si>
  <si>
    <t>«Food cost» moyen offert (FCmO) pour la catégorie</t>
  </si>
  <si>
    <t>PmO Vins d'Italie</t>
  </si>
  <si>
    <t>PmO vins Rouges</t>
  </si>
  <si>
    <t>PmO Vins Mexique</t>
  </si>
  <si>
    <t>PmO Vins Portugal</t>
  </si>
  <si>
    <t>PmO Porto blancs</t>
  </si>
  <si>
    <t>PmO Porto rouges</t>
  </si>
  <si>
    <t>PmO France</t>
  </si>
  <si>
    <t>PmO Italie</t>
  </si>
  <si>
    <t>PmO Nouvelle-Zelande</t>
  </si>
  <si>
    <t xml:space="preserve">Coûts des produits vendus </t>
  </si>
  <si>
    <t xml:space="preserve">Prix de vente </t>
  </si>
  <si>
    <t xml:space="preserve">«Wine cost» </t>
  </si>
  <si>
    <t>Marge brute gagnée sur la vente de vins</t>
  </si>
  <si>
    <t>VINS BLANC</t>
  </si>
  <si>
    <t>VINS ROUGE</t>
  </si>
  <si>
    <t>VINS ROSÉS</t>
  </si>
  <si>
    <t>Divers Pays</t>
  </si>
  <si>
    <t>VINS DE PORTO</t>
  </si>
  <si>
    <t>Coût en %</t>
  </si>
  <si>
    <t>PmO Argentine</t>
  </si>
  <si>
    <t>PmO Australie</t>
  </si>
  <si>
    <t>PmO Chili</t>
  </si>
  <si>
    <t>PmO Espagne</t>
  </si>
  <si>
    <t>PmO Etats-Unis</t>
  </si>
  <si>
    <t>CmO — PmO — Coût en % — Marge brute</t>
  </si>
  <si>
    <t>Coût en %  moyen offert pour la catégorie</t>
  </si>
  <si>
    <t>Marge Brute</t>
  </si>
  <si>
    <t>Chardonnay, Collection Privée, France</t>
  </si>
  <si>
    <t>Merlot,  Collection privée,  France</t>
  </si>
  <si>
    <t xml:space="preserve">OFFRE TOTALE </t>
  </si>
</sst>
</file>

<file path=xl/styles.xml><?xml version="1.0" encoding="utf-8"?>
<styleSheet xmlns="http://schemas.openxmlformats.org/spreadsheetml/2006/main">
  <numFmts count="2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quot;$&quot;"/>
    <numFmt numFmtId="173" formatCode="00000"/>
    <numFmt numFmtId="174" formatCode="&quot;Vrai&quot;;&quot;Vrai&quot;;&quot;Faux&quot;"/>
    <numFmt numFmtId="175" formatCode="&quot;Actif&quot;;&quot;Actif&quot;;&quot;Inactif&quot;"/>
    <numFmt numFmtId="176" formatCode="_ * #,##0.00_)\ [$€-1]_ ;_ * \(#,##0.00\)\ [$€-1]_ ;_ * &quot;-&quot;??_)\ [$€-1]_ "/>
    <numFmt numFmtId="177" formatCode="_-* #,##0.00\ &quot;$&quot;_-;_-* #,##0.00\ &quot;$&quot;\-;_-* &quot;-&quot;??\ &quot;$&quot;_-;_-@_-"/>
    <numFmt numFmtId="178" formatCode="_ * #,##0.0_)\ _$_ ;_ * \(#,##0.0\)\ _$_ ;_ * &quot;-&quot;?_)\ _$_ ;_ @_ "/>
  </numFmts>
  <fonts count="84">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i/>
      <sz val="14"/>
      <name val="Times New Roman"/>
      <family val="1"/>
    </font>
    <font>
      <b/>
      <sz val="20"/>
      <name val="Times New Roman"/>
      <family val="1"/>
    </font>
    <font>
      <sz val="10"/>
      <name val="Arial"/>
      <family val="0"/>
    </font>
    <font>
      <b/>
      <sz val="12"/>
      <name val="Times New Roman"/>
      <family val="1"/>
    </font>
    <font>
      <sz val="12"/>
      <name val="Times New Roman"/>
      <family val="1"/>
    </font>
    <font>
      <b/>
      <sz val="14"/>
      <name val="Times New Roman"/>
      <family val="1"/>
    </font>
    <font>
      <sz val="11"/>
      <name val="Arial"/>
      <family val="0"/>
    </font>
    <font>
      <i/>
      <sz val="11"/>
      <color indexed="45"/>
      <name val="Arial"/>
      <family val="0"/>
    </font>
    <font>
      <sz val="9"/>
      <color indexed="23"/>
      <name val="Arial"/>
      <family val="0"/>
    </font>
    <font>
      <b/>
      <sz val="14"/>
      <name val="Arial"/>
      <family val="2"/>
    </font>
    <font>
      <b/>
      <sz val="24"/>
      <name val="Times New Roman"/>
      <family val="1"/>
    </font>
    <font>
      <sz val="9"/>
      <name val="Arial"/>
      <family val="0"/>
    </font>
    <font>
      <sz val="12"/>
      <name val="Arial"/>
      <family val="0"/>
    </font>
    <font>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7"/>
      <name val="Arial"/>
      <family val="0"/>
    </font>
    <font>
      <b/>
      <sz val="10"/>
      <name val="Arial"/>
      <family val="2"/>
    </font>
    <font>
      <b/>
      <u val="singleAccounting"/>
      <sz val="10"/>
      <name val="Arial"/>
      <family val="0"/>
    </font>
    <font>
      <b/>
      <u val="single"/>
      <sz val="10"/>
      <name val="Arial"/>
      <family val="2"/>
    </font>
    <font>
      <b/>
      <u val="single"/>
      <sz val="14"/>
      <name val="Arial"/>
      <family val="0"/>
    </font>
    <font>
      <sz val="11"/>
      <color indexed="17"/>
      <name val="Calibri"/>
      <family val="2"/>
    </font>
    <font>
      <b/>
      <sz val="11"/>
      <color indexed="9"/>
      <name val="Calibri"/>
      <family val="2"/>
    </font>
    <font>
      <b/>
      <u val="single"/>
      <sz val="10"/>
      <color indexed="12"/>
      <name val="Verdana"/>
      <family val="0"/>
    </font>
    <font>
      <b/>
      <u val="singleAccounting"/>
      <sz val="12"/>
      <name val="Arial"/>
      <family val="0"/>
    </font>
    <font>
      <b/>
      <sz val="12"/>
      <name val="Arial"/>
      <family val="2"/>
    </font>
    <font>
      <sz val="9"/>
      <name val="Verdana"/>
      <family val="0"/>
    </font>
    <font>
      <b/>
      <sz val="9"/>
      <name val="Verdana"/>
      <family val="0"/>
    </font>
    <font>
      <sz val="10"/>
      <color indexed="23"/>
      <name val="Arial"/>
      <family val="0"/>
    </font>
    <font>
      <b/>
      <sz val="20"/>
      <name val="Arial"/>
      <family val="0"/>
    </font>
    <font>
      <b/>
      <i/>
      <sz val="10"/>
      <name val="Arial"/>
      <family val="2"/>
    </font>
    <font>
      <b/>
      <sz val="9"/>
      <color indexed="23"/>
      <name val="Arial"/>
      <family val="0"/>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25"/>
      <name val="Calibri"/>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9"/>
      <color indexed="8"/>
      <name val="Arial"/>
      <family val="0"/>
    </font>
    <font>
      <b/>
      <sz val="10"/>
      <color indexed="8"/>
      <name val="Arial"/>
      <family val="0"/>
    </font>
    <font>
      <sz val="9"/>
      <color indexed="8"/>
      <name val="Arial"/>
      <family val="0"/>
    </font>
    <font>
      <b/>
      <sz val="12"/>
      <color indexed="8"/>
      <name val="Times New Roman"/>
      <family val="1"/>
    </font>
    <font>
      <b/>
      <sz val="10"/>
      <color indexed="8"/>
      <name val="Verdana"/>
      <family val="0"/>
    </font>
    <font>
      <b/>
      <sz val="12"/>
      <color indexed="8"/>
      <name val="Arial"/>
      <family val="0"/>
    </font>
    <font>
      <sz val="12"/>
      <color theme="1"/>
      <name val="Calibri"/>
      <family val="2"/>
    </font>
    <font>
      <sz val="12"/>
      <color theme="0"/>
      <name val="Calibri"/>
      <family val="2"/>
    </font>
    <font>
      <sz val="12"/>
      <color rgb="FFFF0000"/>
      <name val="Calibri"/>
      <family val="2"/>
    </font>
    <font>
      <sz val="12"/>
      <color rgb="FF0061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9"/>
      <color theme="1"/>
      <name val="Arial"/>
      <family val="0"/>
    </font>
    <font>
      <b/>
      <sz val="10"/>
      <color theme="1"/>
      <name val="Arial"/>
      <family val="0"/>
    </font>
    <font>
      <sz val="9"/>
      <color theme="1"/>
      <name val="Arial"/>
      <family val="0"/>
    </font>
    <font>
      <b/>
      <sz val="12"/>
      <color theme="1"/>
      <name val="Times New Roman"/>
      <family val="1"/>
    </font>
    <font>
      <b/>
      <sz val="10"/>
      <color theme="1"/>
      <name val="Verdana"/>
      <family val="0"/>
    </font>
    <font>
      <b/>
      <sz val="12"/>
      <color theme="1"/>
      <name val="Arial"/>
      <family val="0"/>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ck"/>
      <right style="thick"/>
      <top style="thick"/>
      <bottom style="thick"/>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49" fontId="14" fillId="0" borderId="0">
      <alignment horizontal="left" vertical="top"/>
      <protection/>
    </xf>
    <xf numFmtId="0" fontId="13" fillId="0" borderId="0">
      <alignment vertical="top"/>
      <protection/>
    </xf>
    <xf numFmtId="0" fontId="1" fillId="0" borderId="0">
      <alignment/>
      <protection/>
    </xf>
    <xf numFmtId="49" fontId="15" fillId="0" borderId="0">
      <alignment horizontal="left" vertical="top"/>
      <protection/>
    </xf>
    <xf numFmtId="49" fontId="18" fillId="0" borderId="0">
      <alignment horizontal="left"/>
      <protection/>
    </xf>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0" applyNumberFormat="0" applyBorder="0" applyAlignment="0" applyProtection="0"/>
    <xf numFmtId="0" fontId="64" fillId="27" borderId="1" applyNumberFormat="0" applyAlignment="0" applyProtection="0"/>
    <xf numFmtId="0" fontId="65" fillId="0" borderId="2" applyNumberFormat="0" applyFill="0" applyAlignment="0" applyProtection="0"/>
    <xf numFmtId="0" fontId="9" fillId="28" borderId="3" applyNumberFormat="0" applyFont="0" applyAlignment="0" applyProtection="0"/>
    <xf numFmtId="0" fontId="66" fillId="29" borderId="1" applyNumberFormat="0" applyAlignment="0" applyProtection="0"/>
    <xf numFmtId="176" fontId="9" fillId="0" borderId="0" applyFont="0" applyFill="0" applyBorder="0" applyAlignment="0" applyProtection="0"/>
    <xf numFmtId="0" fontId="67" fillId="30"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7"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77" fontId="9" fillId="0" borderId="0" applyFont="0" applyFill="0" applyBorder="0" applyAlignment="0" applyProtection="0"/>
    <xf numFmtId="0" fontId="68" fillId="31" borderId="0" applyNumberFormat="0" applyBorder="0" applyAlignment="0" applyProtection="0"/>
    <xf numFmtId="0" fontId="9" fillId="0" borderId="0">
      <alignment/>
      <protection/>
    </xf>
    <xf numFmtId="0" fontId="0" fillId="0" borderId="0">
      <alignment/>
      <protection/>
    </xf>
    <xf numFmtId="0" fontId="9" fillId="0" borderId="0">
      <alignment/>
      <protection/>
    </xf>
    <xf numFmtId="9" fontId="9" fillId="0" borderId="0" applyFont="0" applyFill="0" applyBorder="0" applyAlignment="0" applyProtection="0"/>
    <xf numFmtId="0" fontId="0" fillId="32" borderId="4" applyNumberFormat="0" applyFont="0" applyAlignment="0" applyProtection="0"/>
    <xf numFmtId="0" fontId="30" fillId="33" borderId="0" applyNumberFormat="0" applyBorder="0" applyAlignment="0" applyProtection="0"/>
    <xf numFmtId="0" fontId="69" fillId="27" borderId="5" applyNumberFormat="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22" fillId="0" borderId="7" applyNumberFormat="0" applyFill="0" applyAlignment="0" applyProtection="0"/>
    <xf numFmtId="0" fontId="73" fillId="0" borderId="8" applyNumberFormat="0" applyFill="0" applyAlignment="0" applyProtection="0"/>
    <xf numFmtId="0" fontId="23" fillId="0" borderId="9" applyNumberFormat="0" applyFill="0" applyAlignment="0" applyProtection="0"/>
    <xf numFmtId="0" fontId="74" fillId="0" borderId="10" applyNumberFormat="0" applyFill="0" applyAlignment="0" applyProtection="0"/>
    <xf numFmtId="0" fontId="24" fillId="0" borderId="11" applyNumberFormat="0" applyFill="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75" fillId="0" borderId="12" applyNumberFormat="0" applyFill="0" applyAlignment="0" applyProtection="0"/>
    <xf numFmtId="0" fontId="31" fillId="34" borderId="13" applyNumberFormat="0" applyAlignment="0" applyProtection="0"/>
    <xf numFmtId="0" fontId="76" fillId="35" borderId="14" applyNumberFormat="0" applyAlignment="0" applyProtection="0"/>
  </cellStyleXfs>
  <cellXfs count="124">
    <xf numFmtId="0" fontId="0" fillId="0" borderId="0" xfId="0" applyAlignment="1">
      <alignment/>
    </xf>
    <xf numFmtId="49" fontId="14" fillId="0" borderId="0" xfId="27" applyFont="1">
      <alignment horizontal="left" vertical="top"/>
      <protection/>
    </xf>
    <xf numFmtId="49" fontId="15" fillId="0" borderId="0" xfId="30">
      <alignment horizontal="left" vertical="top"/>
      <protection/>
    </xf>
    <xf numFmtId="0" fontId="7" fillId="0" borderId="0" xfId="0" applyFont="1" applyAlignment="1">
      <alignment/>
    </xf>
    <xf numFmtId="2" fontId="11" fillId="0" borderId="0" xfId="0" applyNumberFormat="1" applyFont="1" applyAlignment="1">
      <alignment horizontal="center"/>
    </xf>
    <xf numFmtId="0" fontId="13" fillId="0" borderId="0" xfId="28">
      <alignment vertical="top"/>
      <protection/>
    </xf>
    <xf numFmtId="0" fontId="8" fillId="0" borderId="0" xfId="0" applyFont="1" applyAlignment="1">
      <alignment/>
    </xf>
    <xf numFmtId="0" fontId="12" fillId="0" borderId="0" xfId="0" applyFont="1" applyAlignment="1">
      <alignment/>
    </xf>
    <xf numFmtId="2" fontId="9" fillId="0" borderId="0" xfId="0" applyNumberFormat="1" applyFont="1" applyAlignment="1">
      <alignment horizontal="center"/>
    </xf>
    <xf numFmtId="0" fontId="12" fillId="0" borderId="0" xfId="0" applyFont="1" applyAlignment="1">
      <alignment horizontal="left"/>
    </xf>
    <xf numFmtId="0" fontId="17" fillId="0" borderId="0" xfId="0" applyFont="1" applyAlignment="1">
      <alignment/>
    </xf>
    <xf numFmtId="0" fontId="0" fillId="0" borderId="0" xfId="0" applyAlignment="1">
      <alignment horizontal="left"/>
    </xf>
    <xf numFmtId="49" fontId="15" fillId="0" borderId="0" xfId="30" applyAlignment="1">
      <alignment horizontal="left"/>
      <protection/>
    </xf>
    <xf numFmtId="0" fontId="13" fillId="0" borderId="0" xfId="0" applyFont="1" applyAlignment="1">
      <alignment vertical="top"/>
    </xf>
    <xf numFmtId="49" fontId="15" fillId="0" borderId="0" xfId="0" applyNumberFormat="1" applyFont="1" applyAlignment="1">
      <alignment horizontal="left" vertical="top"/>
    </xf>
    <xf numFmtId="0" fontId="1" fillId="0" borderId="0" xfId="0" applyFont="1" applyAlignment="1">
      <alignment/>
    </xf>
    <xf numFmtId="49" fontId="18" fillId="0" borderId="0" xfId="31">
      <alignment horizontal="left"/>
      <protection/>
    </xf>
    <xf numFmtId="0" fontId="1" fillId="0" borderId="0" xfId="29">
      <alignment/>
      <protection/>
    </xf>
    <xf numFmtId="0" fontId="1" fillId="0" borderId="0" xfId="29" applyFont="1">
      <alignment/>
      <protection/>
    </xf>
    <xf numFmtId="0" fontId="9" fillId="0" borderId="0" xfId="0" applyFont="1" applyAlignment="1">
      <alignment/>
    </xf>
    <xf numFmtId="2" fontId="9" fillId="0" borderId="0" xfId="0" applyNumberFormat="1" applyFont="1" applyAlignment="1">
      <alignment/>
    </xf>
    <xf numFmtId="2" fontId="19" fillId="0" borderId="0" xfId="0" applyNumberFormat="1" applyFont="1" applyAlignment="1">
      <alignment horizontal="center"/>
    </xf>
    <xf numFmtId="0" fontId="9" fillId="0" borderId="0" xfId="0" applyFont="1" applyBorder="1" applyAlignment="1">
      <alignment/>
    </xf>
    <xf numFmtId="2" fontId="19" fillId="0" borderId="0" xfId="0" applyNumberFormat="1" applyFont="1" applyBorder="1" applyAlignment="1">
      <alignment horizontal="center"/>
    </xf>
    <xf numFmtId="2" fontId="19" fillId="0" borderId="0" xfId="0" applyNumberFormat="1" applyFont="1" applyBorder="1" applyAlignment="1">
      <alignment/>
    </xf>
    <xf numFmtId="49" fontId="18" fillId="0" borderId="0" xfId="31" applyAlignment="1">
      <alignment horizontal="center"/>
      <protection/>
    </xf>
    <xf numFmtId="44" fontId="1" fillId="0" borderId="0" xfId="0" applyNumberFormat="1" applyFont="1" applyAlignment="1">
      <alignment/>
    </xf>
    <xf numFmtId="0" fontId="9" fillId="0" borderId="0" xfId="60">
      <alignment/>
      <protection/>
    </xf>
    <xf numFmtId="0" fontId="25" fillId="0" borderId="0" xfId="60" applyFont="1" applyAlignment="1">
      <alignment horizontal="center"/>
      <protection/>
    </xf>
    <xf numFmtId="0" fontId="26" fillId="0" borderId="0" xfId="60" applyFont="1" applyAlignment="1">
      <alignment horizontal="center"/>
      <protection/>
    </xf>
    <xf numFmtId="0" fontId="16" fillId="0" borderId="0" xfId="60" applyFont="1">
      <alignment/>
      <protection/>
    </xf>
    <xf numFmtId="44" fontId="9" fillId="0" borderId="0" xfId="60" applyNumberFormat="1">
      <alignment/>
      <protection/>
    </xf>
    <xf numFmtId="44" fontId="9" fillId="0" borderId="0" xfId="60" applyNumberFormat="1" applyAlignment="1">
      <alignment horizontal="center"/>
      <protection/>
    </xf>
    <xf numFmtId="10" fontId="9" fillId="0" borderId="0" xfId="60" applyNumberFormat="1">
      <alignment/>
      <protection/>
    </xf>
    <xf numFmtId="0" fontId="9" fillId="0" borderId="0" xfId="60" applyFont="1">
      <alignment/>
      <protection/>
    </xf>
    <xf numFmtId="0" fontId="26" fillId="0" borderId="0" xfId="60" applyFont="1">
      <alignment/>
      <protection/>
    </xf>
    <xf numFmtId="44" fontId="27" fillId="0" borderId="0" xfId="60" applyNumberFormat="1" applyFont="1" applyAlignment="1">
      <alignment horizontal="center"/>
      <protection/>
    </xf>
    <xf numFmtId="10" fontId="28" fillId="0" borderId="0" xfId="60" applyNumberFormat="1" applyFont="1">
      <alignment/>
      <protection/>
    </xf>
    <xf numFmtId="44" fontId="27" fillId="0" borderId="0" xfId="60" applyNumberFormat="1" applyFont="1">
      <alignment/>
      <protection/>
    </xf>
    <xf numFmtId="0" fontId="9" fillId="0" borderId="0" xfId="60" applyNumberFormat="1">
      <alignment/>
      <protection/>
    </xf>
    <xf numFmtId="43" fontId="9" fillId="0" borderId="0" xfId="60" applyNumberFormat="1" applyAlignment="1">
      <alignment horizontal="center"/>
      <protection/>
    </xf>
    <xf numFmtId="0" fontId="9" fillId="0" borderId="0" xfId="60" applyAlignment="1">
      <alignment horizontal="center" vertical="center"/>
      <protection/>
    </xf>
    <xf numFmtId="0" fontId="9" fillId="36" borderId="0" xfId="60" applyFont="1" applyFill="1">
      <alignment/>
      <protection/>
    </xf>
    <xf numFmtId="44" fontId="9" fillId="36" borderId="0" xfId="60" applyNumberFormat="1" applyFont="1" applyFill="1">
      <alignment/>
      <protection/>
    </xf>
    <xf numFmtId="10" fontId="9" fillId="36" borderId="0" xfId="60" applyNumberFormat="1" applyFont="1" applyFill="1">
      <alignment/>
      <protection/>
    </xf>
    <xf numFmtId="0" fontId="32" fillId="0" borderId="0" xfId="52" applyFont="1" applyAlignment="1" applyProtection="1">
      <alignment/>
      <protection/>
    </xf>
    <xf numFmtId="0" fontId="9" fillId="0" borderId="15" xfId="60" applyBorder="1">
      <alignment/>
      <protection/>
    </xf>
    <xf numFmtId="0" fontId="26" fillId="0" borderId="16" xfId="60" applyFont="1" applyBorder="1">
      <alignment/>
      <protection/>
    </xf>
    <xf numFmtId="44" fontId="27" fillId="0" borderId="16" xfId="60" applyNumberFormat="1" applyFont="1" applyBorder="1">
      <alignment/>
      <protection/>
    </xf>
    <xf numFmtId="10" fontId="28" fillId="0" borderId="16" xfId="60" applyNumberFormat="1" applyFont="1" applyBorder="1">
      <alignment/>
      <protection/>
    </xf>
    <xf numFmtId="0" fontId="9" fillId="0" borderId="17" xfId="60" applyBorder="1">
      <alignment/>
      <protection/>
    </xf>
    <xf numFmtId="0" fontId="26" fillId="0" borderId="0" xfId="60" applyFont="1" applyBorder="1">
      <alignment/>
      <protection/>
    </xf>
    <xf numFmtId="0" fontId="29" fillId="0" borderId="0" xfId="60" applyFont="1" applyBorder="1">
      <alignment/>
      <protection/>
    </xf>
    <xf numFmtId="44" fontId="9" fillId="0" borderId="0" xfId="60" applyNumberFormat="1" applyBorder="1">
      <alignment/>
      <protection/>
    </xf>
    <xf numFmtId="10" fontId="9" fillId="0" borderId="0" xfId="60" applyNumberFormat="1" applyBorder="1">
      <alignment/>
      <protection/>
    </xf>
    <xf numFmtId="0" fontId="9" fillId="0" borderId="18" xfId="60" applyBorder="1">
      <alignment/>
      <protection/>
    </xf>
    <xf numFmtId="0" fontId="9" fillId="0" borderId="0" xfId="60" applyBorder="1">
      <alignment/>
      <protection/>
    </xf>
    <xf numFmtId="0" fontId="9" fillId="0" borderId="19" xfId="60" applyBorder="1">
      <alignment/>
      <protection/>
    </xf>
    <xf numFmtId="0" fontId="9" fillId="0" borderId="20" xfId="60" applyBorder="1">
      <alignment/>
      <protection/>
    </xf>
    <xf numFmtId="0" fontId="9" fillId="0" borderId="21" xfId="60" applyBorder="1">
      <alignment/>
      <protection/>
    </xf>
    <xf numFmtId="44" fontId="26" fillId="0" borderId="22" xfId="60" applyNumberFormat="1" applyFont="1" applyBorder="1" applyAlignment="1">
      <alignment horizontal="center"/>
      <protection/>
    </xf>
    <xf numFmtId="44" fontId="26" fillId="0" borderId="23" xfId="60" applyNumberFormat="1" applyFont="1" applyBorder="1" applyAlignment="1">
      <alignment horizontal="center"/>
      <protection/>
    </xf>
    <xf numFmtId="10" fontId="26" fillId="0" borderId="23" xfId="60" applyNumberFormat="1" applyFont="1" applyBorder="1" applyAlignment="1">
      <alignment horizontal="center"/>
      <protection/>
    </xf>
    <xf numFmtId="44" fontId="33" fillId="0" borderId="0" xfId="60" applyNumberFormat="1" applyFont="1" applyBorder="1" applyAlignment="1">
      <alignment horizontal="center"/>
      <protection/>
    </xf>
    <xf numFmtId="44" fontId="34" fillId="0" borderId="0" xfId="60" applyNumberFormat="1" applyFont="1" applyBorder="1" applyAlignment="1">
      <alignment horizontal="center"/>
      <protection/>
    </xf>
    <xf numFmtId="10" fontId="34" fillId="0" borderId="0" xfId="60" applyNumberFormat="1" applyFont="1" applyBorder="1" applyAlignment="1">
      <alignment horizontal="center"/>
      <protection/>
    </xf>
    <xf numFmtId="0" fontId="34" fillId="0" borderId="0" xfId="60" applyFont="1" applyBorder="1" applyAlignment="1">
      <alignment horizontal="center"/>
      <protection/>
    </xf>
    <xf numFmtId="0" fontId="9" fillId="0" borderId="0" xfId="60" applyAlignment="1">
      <alignment horizontal="center"/>
      <protection/>
    </xf>
    <xf numFmtId="0" fontId="19" fillId="0" borderId="0" xfId="60" applyFont="1">
      <alignment/>
      <protection/>
    </xf>
    <xf numFmtId="0" fontId="26" fillId="0" borderId="0" xfId="0" applyFont="1" applyAlignment="1">
      <alignment/>
    </xf>
    <xf numFmtId="44" fontId="26" fillId="0" borderId="0" xfId="60" applyNumberFormat="1" applyFont="1" applyAlignment="1">
      <alignment horizontal="center"/>
      <protection/>
    </xf>
    <xf numFmtId="10" fontId="26" fillId="0" borderId="0" xfId="60" applyNumberFormat="1" applyFont="1" applyAlignment="1">
      <alignment horizontal="center"/>
      <protection/>
    </xf>
    <xf numFmtId="44" fontId="26" fillId="0" borderId="0" xfId="0" applyNumberFormat="1" applyFont="1" applyAlignment="1">
      <alignment horizontal="center"/>
    </xf>
    <xf numFmtId="10" fontId="26" fillId="0" borderId="0" xfId="0" applyNumberFormat="1" applyFont="1" applyAlignment="1">
      <alignment horizontal="center"/>
    </xf>
    <xf numFmtId="0" fontId="26" fillId="0" borderId="0" xfId="60" applyFont="1" applyBorder="1" applyAlignment="1">
      <alignment horizontal="center" vertical="center" wrapText="1"/>
      <protection/>
    </xf>
    <xf numFmtId="0" fontId="1" fillId="0" borderId="0" xfId="0" applyFont="1" applyBorder="1" applyAlignment="1">
      <alignment horizontal="center" vertical="center" wrapText="1"/>
    </xf>
    <xf numFmtId="44" fontId="26" fillId="0" borderId="18" xfId="60" applyNumberFormat="1" applyFont="1" applyBorder="1" applyAlignment="1">
      <alignment horizontal="center"/>
      <protection/>
    </xf>
    <xf numFmtId="44" fontId="27" fillId="0" borderId="24" xfId="60" applyNumberFormat="1" applyFont="1" applyBorder="1">
      <alignment/>
      <protection/>
    </xf>
    <xf numFmtId="44" fontId="33" fillId="0" borderId="18" xfId="60" applyNumberFormat="1" applyFont="1" applyBorder="1" applyAlignment="1">
      <alignment horizontal="center"/>
      <protection/>
    </xf>
    <xf numFmtId="0" fontId="34" fillId="0" borderId="18" xfId="60" applyFont="1" applyBorder="1" applyAlignment="1">
      <alignment horizontal="center"/>
      <protection/>
    </xf>
    <xf numFmtId="49" fontId="77" fillId="0" borderId="0" xfId="0" applyNumberFormat="1" applyFont="1" applyAlignment="1">
      <alignment horizontal="left" vertical="top"/>
    </xf>
    <xf numFmtId="41" fontId="15" fillId="0" borderId="0" xfId="0" applyNumberFormat="1" applyFont="1" applyAlignment="1">
      <alignment horizontal="left" vertical="top"/>
    </xf>
    <xf numFmtId="41" fontId="9" fillId="0" borderId="0" xfId="0" applyNumberFormat="1" applyFont="1" applyAlignment="1">
      <alignment horizontal="center"/>
    </xf>
    <xf numFmtId="41" fontId="0" fillId="0" borderId="0" xfId="0" applyNumberFormat="1" applyAlignment="1">
      <alignment/>
    </xf>
    <xf numFmtId="44" fontId="78" fillId="0" borderId="0" xfId="0" applyNumberFormat="1" applyFont="1" applyAlignment="1">
      <alignment horizontal="left" vertical="top"/>
    </xf>
    <xf numFmtId="49" fontId="79" fillId="0" borderId="0" xfId="0" applyNumberFormat="1" applyFont="1" applyAlignment="1">
      <alignment horizontal="left" vertical="top"/>
    </xf>
    <xf numFmtId="2" fontId="80" fillId="0" borderId="0" xfId="0" applyNumberFormat="1" applyFont="1" applyAlignment="1">
      <alignment horizontal="center"/>
    </xf>
    <xf numFmtId="2" fontId="78" fillId="0" borderId="0" xfId="0" applyNumberFormat="1" applyFont="1" applyAlignment="1">
      <alignment horizontal="center"/>
    </xf>
    <xf numFmtId="0" fontId="81" fillId="0" borderId="0" xfId="0" applyFont="1" applyAlignment="1">
      <alignment/>
    </xf>
    <xf numFmtId="44" fontId="78" fillId="0" borderId="0" xfId="0" applyNumberFormat="1" applyFont="1" applyAlignment="1">
      <alignment/>
    </xf>
    <xf numFmtId="0" fontId="78" fillId="0" borderId="0" xfId="0" applyFont="1" applyAlignment="1">
      <alignment/>
    </xf>
    <xf numFmtId="2" fontId="82" fillId="0" borderId="0" xfId="0" applyNumberFormat="1" applyFont="1" applyAlignment="1">
      <alignment horizontal="center"/>
    </xf>
    <xf numFmtId="44" fontId="77" fillId="0" borderId="0" xfId="0" applyNumberFormat="1" applyFont="1" applyAlignment="1">
      <alignment horizontal="left" vertical="top"/>
    </xf>
    <xf numFmtId="44" fontId="82" fillId="0" borderId="0" xfId="0" applyNumberFormat="1" applyFont="1" applyAlignment="1">
      <alignment horizontal="center"/>
    </xf>
    <xf numFmtId="44" fontId="78" fillId="0" borderId="0" xfId="0" applyNumberFormat="1" applyFont="1" applyAlignment="1">
      <alignment horizontal="center"/>
    </xf>
    <xf numFmtId="2" fontId="78" fillId="0" borderId="0" xfId="0" applyNumberFormat="1" applyFont="1" applyAlignment="1">
      <alignment horizontal="left"/>
    </xf>
    <xf numFmtId="44" fontId="26" fillId="0" borderId="0" xfId="0" applyNumberFormat="1" applyFont="1" applyAlignment="1">
      <alignment/>
    </xf>
    <xf numFmtId="41" fontId="15" fillId="0" borderId="0" xfId="30" applyNumberFormat="1">
      <alignment horizontal="left" vertical="top"/>
      <protection/>
    </xf>
    <xf numFmtId="0" fontId="20" fillId="0" borderId="0" xfId="0" applyFont="1" applyAlignment="1">
      <alignment horizontal="left"/>
    </xf>
    <xf numFmtId="44" fontId="20" fillId="0" borderId="0" xfId="0" applyNumberFormat="1" applyFont="1" applyAlignment="1">
      <alignment horizontal="left"/>
    </xf>
    <xf numFmtId="0" fontId="20" fillId="0" borderId="0" xfId="0" applyFont="1" applyAlignment="1">
      <alignment/>
    </xf>
    <xf numFmtId="49" fontId="37" fillId="0" borderId="0" xfId="0" applyNumberFormat="1" applyFont="1" applyAlignment="1">
      <alignment horizontal="left" vertical="top"/>
    </xf>
    <xf numFmtId="0" fontId="9" fillId="0" borderId="0" xfId="0" applyFont="1" applyAlignment="1">
      <alignment horizontal="left"/>
    </xf>
    <xf numFmtId="44" fontId="20" fillId="0" borderId="0" xfId="0" applyNumberFormat="1" applyFont="1" applyAlignment="1">
      <alignment/>
    </xf>
    <xf numFmtId="41" fontId="11" fillId="0" borderId="0" xfId="0" applyNumberFormat="1" applyFont="1" applyAlignment="1">
      <alignment horizontal="center"/>
    </xf>
    <xf numFmtId="41" fontId="19" fillId="0" borderId="0" xfId="0" applyNumberFormat="1" applyFont="1" applyAlignment="1">
      <alignment horizontal="center"/>
    </xf>
    <xf numFmtId="41" fontId="15" fillId="0" borderId="0" xfId="30" applyNumberFormat="1" applyAlignment="1">
      <alignment horizontal="center" vertical="top"/>
      <protection/>
    </xf>
    <xf numFmtId="49" fontId="32" fillId="0" borderId="0" xfId="52" applyNumberFormat="1" applyFont="1" applyAlignment="1" applyProtection="1">
      <alignment horizontal="left"/>
      <protection/>
    </xf>
    <xf numFmtId="44" fontId="1" fillId="0" borderId="0" xfId="0" applyNumberFormat="1" applyFont="1" applyAlignment="1">
      <alignment horizontal="left"/>
    </xf>
    <xf numFmtId="0" fontId="0" fillId="0" borderId="0" xfId="0" applyBorder="1" applyAlignment="1">
      <alignment horizontal="center" vertical="center" wrapText="1"/>
    </xf>
    <xf numFmtId="0" fontId="38" fillId="0" borderId="0" xfId="60" applyFont="1">
      <alignment/>
      <protection/>
    </xf>
    <xf numFmtId="2" fontId="9" fillId="0" borderId="0" xfId="60" applyNumberFormat="1">
      <alignment/>
      <protection/>
    </xf>
    <xf numFmtId="44" fontId="0" fillId="0" borderId="0" xfId="0" applyNumberFormat="1" applyAlignment="1">
      <alignment/>
    </xf>
    <xf numFmtId="1" fontId="15" fillId="0" borderId="0" xfId="30" applyNumberFormat="1">
      <alignment horizontal="left" vertical="top"/>
      <protection/>
    </xf>
    <xf numFmtId="2" fontId="26" fillId="0" borderId="0" xfId="0" applyNumberFormat="1" applyFont="1" applyAlignment="1">
      <alignment horizontal="center"/>
    </xf>
    <xf numFmtId="44" fontId="39" fillId="0" borderId="0" xfId="0" applyNumberFormat="1" applyFont="1" applyAlignment="1">
      <alignment/>
    </xf>
    <xf numFmtId="2" fontId="10" fillId="0" borderId="0" xfId="0" applyNumberFormat="1" applyFont="1" applyAlignment="1">
      <alignment horizontal="center"/>
    </xf>
    <xf numFmtId="49" fontId="40" fillId="0" borderId="0" xfId="0" applyNumberFormat="1" applyFont="1" applyAlignment="1">
      <alignment horizontal="left" vertical="top"/>
    </xf>
    <xf numFmtId="44" fontId="40" fillId="0" borderId="0" xfId="0" applyNumberFormat="1" applyFont="1" applyAlignment="1">
      <alignment horizontal="left" vertical="top"/>
    </xf>
    <xf numFmtId="0" fontId="26" fillId="0" borderId="25" xfId="60" applyFont="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cellXfs>
  <cellStyles count="6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Bon" xfId="45"/>
    <cellStyle name="Calcul" xfId="46"/>
    <cellStyle name="Cellule liée" xfId="47"/>
    <cellStyle name="Commentaire" xfId="48"/>
    <cellStyle name="Entrée" xfId="49"/>
    <cellStyle name="Euro" xfId="50"/>
    <cellStyle name="Insatisfaisant" xfId="51"/>
    <cellStyle name="Hyperlink" xfId="52"/>
    <cellStyle name="Lien hypertexte 2" xfId="53"/>
    <cellStyle name="Followed Hyperlink" xfId="54"/>
    <cellStyle name="Monétaire 2" xfId="55"/>
    <cellStyle name="Monétaire 2 2" xfId="56"/>
    <cellStyle name="Monétaire 3" xfId="57"/>
    <cellStyle name="Monétaire_Exercice de revision numéro 1" xfId="58"/>
    <cellStyle name="Neutre" xfId="59"/>
    <cellStyle name="Normal 2" xfId="60"/>
    <cellStyle name="Normal 2 2" xfId="61"/>
    <cellStyle name="Normal 2 2 2" xfId="62"/>
    <cellStyle name="Pourcentage 2" xfId="63"/>
    <cellStyle name="Remarque" xfId="64"/>
    <cellStyle name="Satisfaisant" xfId="65"/>
    <cellStyle name="Sortie" xfId="66"/>
    <cellStyle name="Texte explicatif" xfId="67"/>
    <cellStyle name="Titre" xfId="68"/>
    <cellStyle name="Titre " xfId="69"/>
    <cellStyle name="Titre 1" xfId="70"/>
    <cellStyle name="Titre 1" xfId="71"/>
    <cellStyle name="Titre 2" xfId="72"/>
    <cellStyle name="Titre 2" xfId="73"/>
    <cellStyle name="Titre 3" xfId="74"/>
    <cellStyle name="Titre 3" xfId="75"/>
    <cellStyle name="Titre 4" xfId="76"/>
    <cellStyle name="Titre 4" xfId="77"/>
    <cellStyle name="Total" xfId="78"/>
    <cellStyle name="Vérification" xfId="79"/>
    <cellStyle name="Vérification de cellule"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 Id="rId3" Type="http://schemas.openxmlformats.org/officeDocument/2006/relationships/image" Target="../media/image10.jpeg" /><Relationship Id="rId4"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2419350</xdr:colOff>
      <xdr:row>0</xdr:row>
      <xdr:rowOff>1438275</xdr:rowOff>
    </xdr:from>
    <xdr:to>
      <xdr:col>3</xdr:col>
      <xdr:colOff>4010025</xdr:colOff>
      <xdr:row>1</xdr:row>
      <xdr:rowOff>28575</xdr:rowOff>
    </xdr:to>
    <xdr:pic>
      <xdr:nvPicPr>
        <xdr:cNvPr id="1" name="Picture 2"/>
        <xdr:cNvPicPr preferRelativeResize="1">
          <a:picLocks noChangeAspect="1"/>
        </xdr:cNvPicPr>
      </xdr:nvPicPr>
      <xdr:blipFill>
        <a:blip r:embed="rId1"/>
        <a:stretch>
          <a:fillRect/>
        </a:stretch>
      </xdr:blipFill>
      <xdr:spPr>
        <a:xfrm>
          <a:off x="3819525" y="1438275"/>
          <a:ext cx="1590675" cy="238125"/>
        </a:xfrm>
        <a:prstGeom prst="rect">
          <a:avLst/>
        </a:prstGeom>
        <a:noFill/>
        <a:ln w="9525" cmpd="sng">
          <a:noFill/>
        </a:ln>
      </xdr:spPr>
    </xdr:pic>
    <xdr:clientData/>
  </xdr:twoCellAnchor>
  <xdr:twoCellAnchor editAs="oneCell">
    <xdr:from>
      <xdr:col>2</xdr:col>
      <xdr:colOff>542925</xdr:colOff>
      <xdr:row>1</xdr:row>
      <xdr:rowOff>685800</xdr:rowOff>
    </xdr:from>
    <xdr:to>
      <xdr:col>3</xdr:col>
      <xdr:colOff>1390650</xdr:colOff>
      <xdr:row>2</xdr:row>
      <xdr:rowOff>28575</xdr:rowOff>
    </xdr:to>
    <xdr:pic>
      <xdr:nvPicPr>
        <xdr:cNvPr id="2" name="Picture 5"/>
        <xdr:cNvPicPr preferRelativeResize="1">
          <a:picLocks noChangeAspect="1"/>
        </xdr:cNvPicPr>
      </xdr:nvPicPr>
      <xdr:blipFill>
        <a:blip r:embed="rId2"/>
        <a:stretch>
          <a:fillRect/>
        </a:stretch>
      </xdr:blipFill>
      <xdr:spPr>
        <a:xfrm>
          <a:off x="1400175" y="2333625"/>
          <a:ext cx="1390650" cy="257175"/>
        </a:xfrm>
        <a:prstGeom prst="rect">
          <a:avLst/>
        </a:prstGeom>
        <a:noFill/>
        <a:ln w="9525" cmpd="sng">
          <a:noFill/>
        </a:ln>
      </xdr:spPr>
    </xdr:pic>
    <xdr:clientData/>
  </xdr:twoCellAnchor>
  <xdr:twoCellAnchor editAs="absolute">
    <xdr:from>
      <xdr:col>3</xdr:col>
      <xdr:colOff>1238250</xdr:colOff>
      <xdr:row>35</xdr:row>
      <xdr:rowOff>152400</xdr:rowOff>
    </xdr:from>
    <xdr:to>
      <xdr:col>3</xdr:col>
      <xdr:colOff>4000500</xdr:colOff>
      <xdr:row>40</xdr:row>
      <xdr:rowOff>9525</xdr:rowOff>
    </xdr:to>
    <xdr:pic>
      <xdr:nvPicPr>
        <xdr:cNvPr id="3" name="Picture 6"/>
        <xdr:cNvPicPr preferRelativeResize="1">
          <a:picLocks noChangeAspect="1"/>
        </xdr:cNvPicPr>
      </xdr:nvPicPr>
      <xdr:blipFill>
        <a:blip r:embed="rId3"/>
        <a:stretch>
          <a:fillRect/>
        </a:stretch>
      </xdr:blipFill>
      <xdr:spPr>
        <a:xfrm>
          <a:off x="2638425" y="8058150"/>
          <a:ext cx="276225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2428875</xdr:colOff>
      <xdr:row>0</xdr:row>
      <xdr:rowOff>1438275</xdr:rowOff>
    </xdr:from>
    <xdr:to>
      <xdr:col>3</xdr:col>
      <xdr:colOff>4019550</xdr:colOff>
      <xdr:row>1</xdr:row>
      <xdr:rowOff>28575</xdr:rowOff>
    </xdr:to>
    <xdr:pic>
      <xdr:nvPicPr>
        <xdr:cNvPr id="1" name="Picture 2"/>
        <xdr:cNvPicPr preferRelativeResize="1">
          <a:picLocks noChangeAspect="1"/>
        </xdr:cNvPicPr>
      </xdr:nvPicPr>
      <xdr:blipFill>
        <a:blip r:embed="rId1"/>
        <a:stretch>
          <a:fillRect/>
        </a:stretch>
      </xdr:blipFill>
      <xdr:spPr>
        <a:xfrm>
          <a:off x="3829050" y="1438275"/>
          <a:ext cx="1590675" cy="238125"/>
        </a:xfrm>
        <a:prstGeom prst="rect">
          <a:avLst/>
        </a:prstGeom>
        <a:noFill/>
        <a:ln w="9525" cmpd="sng">
          <a:noFill/>
        </a:ln>
      </xdr:spPr>
    </xdr:pic>
    <xdr:clientData/>
  </xdr:twoCellAnchor>
  <xdr:twoCellAnchor editAs="oneCell">
    <xdr:from>
      <xdr:col>2</xdr:col>
      <xdr:colOff>523875</xdr:colOff>
      <xdr:row>1</xdr:row>
      <xdr:rowOff>685800</xdr:rowOff>
    </xdr:from>
    <xdr:to>
      <xdr:col>3</xdr:col>
      <xdr:colOff>1371600</xdr:colOff>
      <xdr:row>2</xdr:row>
      <xdr:rowOff>28575</xdr:rowOff>
    </xdr:to>
    <xdr:pic>
      <xdr:nvPicPr>
        <xdr:cNvPr id="2" name="Picture 4"/>
        <xdr:cNvPicPr preferRelativeResize="1">
          <a:picLocks noChangeAspect="1"/>
        </xdr:cNvPicPr>
      </xdr:nvPicPr>
      <xdr:blipFill>
        <a:blip r:embed="rId2"/>
        <a:stretch>
          <a:fillRect/>
        </a:stretch>
      </xdr:blipFill>
      <xdr:spPr>
        <a:xfrm>
          <a:off x="1381125" y="2333625"/>
          <a:ext cx="1390650" cy="257175"/>
        </a:xfrm>
        <a:prstGeom prst="rect">
          <a:avLst/>
        </a:prstGeom>
        <a:noFill/>
        <a:ln w="9525" cmpd="sng">
          <a:noFill/>
        </a:ln>
      </xdr:spPr>
    </xdr:pic>
    <xdr:clientData/>
  </xdr:twoCellAnchor>
  <xdr:twoCellAnchor editAs="absolute">
    <xdr:from>
      <xdr:col>3</xdr:col>
      <xdr:colOff>1028700</xdr:colOff>
      <xdr:row>39</xdr:row>
      <xdr:rowOff>9525</xdr:rowOff>
    </xdr:from>
    <xdr:to>
      <xdr:col>3</xdr:col>
      <xdr:colOff>3962400</xdr:colOff>
      <xdr:row>40</xdr:row>
      <xdr:rowOff>114300</xdr:rowOff>
    </xdr:to>
    <xdr:pic>
      <xdr:nvPicPr>
        <xdr:cNvPr id="3" name="Picture 5"/>
        <xdr:cNvPicPr preferRelativeResize="1">
          <a:picLocks noChangeAspect="1"/>
        </xdr:cNvPicPr>
      </xdr:nvPicPr>
      <xdr:blipFill>
        <a:blip r:embed="rId3"/>
        <a:stretch>
          <a:fillRect/>
        </a:stretch>
      </xdr:blipFill>
      <xdr:spPr>
        <a:xfrm>
          <a:off x="2428875" y="8562975"/>
          <a:ext cx="2933700" cy="266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2438400</xdr:colOff>
      <xdr:row>0</xdr:row>
      <xdr:rowOff>1438275</xdr:rowOff>
    </xdr:from>
    <xdr:to>
      <xdr:col>3</xdr:col>
      <xdr:colOff>4029075</xdr:colOff>
      <xdr:row>1</xdr:row>
      <xdr:rowOff>28575</xdr:rowOff>
    </xdr:to>
    <xdr:pic>
      <xdr:nvPicPr>
        <xdr:cNvPr id="1" name="Picture 2"/>
        <xdr:cNvPicPr preferRelativeResize="1">
          <a:picLocks noChangeAspect="1"/>
        </xdr:cNvPicPr>
      </xdr:nvPicPr>
      <xdr:blipFill>
        <a:blip r:embed="rId1"/>
        <a:stretch>
          <a:fillRect/>
        </a:stretch>
      </xdr:blipFill>
      <xdr:spPr>
        <a:xfrm>
          <a:off x="3838575" y="1438275"/>
          <a:ext cx="1590675" cy="238125"/>
        </a:xfrm>
        <a:prstGeom prst="rect">
          <a:avLst/>
        </a:prstGeom>
        <a:noFill/>
        <a:ln w="9525" cmpd="sng">
          <a:noFill/>
        </a:ln>
      </xdr:spPr>
    </xdr:pic>
    <xdr:clientData/>
  </xdr:twoCellAnchor>
  <xdr:twoCellAnchor editAs="oneCell">
    <xdr:from>
      <xdr:col>2</xdr:col>
      <xdr:colOff>523875</xdr:colOff>
      <xdr:row>1</xdr:row>
      <xdr:rowOff>685800</xdr:rowOff>
    </xdr:from>
    <xdr:to>
      <xdr:col>3</xdr:col>
      <xdr:colOff>1371600</xdr:colOff>
      <xdr:row>2</xdr:row>
      <xdr:rowOff>28575</xdr:rowOff>
    </xdr:to>
    <xdr:pic>
      <xdr:nvPicPr>
        <xdr:cNvPr id="2" name="Picture 3"/>
        <xdr:cNvPicPr preferRelativeResize="1">
          <a:picLocks noChangeAspect="1"/>
        </xdr:cNvPicPr>
      </xdr:nvPicPr>
      <xdr:blipFill>
        <a:blip r:embed="rId2"/>
        <a:stretch>
          <a:fillRect/>
        </a:stretch>
      </xdr:blipFill>
      <xdr:spPr>
        <a:xfrm>
          <a:off x="1381125" y="2333625"/>
          <a:ext cx="1390650" cy="257175"/>
        </a:xfrm>
        <a:prstGeom prst="rect">
          <a:avLst/>
        </a:prstGeom>
        <a:noFill/>
        <a:ln w="9525" cmpd="sng">
          <a:noFill/>
        </a:ln>
      </xdr:spPr>
    </xdr:pic>
    <xdr:clientData/>
  </xdr:twoCellAnchor>
  <xdr:twoCellAnchor editAs="oneCell">
    <xdr:from>
      <xdr:col>2</xdr:col>
      <xdr:colOff>523875</xdr:colOff>
      <xdr:row>18</xdr:row>
      <xdr:rowOff>104775</xdr:rowOff>
    </xdr:from>
    <xdr:to>
      <xdr:col>3</xdr:col>
      <xdr:colOff>1371600</xdr:colOff>
      <xdr:row>20</xdr:row>
      <xdr:rowOff>28575</xdr:rowOff>
    </xdr:to>
    <xdr:pic>
      <xdr:nvPicPr>
        <xdr:cNvPr id="3" name="Picture 5"/>
        <xdr:cNvPicPr preferRelativeResize="1">
          <a:picLocks noChangeAspect="1"/>
        </xdr:cNvPicPr>
      </xdr:nvPicPr>
      <xdr:blipFill>
        <a:blip r:embed="rId3"/>
        <a:stretch>
          <a:fillRect/>
        </a:stretch>
      </xdr:blipFill>
      <xdr:spPr>
        <a:xfrm>
          <a:off x="1381125" y="5257800"/>
          <a:ext cx="1390650" cy="247650"/>
        </a:xfrm>
        <a:prstGeom prst="rect">
          <a:avLst/>
        </a:prstGeom>
        <a:noFill/>
        <a:ln w="9525" cmpd="sng">
          <a:noFill/>
        </a:ln>
      </xdr:spPr>
    </xdr:pic>
    <xdr:clientData/>
  </xdr:twoCellAnchor>
  <xdr:twoCellAnchor editAs="oneCell">
    <xdr:from>
      <xdr:col>3</xdr:col>
      <xdr:colOff>1257300</xdr:colOff>
      <xdr:row>34</xdr:row>
      <xdr:rowOff>85725</xdr:rowOff>
    </xdr:from>
    <xdr:to>
      <xdr:col>3</xdr:col>
      <xdr:colOff>4010025</xdr:colOff>
      <xdr:row>40</xdr:row>
      <xdr:rowOff>9525</xdr:rowOff>
    </xdr:to>
    <xdr:pic>
      <xdr:nvPicPr>
        <xdr:cNvPr id="4" name="Picture 6"/>
        <xdr:cNvPicPr preferRelativeResize="1">
          <a:picLocks noChangeAspect="1"/>
        </xdr:cNvPicPr>
      </xdr:nvPicPr>
      <xdr:blipFill>
        <a:blip r:embed="rId4"/>
        <a:stretch>
          <a:fillRect/>
        </a:stretch>
      </xdr:blipFill>
      <xdr:spPr>
        <a:xfrm>
          <a:off x="2657475" y="7829550"/>
          <a:ext cx="275272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xdr:row>
      <xdr:rowOff>685800</xdr:rowOff>
    </xdr:from>
    <xdr:to>
      <xdr:col>3</xdr:col>
      <xdr:colOff>2419350</xdr:colOff>
      <xdr:row>2</xdr:row>
      <xdr:rowOff>28575</xdr:rowOff>
    </xdr:to>
    <xdr:pic>
      <xdr:nvPicPr>
        <xdr:cNvPr id="1" name="Picture 7"/>
        <xdr:cNvPicPr preferRelativeResize="1">
          <a:picLocks noChangeAspect="1"/>
        </xdr:cNvPicPr>
      </xdr:nvPicPr>
      <xdr:blipFill>
        <a:blip r:embed="rId1"/>
        <a:stretch>
          <a:fillRect/>
        </a:stretch>
      </xdr:blipFill>
      <xdr:spPr>
        <a:xfrm>
          <a:off x="1400175" y="2333625"/>
          <a:ext cx="2419350" cy="257175"/>
        </a:xfrm>
        <a:prstGeom prst="rect">
          <a:avLst/>
        </a:prstGeom>
        <a:noFill/>
        <a:ln w="9525" cmpd="sng">
          <a:noFill/>
        </a:ln>
      </xdr:spPr>
    </xdr:pic>
    <xdr:clientData/>
  </xdr:twoCellAnchor>
  <xdr:twoCellAnchor editAs="oneCell">
    <xdr:from>
      <xdr:col>2</xdr:col>
      <xdr:colOff>542925</xdr:colOff>
      <xdr:row>5</xdr:row>
      <xdr:rowOff>104775</xdr:rowOff>
    </xdr:from>
    <xdr:to>
      <xdr:col>3</xdr:col>
      <xdr:colOff>2419350</xdr:colOff>
      <xdr:row>7</xdr:row>
      <xdr:rowOff>28575</xdr:rowOff>
    </xdr:to>
    <xdr:pic>
      <xdr:nvPicPr>
        <xdr:cNvPr id="2" name="Picture 8"/>
        <xdr:cNvPicPr preferRelativeResize="1">
          <a:picLocks noChangeAspect="1"/>
        </xdr:cNvPicPr>
      </xdr:nvPicPr>
      <xdr:blipFill>
        <a:blip r:embed="rId2"/>
        <a:stretch>
          <a:fillRect/>
        </a:stretch>
      </xdr:blipFill>
      <xdr:spPr>
        <a:xfrm>
          <a:off x="1400175" y="3152775"/>
          <a:ext cx="2419350" cy="247650"/>
        </a:xfrm>
        <a:prstGeom prst="rect">
          <a:avLst/>
        </a:prstGeom>
        <a:noFill/>
        <a:ln w="9525" cmpd="sng">
          <a:noFill/>
        </a:ln>
      </xdr:spPr>
    </xdr:pic>
    <xdr:clientData/>
  </xdr:twoCellAnchor>
  <xdr:twoCellAnchor editAs="oneCell">
    <xdr:from>
      <xdr:col>3</xdr:col>
      <xdr:colOff>1219200</xdr:colOff>
      <xdr:row>34</xdr:row>
      <xdr:rowOff>85725</xdr:rowOff>
    </xdr:from>
    <xdr:to>
      <xdr:col>3</xdr:col>
      <xdr:colOff>3981450</xdr:colOff>
      <xdr:row>40</xdr:row>
      <xdr:rowOff>9525</xdr:rowOff>
    </xdr:to>
    <xdr:pic>
      <xdr:nvPicPr>
        <xdr:cNvPr id="3" name="Picture 10"/>
        <xdr:cNvPicPr preferRelativeResize="1">
          <a:picLocks noChangeAspect="1"/>
        </xdr:cNvPicPr>
      </xdr:nvPicPr>
      <xdr:blipFill>
        <a:blip r:embed="rId3"/>
        <a:stretch>
          <a:fillRect/>
        </a:stretch>
      </xdr:blipFill>
      <xdr:spPr>
        <a:xfrm>
          <a:off x="2619375" y="7829550"/>
          <a:ext cx="2762250" cy="895350"/>
        </a:xfrm>
        <a:prstGeom prst="rect">
          <a:avLst/>
        </a:prstGeom>
        <a:noFill/>
        <a:ln w="9525" cmpd="sng">
          <a:noFill/>
        </a:ln>
      </xdr:spPr>
    </xdr:pic>
    <xdr:clientData/>
  </xdr:twoCellAnchor>
  <xdr:twoCellAnchor editAs="oneCell">
    <xdr:from>
      <xdr:col>3</xdr:col>
      <xdr:colOff>2200275</xdr:colOff>
      <xdr:row>0</xdr:row>
      <xdr:rowOff>1438275</xdr:rowOff>
    </xdr:from>
    <xdr:to>
      <xdr:col>3</xdr:col>
      <xdr:colOff>4010025</xdr:colOff>
      <xdr:row>1</xdr:row>
      <xdr:rowOff>28575</xdr:rowOff>
    </xdr:to>
    <xdr:pic>
      <xdr:nvPicPr>
        <xdr:cNvPr id="4" name="Picture 11"/>
        <xdr:cNvPicPr preferRelativeResize="1">
          <a:picLocks noChangeAspect="1"/>
        </xdr:cNvPicPr>
      </xdr:nvPicPr>
      <xdr:blipFill>
        <a:blip r:embed="rId4"/>
        <a:stretch>
          <a:fillRect/>
        </a:stretch>
      </xdr:blipFill>
      <xdr:spPr>
        <a:xfrm>
          <a:off x="3600450" y="1438275"/>
          <a:ext cx="1809750"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233;rici\Hiver%202017\Budget%20et%20indicateurs%20de%20performance%20(430-763-Me)\LE%20755\Budget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alendrier 2017"/>
      <sheetName val="Heures d'opé 2017"/>
      <sheetName val="Achalandage 2017"/>
      <sheetName val="UmA (food) 2017"/>
      <sheetName val="PmO (food) 2017"/>
      <sheetName val="DmA (food) 2017 "/>
      <sheetName val="Demande jour (food)"/>
      <sheetName val="Demande totale (food)  2017"/>
      <sheetName val="UmA (beverage) 2017 (2)"/>
      <sheetName val="PmO (beverage) 2017 (2)"/>
      <sheetName val="DmA (beverage) 2017  (2)"/>
      <sheetName val="Demande jour (beverage) (2)"/>
      <sheetName val="Demande totale (beverage)  2017"/>
      <sheetName val="Le 755 MASTER"/>
      <sheetName val="Calcul CmO et PmO"/>
      <sheetName val="Liste des MP(AS)"/>
      <sheetName val="Ragout de boeuf"/>
      <sheetName val="Entrées_monde"/>
      <sheetName val="Salades et potages"/>
      <sheetName val="Burger et sandwich)"/>
      <sheetName val="Pizza"/>
      <sheetName val="Les saveurs du monde (1)"/>
      <sheetName val="Les saveurs du monde (2)"/>
      <sheetName val="Gâteries"/>
      <sheetName val="Coût marchandises vendues"/>
      <sheetName val="Salaire (F+G) 2"/>
      <sheetName val="F+G Salaires"/>
      <sheetName val="Frais Occupation "/>
      <sheetName val="Amortissement"/>
      <sheetName val="Coûts directs d'exploitation"/>
      <sheetName val="Musique et divertissement"/>
      <sheetName val="Marketing "/>
      <sheetName val="Service publics "/>
      <sheetName val="Frais d'administration "/>
      <sheetName val="Entretien et réparations"/>
      <sheetName val="Frais Financiers"/>
      <sheetName val="Autres revenus"/>
      <sheetName val="Ind. de performance"/>
      <sheetName val="Bilan de départ"/>
      <sheetName val="Cycle comptable"/>
      <sheetName val="Bilan de fermeture (2)"/>
      <sheetName val="Essai - Budget"/>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148"/>
  <sheetViews>
    <sheetView tabSelected="1" workbookViewId="0" topLeftCell="A1">
      <selection activeCell="A1" sqref="A1"/>
    </sheetView>
  </sheetViews>
  <sheetFormatPr defaultColWidth="11.00390625" defaultRowHeight="12.75"/>
  <cols>
    <col min="1" max="1" width="10.75390625" style="27" customWidth="1"/>
    <col min="2" max="2" width="3.75390625" style="27" customWidth="1"/>
    <col min="3" max="3" width="44.00390625" style="27" customWidth="1"/>
    <col min="4" max="4" width="16.125" style="27" customWidth="1"/>
    <col min="5" max="6" width="12.125" style="27" customWidth="1"/>
    <col min="7" max="7" width="16.125" style="27" customWidth="1"/>
    <col min="8" max="8" width="4.25390625" style="27" customWidth="1"/>
    <col min="9" max="9" width="3.875" style="27" customWidth="1"/>
    <col min="10" max="10" width="41.75390625" style="27" customWidth="1"/>
    <col min="11" max="11" width="10.75390625" style="27" customWidth="1"/>
    <col min="12" max="12" width="5.00390625" style="27" customWidth="1"/>
    <col min="13" max="13" width="2.375" style="27" customWidth="1"/>
    <col min="14" max="14" width="1.37890625" style="27" customWidth="1"/>
    <col min="15" max="15" width="7.00390625" style="27" customWidth="1"/>
    <col min="16" max="16" width="3.875" style="27" customWidth="1"/>
    <col min="17" max="17" width="1.75390625" style="27" customWidth="1"/>
    <col min="18" max="18" width="4.75390625" style="27" customWidth="1"/>
    <col min="19" max="16384" width="10.75390625" style="27" customWidth="1"/>
  </cols>
  <sheetData>
    <row r="1" ht="12.75">
      <c r="K1" s="67"/>
    </row>
    <row r="2" spans="3:11" ht="21.75">
      <c r="C2" s="28" t="s">
        <v>70</v>
      </c>
      <c r="K2" s="67"/>
    </row>
    <row r="3" spans="3:11" ht="22.5" thickBot="1">
      <c r="C3" s="28"/>
      <c r="K3" s="67"/>
    </row>
    <row r="4" spans="3:11" ht="21" thickTop="1">
      <c r="C4" s="28"/>
      <c r="D4" s="119" t="s">
        <v>86</v>
      </c>
      <c r="E4" s="119" t="s">
        <v>87</v>
      </c>
      <c r="F4" s="119" t="s">
        <v>88</v>
      </c>
      <c r="G4" s="119" t="s">
        <v>89</v>
      </c>
      <c r="H4" s="74"/>
      <c r="K4" s="67"/>
    </row>
    <row r="5" spans="3:11" ht="19.5">
      <c r="C5" s="28"/>
      <c r="D5" s="120"/>
      <c r="E5" s="122"/>
      <c r="F5" s="122"/>
      <c r="G5" s="122"/>
      <c r="H5" s="75"/>
      <c r="K5" s="67"/>
    </row>
    <row r="6" spans="4:11" ht="9" customHeight="1" thickBot="1">
      <c r="D6" s="121"/>
      <c r="E6" s="123"/>
      <c r="F6" s="123"/>
      <c r="G6" s="123"/>
      <c r="H6" s="75"/>
      <c r="K6" s="67"/>
    </row>
    <row r="7" spans="3:11" ht="24.75" customHeight="1" thickTop="1">
      <c r="C7" s="110" t="s">
        <v>90</v>
      </c>
      <c r="D7" s="109"/>
      <c r="E7" s="75"/>
      <c r="F7" s="75"/>
      <c r="G7" s="75"/>
      <c r="H7" s="75"/>
      <c r="K7" s="67"/>
    </row>
    <row r="8" spans="3:11" ht="10.5" customHeight="1">
      <c r="C8" s="110"/>
      <c r="D8" s="109"/>
      <c r="E8" s="75"/>
      <c r="F8" s="75"/>
      <c r="G8" s="75"/>
      <c r="H8" s="75"/>
      <c r="K8" s="67"/>
    </row>
    <row r="9" spans="3:11" ht="16.5">
      <c r="C9" s="30" t="str">
        <f>+'Vins Blancs'!$D$4</f>
        <v>FRANCE</v>
      </c>
      <c r="D9" s="29" t="s">
        <v>20</v>
      </c>
      <c r="E9" s="29" t="s">
        <v>20</v>
      </c>
      <c r="F9" s="29" t="s">
        <v>20</v>
      </c>
      <c r="G9" s="29" t="s">
        <v>20</v>
      </c>
      <c r="H9" s="29"/>
      <c r="K9" s="67"/>
    </row>
    <row r="10" spans="1:11" ht="12">
      <c r="A10" s="27">
        <v>1</v>
      </c>
      <c r="B10" s="27">
        <v>1</v>
      </c>
      <c r="C10" s="27" t="str">
        <f>+'Vins Blancs'!$D$5</f>
        <v>Chardonnay, Collection Privée, France</v>
      </c>
      <c r="D10" s="31">
        <f aca="true" t="shared" si="0" ref="D10:D15">0.4*E10</f>
        <v>12.8</v>
      </c>
      <c r="E10" s="31">
        <f>+'Vins Blancs'!$C$5</f>
        <v>32</v>
      </c>
      <c r="F10" s="33">
        <f aca="true" t="shared" si="1" ref="F10:F15">+D10/E10</f>
        <v>0.4</v>
      </c>
      <c r="G10" s="31">
        <f aca="true" t="shared" si="2" ref="G10:G15">+E10-D10</f>
        <v>19.2</v>
      </c>
      <c r="H10" s="31"/>
      <c r="J10" s="35" t="s">
        <v>73</v>
      </c>
      <c r="K10" s="70">
        <f>D17</f>
        <v>17.533333333333335</v>
      </c>
    </row>
    <row r="11" spans="1:11" ht="12">
      <c r="A11" s="27">
        <v>2</v>
      </c>
      <c r="B11" s="27">
        <v>2</v>
      </c>
      <c r="C11" s="27" t="str">
        <f>+'Vins Blancs'!$D$6</f>
        <v>Bourgogne Aligoté Prince Philippe Thorin 2006</v>
      </c>
      <c r="D11" s="31">
        <f t="shared" si="0"/>
        <v>16</v>
      </c>
      <c r="E11" s="31">
        <f>+'Vins Blancs'!$C$6</f>
        <v>40</v>
      </c>
      <c r="F11" s="33">
        <f t="shared" si="1"/>
        <v>0.4</v>
      </c>
      <c r="G11" s="31">
        <f t="shared" si="2"/>
        <v>24</v>
      </c>
      <c r="H11" s="31"/>
      <c r="J11" s="35" t="s">
        <v>74</v>
      </c>
      <c r="K11" s="70">
        <f>E17</f>
        <v>43.833333333333336</v>
      </c>
    </row>
    <row r="12" spans="1:11" ht="12">
      <c r="A12" s="27">
        <v>3</v>
      </c>
      <c r="B12" s="27">
        <v>3</v>
      </c>
      <c r="C12" s="27" t="str">
        <f>+'Vins Blancs'!$D$7</f>
        <v>Pinot gris Pfaffenheim Alsace 2006</v>
      </c>
      <c r="D12" s="31">
        <f t="shared" si="0"/>
        <v>15.600000000000001</v>
      </c>
      <c r="E12" s="31">
        <f>+'Vins Blancs'!$C$7</f>
        <v>39</v>
      </c>
      <c r="F12" s="33">
        <f t="shared" si="1"/>
        <v>0.4</v>
      </c>
      <c r="G12" s="31">
        <f t="shared" si="2"/>
        <v>23.4</v>
      </c>
      <c r="H12" s="31"/>
      <c r="J12" s="35" t="s">
        <v>102</v>
      </c>
      <c r="K12" s="71">
        <f>F17</f>
        <v>0.4</v>
      </c>
    </row>
    <row r="13" spans="1:11" ht="12">
      <c r="A13" s="27">
        <v>4</v>
      </c>
      <c r="B13" s="27">
        <v>4</v>
      </c>
      <c r="C13" s="27" t="str">
        <f>+'Vins Blancs'!$D$8</f>
        <v>Riesling Hugel Alsace 2006</v>
      </c>
      <c r="D13" s="31">
        <f t="shared" si="0"/>
        <v>17.6</v>
      </c>
      <c r="E13" s="31">
        <f>+'Vins Blancs'!$C$8</f>
        <v>44</v>
      </c>
      <c r="F13" s="33">
        <f t="shared" si="1"/>
        <v>0.4</v>
      </c>
      <c r="G13" s="31">
        <f t="shared" si="2"/>
        <v>26.4</v>
      </c>
      <c r="H13" s="31"/>
      <c r="J13" s="35" t="s">
        <v>75</v>
      </c>
      <c r="K13" s="70">
        <f>G17</f>
        <v>26.3</v>
      </c>
    </row>
    <row r="14" spans="1:11" ht="12">
      <c r="A14" s="27">
        <v>5</v>
      </c>
      <c r="B14" s="27">
        <v>5</v>
      </c>
      <c r="C14" s="27" t="str">
        <f>+'Vins Blancs'!$D$9</f>
        <v>Gewurztraminer Hugel Alsace 2006</v>
      </c>
      <c r="D14" s="31">
        <f t="shared" si="0"/>
        <v>20</v>
      </c>
      <c r="E14" s="31">
        <f>+'Vins Blancs'!$C$9</f>
        <v>50</v>
      </c>
      <c r="F14" s="33">
        <f t="shared" si="1"/>
        <v>0.4</v>
      </c>
      <c r="G14" s="31">
        <f t="shared" si="2"/>
        <v>30</v>
      </c>
      <c r="H14" s="31"/>
      <c r="K14" s="67"/>
    </row>
    <row r="15" spans="1:11" ht="12">
      <c r="A15" s="27">
        <v>6</v>
      </c>
      <c r="B15" s="27">
        <v>6</v>
      </c>
      <c r="C15" s="27" t="str">
        <f>+'Vins Blancs'!$D$10</f>
        <v>Chablis Joseph Drouhin 2006</v>
      </c>
      <c r="D15" s="31">
        <f t="shared" si="0"/>
        <v>23.200000000000003</v>
      </c>
      <c r="E15" s="31">
        <f>+'Vins Blancs'!$C$10</f>
        <v>58</v>
      </c>
      <c r="F15" s="33">
        <f t="shared" si="1"/>
        <v>0.4</v>
      </c>
      <c r="G15" s="31">
        <f t="shared" si="2"/>
        <v>34.8</v>
      </c>
      <c r="H15" s="31"/>
      <c r="K15" s="67"/>
    </row>
    <row r="16" spans="4:11" ht="12">
      <c r="D16" s="31"/>
      <c r="E16" s="31"/>
      <c r="F16" s="33"/>
      <c r="G16" s="31"/>
      <c r="H16" s="31"/>
      <c r="K16" s="67"/>
    </row>
    <row r="17" spans="3:11" ht="15">
      <c r="C17" s="35" t="s">
        <v>101</v>
      </c>
      <c r="D17" s="36">
        <f>+(SUM(D10:D15))/B15</f>
        <v>17.533333333333335</v>
      </c>
      <c r="E17" s="36">
        <f>+(SUM(E10:E15))/B15</f>
        <v>43.833333333333336</v>
      </c>
      <c r="F17" s="37">
        <f>D17/E17</f>
        <v>0.4</v>
      </c>
      <c r="G17" s="38">
        <f>E17-D17</f>
        <v>26.3</v>
      </c>
      <c r="H17" s="38"/>
      <c r="K17" s="67"/>
    </row>
    <row r="18" spans="5:11" ht="12">
      <c r="E18" s="31"/>
      <c r="K18" s="67"/>
    </row>
    <row r="19" spans="3:11" ht="16.5">
      <c r="C19" s="30" t="str">
        <f>+'Vins Blancs'!$D$12</f>
        <v>ITALIE</v>
      </c>
      <c r="D19" s="31"/>
      <c r="E19" s="32"/>
      <c r="F19" s="33"/>
      <c r="K19" s="67"/>
    </row>
    <row r="20" spans="1:16" ht="15">
      <c r="A20" s="27">
        <v>7</v>
      </c>
      <c r="B20" s="27">
        <v>1</v>
      </c>
      <c r="C20" s="34" t="str">
        <f>+'Vins Blancs'!$D$13</f>
        <v>Soana Monrubio Orvieto 2007</v>
      </c>
      <c r="D20" s="31">
        <f>0.4*E20</f>
        <v>11.600000000000001</v>
      </c>
      <c r="E20" s="32">
        <f>+'Vins Blancs'!$C$13</f>
        <v>29</v>
      </c>
      <c r="F20" s="33">
        <f aca="true" t="shared" si="3" ref="F20:F26">D20/E20</f>
        <v>0.4</v>
      </c>
      <c r="G20" s="31">
        <f aca="true" t="shared" si="4" ref="G20:G26">E20-D20</f>
        <v>17.4</v>
      </c>
      <c r="H20" s="31"/>
      <c r="J20" s="35" t="s">
        <v>73</v>
      </c>
      <c r="K20" s="70">
        <f>D26</f>
        <v>12.8</v>
      </c>
      <c r="P20" s="68"/>
    </row>
    <row r="21" spans="1:11" ht="12">
      <c r="A21" s="27">
        <v>8</v>
      </c>
      <c r="B21" s="27">
        <v>2</v>
      </c>
      <c r="C21" s="34" t="str">
        <f>+'Vins Blancs'!$D$14</f>
        <v>Fontana Morella Cerveteri 2006</v>
      </c>
      <c r="D21" s="31">
        <f>0.4*E21</f>
        <v>10</v>
      </c>
      <c r="E21" s="32">
        <f>+'Vins Blancs'!$C$14</f>
        <v>25</v>
      </c>
      <c r="F21" s="33">
        <f t="shared" si="3"/>
        <v>0.4</v>
      </c>
      <c r="G21" s="31">
        <f t="shared" si="4"/>
        <v>15</v>
      </c>
      <c r="H21" s="31"/>
      <c r="J21" s="35" t="s">
        <v>74</v>
      </c>
      <c r="K21" s="70">
        <f>E26</f>
        <v>32</v>
      </c>
    </row>
    <row r="22" spans="1:11" ht="12">
      <c r="A22" s="27">
        <v>9</v>
      </c>
      <c r="B22" s="27">
        <v>3</v>
      </c>
      <c r="C22" s="34" t="str">
        <f>+'Vins Blancs'!$D$15</f>
        <v>Folonari Soave 2006</v>
      </c>
      <c r="D22" s="31">
        <f>0.4*E22</f>
        <v>12.8</v>
      </c>
      <c r="E22" s="32">
        <f>+'Vins Blancs'!$C$15</f>
        <v>32</v>
      </c>
      <c r="F22" s="33">
        <f t="shared" si="3"/>
        <v>0.4</v>
      </c>
      <c r="G22" s="31">
        <f t="shared" si="4"/>
        <v>19.2</v>
      </c>
      <c r="H22" s="31"/>
      <c r="J22" s="35" t="s">
        <v>102</v>
      </c>
      <c r="K22" s="71">
        <f>F26</f>
        <v>0.4</v>
      </c>
    </row>
    <row r="23" spans="1:11" ht="12">
      <c r="A23" s="27">
        <v>10</v>
      </c>
      <c r="B23" s="27">
        <v>4</v>
      </c>
      <c r="C23" s="34" t="str">
        <f>+'Vins Blancs'!$D$16</f>
        <v>Pinot gris Santepietre Lamberti Delle Venezie i.g.t. 2006</v>
      </c>
      <c r="D23" s="31">
        <f>0.4*E23</f>
        <v>14</v>
      </c>
      <c r="E23" s="32">
        <f>+'Vins Blancs'!$C$16</f>
        <v>35</v>
      </c>
      <c r="F23" s="33">
        <f t="shared" si="3"/>
        <v>0.4</v>
      </c>
      <c r="G23" s="31">
        <f t="shared" si="4"/>
        <v>21</v>
      </c>
      <c r="H23" s="31"/>
      <c r="J23" s="35" t="s">
        <v>75</v>
      </c>
      <c r="K23" s="70">
        <f>G26</f>
        <v>19.2</v>
      </c>
    </row>
    <row r="24" spans="1:11" ht="12">
      <c r="A24" s="27">
        <v>11</v>
      </c>
      <c r="B24" s="27">
        <v>5</v>
      </c>
      <c r="C24" s="34" t="str">
        <f>+'Vins Blancs'!$D$17</f>
        <v>Chardonnay/Sauvignon Fumaio Banfi Toscana i.g.t. 2007</v>
      </c>
      <c r="D24" s="31">
        <f>0.4*E24</f>
        <v>15.600000000000001</v>
      </c>
      <c r="E24" s="32">
        <f>+'Vins Blancs'!$C$17</f>
        <v>39</v>
      </c>
      <c r="F24" s="33">
        <f t="shared" si="3"/>
        <v>0.4</v>
      </c>
      <c r="G24" s="31">
        <f t="shared" si="4"/>
        <v>23.4</v>
      </c>
      <c r="H24" s="31"/>
      <c r="K24" s="67"/>
    </row>
    <row r="25" spans="3:11" ht="12">
      <c r="C25" s="34"/>
      <c r="D25" s="31"/>
      <c r="E25" s="32"/>
      <c r="F25" s="33"/>
      <c r="G25" s="31"/>
      <c r="H25" s="31"/>
      <c r="K25" s="67"/>
    </row>
    <row r="26" spans="3:11" ht="15">
      <c r="C26" s="35" t="s">
        <v>101</v>
      </c>
      <c r="D26" s="36">
        <f>+(SUM(D20:D24))/B24</f>
        <v>12.8</v>
      </c>
      <c r="E26" s="36">
        <f>+(SUM(E20:E24))/B24</f>
        <v>32</v>
      </c>
      <c r="F26" s="37">
        <f t="shared" si="3"/>
        <v>0.4</v>
      </c>
      <c r="G26" s="38">
        <f t="shared" si="4"/>
        <v>19.2</v>
      </c>
      <c r="H26" s="38"/>
      <c r="K26" s="67"/>
    </row>
    <row r="27" spans="4:11" ht="12">
      <c r="D27" s="31"/>
      <c r="E27" s="32"/>
      <c r="F27" s="33"/>
      <c r="K27" s="67"/>
    </row>
    <row r="28" spans="3:11" ht="16.5">
      <c r="C28" s="30" t="str">
        <f>+'Vins Blancs'!$D$19</f>
        <v>NOUVELLE-ZÉLANDE</v>
      </c>
      <c r="D28" s="31"/>
      <c r="E28" s="32"/>
      <c r="F28" s="33"/>
      <c r="K28" s="67"/>
    </row>
    <row r="29" spans="1:11" ht="12">
      <c r="A29" s="27">
        <v>12</v>
      </c>
      <c r="B29" s="27">
        <v>1</v>
      </c>
      <c r="C29" s="39" t="str">
        <f>+'Vins Blancs'!$D$20</f>
        <v>Sauvignon blanc Babich Marlborough 2007</v>
      </c>
      <c r="D29" s="31">
        <f>0.4*E29</f>
        <v>19.6</v>
      </c>
      <c r="E29" s="32">
        <f>+'Vins Blancs'!$C$20</f>
        <v>49</v>
      </c>
      <c r="F29" s="33">
        <f>D29/E29</f>
        <v>0.4</v>
      </c>
      <c r="G29" s="31">
        <f>E29-D29</f>
        <v>29.4</v>
      </c>
      <c r="H29" s="31"/>
      <c r="J29" s="35" t="s">
        <v>73</v>
      </c>
      <c r="K29" s="70">
        <f>+D31</f>
        <v>19.6</v>
      </c>
    </row>
    <row r="30" spans="3:11" ht="12">
      <c r="C30" s="39"/>
      <c r="D30" s="31"/>
      <c r="E30" s="32"/>
      <c r="F30" s="33"/>
      <c r="G30" s="31"/>
      <c r="H30" s="31"/>
      <c r="J30" s="35" t="s">
        <v>74</v>
      </c>
      <c r="K30" s="70">
        <f>+E31</f>
        <v>49</v>
      </c>
    </row>
    <row r="31" spans="3:11" ht="15">
      <c r="C31" s="35" t="s">
        <v>101</v>
      </c>
      <c r="D31" s="36">
        <f>+D29/B29</f>
        <v>19.6</v>
      </c>
      <c r="E31" s="36">
        <f>+E29/B29</f>
        <v>49</v>
      </c>
      <c r="F31" s="37">
        <f>D31/E31</f>
        <v>0.4</v>
      </c>
      <c r="G31" s="38">
        <f>E31-D31</f>
        <v>29.4</v>
      </c>
      <c r="H31" s="38"/>
      <c r="J31" s="35" t="s">
        <v>102</v>
      </c>
      <c r="K31" s="71">
        <f>+F31</f>
        <v>0.4</v>
      </c>
    </row>
    <row r="32" spans="3:11" ht="15">
      <c r="C32" s="35"/>
      <c r="D32" s="36"/>
      <c r="E32" s="36"/>
      <c r="F32" s="37"/>
      <c r="G32" s="38"/>
      <c r="H32" s="38"/>
      <c r="J32" s="35" t="s">
        <v>75</v>
      </c>
      <c r="K32" s="70">
        <f>+G31</f>
        <v>29.4</v>
      </c>
    </row>
    <row r="33" spans="3:8" ht="24">
      <c r="C33" s="110" t="s">
        <v>91</v>
      </c>
      <c r="D33" s="36"/>
      <c r="E33" s="36"/>
      <c r="F33" s="37"/>
      <c r="G33" s="38"/>
      <c r="H33" s="38"/>
    </row>
    <row r="34" spans="2:11" ht="9" customHeight="1">
      <c r="B34" s="27" t="s">
        <v>20</v>
      </c>
      <c r="D34" s="31"/>
      <c r="E34" s="40"/>
      <c r="F34" s="33"/>
      <c r="K34" s="67"/>
    </row>
    <row r="35" spans="2:11" ht="16.5">
      <c r="B35" s="27" t="s">
        <v>20</v>
      </c>
      <c r="C35" s="30" t="str">
        <f>+'Vins Rouges'!D4</f>
        <v>ARGENTINE</v>
      </c>
      <c r="D35" s="31"/>
      <c r="E35" s="40"/>
      <c r="F35" s="33"/>
      <c r="K35" s="67"/>
    </row>
    <row r="36" spans="1:11" ht="12">
      <c r="A36" s="27">
        <v>13</v>
      </c>
      <c r="B36" s="27">
        <v>1</v>
      </c>
      <c r="C36" s="27" t="str">
        <f>+'Vins Rouges'!D5</f>
        <v>Malbec Trapiche Mendoza 2007</v>
      </c>
      <c r="D36" s="31">
        <f>0.4*E36</f>
        <v>12</v>
      </c>
      <c r="E36" s="32">
        <f>+'Vins Rouges'!C5</f>
        <v>30</v>
      </c>
      <c r="F36" s="33">
        <f>D36/E36</f>
        <v>0.4</v>
      </c>
      <c r="G36" s="31">
        <f>E36-D36</f>
        <v>18</v>
      </c>
      <c r="H36" s="31"/>
      <c r="J36" s="35" t="s">
        <v>73</v>
      </c>
      <c r="K36" s="70">
        <f>D39</f>
        <v>13.4</v>
      </c>
    </row>
    <row r="37" spans="1:11" ht="12">
      <c r="A37" s="27">
        <v>14</v>
      </c>
      <c r="B37" s="27">
        <v>2</v>
      </c>
      <c r="C37" s="27" t="str">
        <f>+'Vins Rouges'!D6</f>
        <v>Cab-Sauv/Malbec Equilibrium Finca el Portillo Mendoza 2006</v>
      </c>
      <c r="D37" s="31">
        <f>0.4*E37</f>
        <v>14.8</v>
      </c>
      <c r="E37" s="32">
        <f>+'Vins Rouges'!C6</f>
        <v>37</v>
      </c>
      <c r="F37" s="33">
        <f>D37/E37</f>
        <v>0.4</v>
      </c>
      <c r="G37" s="31">
        <f>E37-D37</f>
        <v>22.2</v>
      </c>
      <c r="H37" s="31"/>
      <c r="J37" s="35" t="s">
        <v>74</v>
      </c>
      <c r="K37" s="70">
        <f>E39</f>
        <v>33.5</v>
      </c>
    </row>
    <row r="38" spans="4:11" ht="12">
      <c r="D38" s="31"/>
      <c r="E38" s="32"/>
      <c r="F38" s="33"/>
      <c r="G38" s="31"/>
      <c r="H38" s="31"/>
      <c r="J38" s="35" t="s">
        <v>102</v>
      </c>
      <c r="K38" s="71">
        <f>+F39</f>
        <v>0.4</v>
      </c>
    </row>
    <row r="39" spans="3:11" ht="15">
      <c r="C39" s="35" t="s">
        <v>101</v>
      </c>
      <c r="D39" s="36">
        <f>+(D36+D37)/B37</f>
        <v>13.4</v>
      </c>
      <c r="E39" s="36">
        <f>+(E36+E37)/B37</f>
        <v>33.5</v>
      </c>
      <c r="F39" s="37">
        <f>D39/E39</f>
        <v>0.4</v>
      </c>
      <c r="G39" s="38">
        <f>E39-D39</f>
        <v>20.1</v>
      </c>
      <c r="H39" s="38"/>
      <c r="J39" s="35" t="s">
        <v>75</v>
      </c>
      <c r="K39" s="70">
        <f>+G39</f>
        <v>20.1</v>
      </c>
    </row>
    <row r="40" spans="4:6" ht="12">
      <c r="D40" s="31"/>
      <c r="E40" s="32"/>
      <c r="F40" s="33"/>
    </row>
    <row r="41" spans="3:11" ht="16.5">
      <c r="C41" s="30" t="str">
        <f>+'Vins Rouges'!D8</f>
        <v>AUSTRALIE</v>
      </c>
      <c r="D41" s="31"/>
      <c r="E41" s="32"/>
      <c r="F41" s="33"/>
      <c r="K41" s="67"/>
    </row>
    <row r="42" spans="1:11" ht="12">
      <c r="A42" s="27">
        <v>15</v>
      </c>
      <c r="B42" s="27">
        <v>1</v>
      </c>
      <c r="C42" s="27" t="str">
        <f>+'Vins Rouges'!D9</f>
        <v>Shiraz/Cabernet Jacob's Creek South Eastern Australia 2005</v>
      </c>
      <c r="D42" s="31">
        <f>0.4*E42</f>
        <v>14.4</v>
      </c>
      <c r="E42" s="32">
        <f>+'Vins Rouges'!C9</f>
        <v>36</v>
      </c>
      <c r="F42" s="33">
        <f aca="true" t="shared" si="5" ref="F42:F47">D42/E42</f>
        <v>0.4</v>
      </c>
      <c r="G42" s="31">
        <f aca="true" t="shared" si="6" ref="G42:G47">E42-D42</f>
        <v>21.6</v>
      </c>
      <c r="H42" s="31"/>
      <c r="J42" s="35" t="s">
        <v>73</v>
      </c>
      <c r="K42" s="70">
        <f>D47</f>
        <v>16.200000000000003</v>
      </c>
    </row>
    <row r="43" spans="1:11" ht="12">
      <c r="A43" s="27">
        <v>16</v>
      </c>
      <c r="B43" s="27">
        <v>2</v>
      </c>
      <c r="C43" s="27" t="str">
        <f>+'Vins Rouges'!D10</f>
        <v>Shiraz Deakin Estate Victoria 2005</v>
      </c>
      <c r="D43" s="31">
        <f>0.4*E43</f>
        <v>15.200000000000001</v>
      </c>
      <c r="E43" s="32">
        <f>+'Vins Rouges'!C10</f>
        <v>38</v>
      </c>
      <c r="F43" s="33">
        <f t="shared" si="5"/>
        <v>0.4</v>
      </c>
      <c r="G43" s="31">
        <f t="shared" si="6"/>
        <v>22.799999999999997</v>
      </c>
      <c r="H43" s="31"/>
      <c r="J43" s="35" t="s">
        <v>74</v>
      </c>
      <c r="K43" s="70">
        <f>E47</f>
        <v>40.5</v>
      </c>
    </row>
    <row r="44" spans="1:11" ht="12">
      <c r="A44" s="27">
        <v>17</v>
      </c>
      <c r="B44" s="27">
        <v>3</v>
      </c>
      <c r="C44" s="27" t="str">
        <f>+'Vins Rouges'!D11</f>
        <v>Shiraz Bin 555 Wyndham Estate South Eastern Australia 2005</v>
      </c>
      <c r="D44" s="31">
        <f>0.4*E44</f>
        <v>17.6</v>
      </c>
      <c r="E44" s="31">
        <f>+'Vins Rouges'!C11</f>
        <v>44</v>
      </c>
      <c r="F44" s="33">
        <f t="shared" si="5"/>
        <v>0.4</v>
      </c>
      <c r="G44" s="31">
        <f t="shared" si="6"/>
        <v>26.4</v>
      </c>
      <c r="H44" s="31"/>
      <c r="J44" s="35" t="s">
        <v>102</v>
      </c>
      <c r="K44" s="71">
        <f>F47</f>
        <v>0.4000000000000001</v>
      </c>
    </row>
    <row r="45" spans="1:11" ht="12">
      <c r="A45" s="27">
        <v>18</v>
      </c>
      <c r="B45" s="27">
        <v>4</v>
      </c>
      <c r="C45" s="27" t="str">
        <f>+'Vins Rouges'!D12</f>
        <v>Cabernet-Sauv./Merlot Koonunga Hill Penfolds South Australia 2006</v>
      </c>
      <c r="D45" s="31">
        <f>0.4*E45</f>
        <v>17.6</v>
      </c>
      <c r="E45" s="31">
        <f>+'Vins Rouges'!C12</f>
        <v>44</v>
      </c>
      <c r="F45" s="33">
        <f t="shared" si="5"/>
        <v>0.4</v>
      </c>
      <c r="G45" s="31">
        <f t="shared" si="6"/>
        <v>26.4</v>
      </c>
      <c r="H45" s="31"/>
      <c r="J45" s="35" t="s">
        <v>75</v>
      </c>
      <c r="K45" s="70">
        <f>G47</f>
        <v>24.299999999999997</v>
      </c>
    </row>
    <row r="46" spans="4:11" ht="12">
      <c r="D46" s="31"/>
      <c r="E46" s="31"/>
      <c r="F46" s="33"/>
      <c r="G46" s="31"/>
      <c r="H46" s="31"/>
      <c r="J46" s="35"/>
      <c r="K46" s="70"/>
    </row>
    <row r="47" spans="3:19" ht="15">
      <c r="C47" s="35" t="s">
        <v>101</v>
      </c>
      <c r="D47" s="38">
        <f>+(SUM(D42:D45)/B45)</f>
        <v>16.200000000000003</v>
      </c>
      <c r="E47" s="38">
        <f>+(SUM(E42:E45)/B45)</f>
        <v>40.5</v>
      </c>
      <c r="F47" s="37">
        <f t="shared" si="5"/>
        <v>0.4000000000000001</v>
      </c>
      <c r="G47" s="38">
        <f t="shared" si="6"/>
        <v>24.299999999999997</v>
      </c>
      <c r="H47" s="38"/>
      <c r="K47" s="67"/>
      <c r="O47" s="27" t="s">
        <v>20</v>
      </c>
      <c r="P47" s="111" t="s">
        <v>20</v>
      </c>
      <c r="R47" s="27" t="s">
        <v>20</v>
      </c>
      <c r="S47" s="27" t="s">
        <v>20</v>
      </c>
    </row>
    <row r="48" spans="1:11" ht="12">
      <c r="A48" s="27" t="s">
        <v>20</v>
      </c>
      <c r="D48" s="31"/>
      <c r="E48" s="31"/>
      <c r="F48" s="33"/>
      <c r="K48" s="67"/>
    </row>
    <row r="49" spans="3:11" ht="16.5">
      <c r="C49" s="30" t="str">
        <f>+'Vins Rouges'!D14</f>
        <v>CHILI</v>
      </c>
      <c r="D49" s="31"/>
      <c r="E49" s="31"/>
      <c r="F49" s="33"/>
      <c r="K49" s="67"/>
    </row>
    <row r="50" spans="1:11" ht="12">
      <c r="A50" s="27">
        <v>19</v>
      </c>
      <c r="B50" s="27">
        <v>1</v>
      </c>
      <c r="C50" s="27" t="str">
        <f>+'Vins Rouges'!D15</f>
        <v>Cabernet-Sauvignon Caliterra Reserva valle de Colchagua 2006</v>
      </c>
      <c r="D50" s="31">
        <f>0.4*E50</f>
        <v>12.8</v>
      </c>
      <c r="E50" s="31">
        <f>+'Vins Rouges'!C15</f>
        <v>32</v>
      </c>
      <c r="F50" s="33">
        <f>D50/E50</f>
        <v>0.4</v>
      </c>
      <c r="G50" s="31">
        <f>E50-D50</f>
        <v>19.2</v>
      </c>
      <c r="H50" s="31"/>
      <c r="J50" s="35" t="s">
        <v>73</v>
      </c>
      <c r="K50" s="70">
        <f>D54</f>
        <v>15.066666666666668</v>
      </c>
    </row>
    <row r="51" spans="1:11" ht="12">
      <c r="A51" s="27">
        <v>20</v>
      </c>
      <c r="B51" s="27">
        <v>2</v>
      </c>
      <c r="C51" s="27" t="str">
        <f>+'Vins Rouges'!D16</f>
        <v>Shiraz Errazuriz Estate valle de Rapel 2007</v>
      </c>
      <c r="D51" s="31">
        <f>0.4*E51</f>
        <v>14.8</v>
      </c>
      <c r="E51" s="31">
        <f>+'Vins Rouges'!C16</f>
        <v>37</v>
      </c>
      <c r="F51" s="33">
        <f>D51/E51</f>
        <v>0.4</v>
      </c>
      <c r="G51" s="31">
        <f>E51-D51</f>
        <v>22.2</v>
      </c>
      <c r="H51" s="31"/>
      <c r="J51" s="35" t="s">
        <v>74</v>
      </c>
      <c r="K51" s="70">
        <f>E54</f>
        <v>37.666666666666664</v>
      </c>
    </row>
    <row r="52" spans="1:11" ht="12">
      <c r="A52" s="27">
        <v>21</v>
      </c>
      <c r="B52" s="27">
        <v>3</v>
      </c>
      <c r="C52" s="27" t="str">
        <f>+'Vins Rouges'!D17</f>
        <v>Merlot Cousino Macul Limited Release Maipo 2006</v>
      </c>
      <c r="D52" s="31">
        <f>0.4*E52</f>
        <v>17.6</v>
      </c>
      <c r="E52" s="31">
        <f>+'Vins Rouges'!C17</f>
        <v>44</v>
      </c>
      <c r="F52" s="33">
        <f>D52/E52</f>
        <v>0.4</v>
      </c>
      <c r="G52" s="31">
        <f>E52-D52</f>
        <v>26.4</v>
      </c>
      <c r="H52" s="31"/>
      <c r="J52" s="35" t="s">
        <v>102</v>
      </c>
      <c r="K52" s="71">
        <f>F54</f>
        <v>0.4000000000000001</v>
      </c>
    </row>
    <row r="53" spans="4:11" ht="12">
      <c r="D53" s="31"/>
      <c r="E53" s="31"/>
      <c r="F53" s="33"/>
      <c r="G53" s="31"/>
      <c r="H53" s="31"/>
      <c r="J53" s="35" t="s">
        <v>75</v>
      </c>
      <c r="K53" s="70">
        <f>+G54</f>
        <v>22.599999999999994</v>
      </c>
    </row>
    <row r="54" spans="3:8" ht="15">
      <c r="C54" s="35" t="s">
        <v>101</v>
      </c>
      <c r="D54" s="38">
        <f>+(SUM(D50:D52)/B52)</f>
        <v>15.066666666666668</v>
      </c>
      <c r="E54" s="38">
        <f>+(SUM(E50:E52)/B52)</f>
        <v>37.666666666666664</v>
      </c>
      <c r="F54" s="37">
        <f>D54/E54</f>
        <v>0.4000000000000001</v>
      </c>
      <c r="G54" s="38">
        <f>E54-D54</f>
        <v>22.599999999999994</v>
      </c>
      <c r="H54" s="38"/>
    </row>
    <row r="55" spans="1:11" ht="12">
      <c r="A55" s="27" t="s">
        <v>20</v>
      </c>
      <c r="D55" s="31"/>
      <c r="E55" s="31"/>
      <c r="F55" s="33"/>
      <c r="K55" s="67"/>
    </row>
    <row r="56" spans="3:11" ht="16.5">
      <c r="C56" s="30" t="str">
        <f>+'Vins Rouges'!D19</f>
        <v>ESPAGNE</v>
      </c>
      <c r="D56" s="31"/>
      <c r="E56" s="31"/>
      <c r="F56" s="33"/>
      <c r="K56" s="67"/>
    </row>
    <row r="57" spans="1:11" ht="12">
      <c r="A57" s="42">
        <v>22</v>
      </c>
      <c r="B57" s="42">
        <v>1</v>
      </c>
      <c r="C57" s="42" t="str">
        <f>+'Vins Rouges'!D20</f>
        <v>Hoya de Cadenas Reserva Utiel-Requena 2003</v>
      </c>
      <c r="D57" s="43">
        <f>0.4*E57</f>
        <v>14</v>
      </c>
      <c r="E57" s="43">
        <f>+'Vins Rouges'!C20</f>
        <v>35</v>
      </c>
      <c r="F57" s="44">
        <f>D57/E57</f>
        <v>0.4</v>
      </c>
      <c r="G57" s="43">
        <f>E57-D57</f>
        <v>21</v>
      </c>
      <c r="H57" s="43"/>
      <c r="J57" s="35" t="s">
        <v>73</v>
      </c>
      <c r="K57" s="70">
        <f>D61</f>
        <v>14.800000000000002</v>
      </c>
    </row>
    <row r="58" spans="1:11" ht="12">
      <c r="A58" s="27">
        <v>23</v>
      </c>
      <c r="B58" s="27">
        <v>2</v>
      </c>
      <c r="C58" s="27" t="str">
        <f>+'Vins Rouges'!D21</f>
        <v>Garnacha/Tempr. Torrelongares Reserva Carinena 2002</v>
      </c>
      <c r="D58" s="43">
        <f>0.4*E58</f>
        <v>15.200000000000001</v>
      </c>
      <c r="E58" s="31">
        <f>+'Vins Rouges'!C21</f>
        <v>38</v>
      </c>
      <c r="F58" s="33">
        <f>D58/E58</f>
        <v>0.4</v>
      </c>
      <c r="G58" s="31">
        <f>E58-D58</f>
        <v>22.799999999999997</v>
      </c>
      <c r="H58" s="31"/>
      <c r="J58" s="35" t="s">
        <v>74</v>
      </c>
      <c r="K58" s="70">
        <f>E61</f>
        <v>37</v>
      </c>
    </row>
    <row r="59" spans="1:11" ht="12">
      <c r="A59" s="27">
        <v>24</v>
      </c>
      <c r="B59" s="27">
        <v>3</v>
      </c>
      <c r="C59" s="27" t="str">
        <f>+'Vins Rouges'!D22</f>
        <v>Cabernet-Sauvignon Enate Tinto Somontano 2005</v>
      </c>
      <c r="D59" s="43">
        <f>0.4*E59</f>
        <v>15.200000000000001</v>
      </c>
      <c r="E59" s="31">
        <f>+'Vins Rouges'!C22</f>
        <v>38</v>
      </c>
      <c r="F59" s="33">
        <f>D59/E59</f>
        <v>0.4</v>
      </c>
      <c r="G59" s="31">
        <f>E59-D59</f>
        <v>22.799999999999997</v>
      </c>
      <c r="H59" s="31"/>
      <c r="J59" s="35" t="s">
        <v>102</v>
      </c>
      <c r="K59" s="71">
        <f>F61</f>
        <v>0.4000000000000001</v>
      </c>
    </row>
    <row r="60" spans="4:11" ht="12">
      <c r="D60" s="43"/>
      <c r="E60" s="31"/>
      <c r="F60" s="33"/>
      <c r="G60" s="31"/>
      <c r="H60" s="31"/>
      <c r="J60" s="35" t="s">
        <v>75</v>
      </c>
      <c r="K60" s="70">
        <f>+G61</f>
        <v>22.199999999999996</v>
      </c>
    </row>
    <row r="61" spans="3:8" ht="15">
      <c r="C61" s="35" t="s">
        <v>101</v>
      </c>
      <c r="D61" s="38">
        <f>+(SUM(D57:D59)/B59)</f>
        <v>14.800000000000002</v>
      </c>
      <c r="E61" s="38">
        <f>+(SUM(E57:E59)/B59)</f>
        <v>37</v>
      </c>
      <c r="F61" s="37">
        <f>D61/E61</f>
        <v>0.4000000000000001</v>
      </c>
      <c r="G61" s="38">
        <f>E61-D61</f>
        <v>22.199999999999996</v>
      </c>
      <c r="H61" s="38"/>
    </row>
    <row r="62" spans="4:11" ht="12">
      <c r="D62" s="31"/>
      <c r="E62" s="31"/>
      <c r="F62" s="33"/>
      <c r="K62" s="67"/>
    </row>
    <row r="63" spans="3:11" ht="16.5">
      <c r="C63" s="30" t="str">
        <f>+'Vins Rouges'!D24</f>
        <v>ÉTATS-UNIS</v>
      </c>
      <c r="D63" s="31"/>
      <c r="E63" s="31"/>
      <c r="F63" s="33"/>
      <c r="K63" s="67"/>
    </row>
    <row r="64" spans="1:11" ht="12">
      <c r="A64" s="27">
        <v>25</v>
      </c>
      <c r="B64" s="27">
        <v>1</v>
      </c>
      <c r="C64" s="27" t="str">
        <f>+'Vins Rouges'!D25</f>
        <v>Zinfandel Stone Cellars par Beringer Californie 2005</v>
      </c>
      <c r="D64" s="31">
        <f>0.4*E64</f>
        <v>14.8</v>
      </c>
      <c r="E64" s="31">
        <f>+'Vins Rouges'!C25</f>
        <v>37</v>
      </c>
      <c r="F64" s="33">
        <f>D64/E64</f>
        <v>0.4</v>
      </c>
      <c r="G64" s="31">
        <f>E64-D64</f>
        <v>22.2</v>
      </c>
      <c r="H64" s="31"/>
      <c r="J64" s="35" t="s">
        <v>73</v>
      </c>
      <c r="K64" s="70">
        <f>D70</f>
        <v>17.6</v>
      </c>
    </row>
    <row r="65" spans="1:11" ht="12">
      <c r="A65" s="27">
        <v>26</v>
      </c>
      <c r="B65" s="27">
        <v>2</v>
      </c>
      <c r="C65" s="27" t="str">
        <f>+'Vins Rouges'!D26</f>
        <v>Merlot Stone Cellars par Beringer Californie 2005</v>
      </c>
      <c r="D65" s="31">
        <f>0.4*E65</f>
        <v>16.400000000000002</v>
      </c>
      <c r="E65" s="31">
        <f>+'Vins Rouges'!C26</f>
        <v>41</v>
      </c>
      <c r="F65" s="33">
        <f>D65/E65</f>
        <v>0.4000000000000001</v>
      </c>
      <c r="G65" s="31">
        <f>E65-D65</f>
        <v>24.599999999999998</v>
      </c>
      <c r="H65" s="31"/>
      <c r="J65" s="35" t="s">
        <v>74</v>
      </c>
      <c r="K65" s="70">
        <f>E70</f>
        <v>44</v>
      </c>
    </row>
    <row r="66" spans="1:11" ht="12">
      <c r="A66" s="27">
        <v>27</v>
      </c>
      <c r="B66" s="27">
        <v>3</v>
      </c>
      <c r="C66" s="27" t="str">
        <f>+'Vins Rouges'!D27</f>
        <v>Cabernet-Sauvignon Fetzer Valley Oaks Californie 2005</v>
      </c>
      <c r="D66" s="31">
        <f>0.4*E66</f>
        <v>17.6</v>
      </c>
      <c r="E66" s="31">
        <f>+'Vins Rouges'!C27</f>
        <v>44</v>
      </c>
      <c r="F66" s="33">
        <f>D66/E66</f>
        <v>0.4</v>
      </c>
      <c r="G66" s="31">
        <f>E66-D66</f>
        <v>26.4</v>
      </c>
      <c r="H66" s="31"/>
      <c r="J66" s="35" t="s">
        <v>102</v>
      </c>
      <c r="K66" s="71">
        <f>F70</f>
        <v>0.4</v>
      </c>
    </row>
    <row r="67" spans="1:11" ht="12">
      <c r="A67" s="27">
        <v>28</v>
      </c>
      <c r="B67" s="27">
        <v>4</v>
      </c>
      <c r="C67" s="27" t="str">
        <f>+'Vins Rouges'!D28</f>
        <v>Syrah EXP Toasted Head Californie 2005</v>
      </c>
      <c r="D67" s="31">
        <f>0.4*E67</f>
        <v>19.6</v>
      </c>
      <c r="E67" s="31">
        <f>+'Vins Rouges'!C28</f>
        <v>49</v>
      </c>
      <c r="F67" s="33">
        <f>D67/E67</f>
        <v>0.4</v>
      </c>
      <c r="G67" s="31">
        <f>E67-D67</f>
        <v>29.4</v>
      </c>
      <c r="H67" s="31"/>
      <c r="J67" s="35" t="s">
        <v>75</v>
      </c>
      <c r="K67" s="70">
        <f>+G70</f>
        <v>26.4</v>
      </c>
    </row>
    <row r="68" spans="1:8" ht="12">
      <c r="A68" s="27">
        <v>29</v>
      </c>
      <c r="B68" s="27">
        <v>5</v>
      </c>
      <c r="C68" s="27" t="str">
        <f>+'Vins Rouges'!D29</f>
        <v>Pinot noir Mondavi Coastal Central Coast Californie 2006</v>
      </c>
      <c r="D68" s="31">
        <f>0.4*E68</f>
        <v>19.6</v>
      </c>
      <c r="E68" s="31">
        <f>+'Vins Rouges'!C29</f>
        <v>49</v>
      </c>
      <c r="F68" s="33">
        <f>D68/E68</f>
        <v>0.4</v>
      </c>
      <c r="G68" s="31">
        <f>E68-D68</f>
        <v>29.4</v>
      </c>
      <c r="H68" s="31"/>
    </row>
    <row r="69" spans="4:8" ht="12">
      <c r="D69" s="31"/>
      <c r="E69" s="31"/>
      <c r="F69" s="33"/>
      <c r="G69" s="31"/>
      <c r="H69" s="31"/>
    </row>
    <row r="70" spans="3:11" ht="15">
      <c r="C70" s="35" t="s">
        <v>101</v>
      </c>
      <c r="D70" s="38">
        <f>+(SUM(D64:D68)/B68)</f>
        <v>17.6</v>
      </c>
      <c r="E70" s="38">
        <f>+(SUM(E64:E68)/B68)</f>
        <v>44</v>
      </c>
      <c r="F70" s="37">
        <f>D70/E70</f>
        <v>0.4</v>
      </c>
      <c r="G70" s="38">
        <f>E70-D70</f>
        <v>26.4</v>
      </c>
      <c r="H70" s="38"/>
      <c r="K70" s="67"/>
    </row>
    <row r="71" spans="4:11" ht="12">
      <c r="D71" s="31"/>
      <c r="E71" s="31"/>
      <c r="F71" s="33"/>
      <c r="K71" s="67"/>
    </row>
    <row r="72" spans="3:11" ht="16.5">
      <c r="C72" s="30" t="str">
        <f>+'Vins Rouges'!D31</f>
        <v>FRANCE</v>
      </c>
      <c r="D72" s="31"/>
      <c r="E72" s="31"/>
      <c r="F72" s="33"/>
      <c r="K72" s="67"/>
    </row>
    <row r="73" spans="1:18" ht="12">
      <c r="A73" s="27">
        <v>30</v>
      </c>
      <c r="B73" s="27">
        <v>1</v>
      </c>
      <c r="C73" s="27" t="str">
        <f>+'Vins Rouges'!D32</f>
        <v>Pinot noir François de Blossac vin pays Jardin de la France 2006</v>
      </c>
      <c r="D73" s="31">
        <f>0.4*E73</f>
        <v>12.8</v>
      </c>
      <c r="E73" s="31">
        <f>+'Vins Rouges'!C32</f>
        <v>32</v>
      </c>
      <c r="F73" s="33">
        <f aca="true" t="shared" si="7" ref="F73:F79">D73/E73</f>
        <v>0.4</v>
      </c>
      <c r="G73" s="31">
        <f aca="true" t="shared" si="8" ref="G73:G79">E73-D73</f>
        <v>19.2</v>
      </c>
      <c r="H73" s="31"/>
      <c r="J73" s="35" t="s">
        <v>73</v>
      </c>
      <c r="K73" s="70">
        <f>+D81</f>
        <v>14.514285714285716</v>
      </c>
      <c r="R73" s="41"/>
    </row>
    <row r="74" spans="1:18" ht="12">
      <c r="A74" s="27">
        <v>31</v>
      </c>
      <c r="B74" s="27">
        <v>2</v>
      </c>
      <c r="C74" s="27" t="str">
        <f>+'Vins Rouges'!D33</f>
        <v>Merlot,  Collection privée,  France</v>
      </c>
      <c r="D74" s="31">
        <f aca="true" t="shared" si="9" ref="D74:D79">0.4*E74</f>
        <v>12.8</v>
      </c>
      <c r="E74" s="31">
        <f>+'Vins Rouges'!C33</f>
        <v>32</v>
      </c>
      <c r="F74" s="33">
        <f t="shared" si="7"/>
        <v>0.4</v>
      </c>
      <c r="G74" s="31">
        <f t="shared" si="8"/>
        <v>19.2</v>
      </c>
      <c r="H74" s="31"/>
      <c r="J74" s="35" t="s">
        <v>74</v>
      </c>
      <c r="K74" s="70">
        <f>+E81</f>
        <v>36.285714285714285</v>
      </c>
      <c r="R74" s="41"/>
    </row>
    <row r="75" spans="1:18" ht="12">
      <c r="A75" s="27">
        <v>32</v>
      </c>
      <c r="B75" s="27">
        <v>3</v>
      </c>
      <c r="C75" s="27" t="str">
        <f>+'Vins Rouges'!D34</f>
        <v>Château Bellevue La Forêt Côtes du Frontonnais 2004</v>
      </c>
      <c r="D75" s="31">
        <f t="shared" si="9"/>
        <v>14.8</v>
      </c>
      <c r="E75" s="31">
        <f>+'Vins Rouges'!C34</f>
        <v>37</v>
      </c>
      <c r="F75" s="33">
        <f t="shared" si="7"/>
        <v>0.4</v>
      </c>
      <c r="G75" s="31">
        <f t="shared" si="8"/>
        <v>22.2</v>
      </c>
      <c r="H75" s="31"/>
      <c r="J75" s="35" t="s">
        <v>102</v>
      </c>
      <c r="K75" s="71">
        <f>+F81</f>
        <v>0.4000000000000001</v>
      </c>
      <c r="R75" s="41"/>
    </row>
    <row r="76" spans="1:18" ht="12">
      <c r="A76" s="27">
        <v>33</v>
      </c>
      <c r="B76" s="27">
        <v>4</v>
      </c>
      <c r="C76" s="27" t="str">
        <f>+'Vins Rouges'!D35</f>
        <v>Les Comtes de Cahors Cahors 2004</v>
      </c>
      <c r="D76" s="31">
        <f t="shared" si="9"/>
        <v>14</v>
      </c>
      <c r="E76" s="31">
        <f>+'Vins Rouges'!C35</f>
        <v>35</v>
      </c>
      <c r="F76" s="33">
        <f t="shared" si="7"/>
        <v>0.4</v>
      </c>
      <c r="G76" s="31">
        <f t="shared" si="8"/>
        <v>21</v>
      </c>
      <c r="H76" s="31"/>
      <c r="J76" s="35" t="s">
        <v>75</v>
      </c>
      <c r="K76" s="70">
        <f>+G81</f>
        <v>21.77142857142857</v>
      </c>
      <c r="R76" s="41"/>
    </row>
    <row r="77" spans="1:18" ht="12">
      <c r="A77" s="27">
        <v>34</v>
      </c>
      <c r="B77" s="27">
        <v>5</v>
      </c>
      <c r="C77" s="27" t="str">
        <f>+'Vins Rouges'!D36</f>
        <v>Bourgogne Passe-tout-grains Prince Philippe Thorin 2006</v>
      </c>
      <c r="D77" s="31">
        <f t="shared" si="9"/>
        <v>15.200000000000001</v>
      </c>
      <c r="E77" s="31">
        <f>+'Vins Rouges'!C36</f>
        <v>38</v>
      </c>
      <c r="F77" s="33">
        <f t="shared" si="7"/>
        <v>0.4</v>
      </c>
      <c r="G77" s="31">
        <f t="shared" si="8"/>
        <v>22.799999999999997</v>
      </c>
      <c r="H77" s="31"/>
      <c r="J77" s="69"/>
      <c r="K77" s="72"/>
      <c r="R77" s="41"/>
    </row>
    <row r="78" spans="1:18" ht="12">
      <c r="A78" s="27">
        <v>35</v>
      </c>
      <c r="B78" s="27">
        <v>6</v>
      </c>
      <c r="C78" s="27" t="str">
        <f>+'Vins Rouges'!D37</f>
        <v>Perrin Réserve Côtes du Rhône 2006</v>
      </c>
      <c r="D78" s="31">
        <f t="shared" si="9"/>
        <v>16</v>
      </c>
      <c r="E78" s="31">
        <f>+'Vins Rouges'!C37</f>
        <v>40</v>
      </c>
      <c r="F78" s="33">
        <f t="shared" si="7"/>
        <v>0.4</v>
      </c>
      <c r="G78" s="31">
        <f t="shared" si="8"/>
        <v>24</v>
      </c>
      <c r="H78" s="31"/>
      <c r="J78" s="69"/>
      <c r="K78" s="72"/>
      <c r="R78" s="41"/>
    </row>
    <row r="79" spans="1:18" ht="12">
      <c r="A79" s="27">
        <v>36</v>
      </c>
      <c r="B79" s="27">
        <v>7</v>
      </c>
      <c r="C79" s="27" t="str">
        <f>+'Vins Rouges'!D38</f>
        <v>Torus Madiran 2004</v>
      </c>
      <c r="D79" s="31">
        <f t="shared" si="9"/>
        <v>16</v>
      </c>
      <c r="E79" s="31">
        <f>+'Vins Rouges'!C38</f>
        <v>40</v>
      </c>
      <c r="F79" s="33">
        <f t="shared" si="7"/>
        <v>0.4</v>
      </c>
      <c r="G79" s="31">
        <f t="shared" si="8"/>
        <v>24</v>
      </c>
      <c r="H79" s="31"/>
      <c r="J79" s="69"/>
      <c r="K79" s="72"/>
      <c r="R79" s="41"/>
    </row>
    <row r="80" spans="4:18" ht="12">
      <c r="D80" s="31"/>
      <c r="E80" s="31"/>
      <c r="F80" s="33"/>
      <c r="G80" s="31"/>
      <c r="H80" s="31"/>
      <c r="J80" s="69"/>
      <c r="K80" s="72"/>
      <c r="R80" s="41"/>
    </row>
    <row r="81" spans="3:19" ht="15.75">
      <c r="C81" s="35" t="s">
        <v>101</v>
      </c>
      <c r="D81" s="38">
        <f>+(SUM(D73:D79)/B79)</f>
        <v>14.514285714285716</v>
      </c>
      <c r="E81" s="38">
        <f>+(SUM(E73:E79)/B79)</f>
        <v>36.285714285714285</v>
      </c>
      <c r="F81" s="37">
        <f>D81/E81</f>
        <v>0.4000000000000001</v>
      </c>
      <c r="G81" s="38">
        <f>E81-D81</f>
        <v>21.77142857142857</v>
      </c>
      <c r="H81" s="38"/>
      <c r="J81" s="69" t="s">
        <v>20</v>
      </c>
      <c r="K81" s="72" t="s">
        <v>20</v>
      </c>
      <c r="L81"/>
      <c r="M81"/>
      <c r="N81"/>
      <c r="O81"/>
      <c r="P81"/>
      <c r="Q81"/>
      <c r="R81"/>
      <c r="S81"/>
    </row>
    <row r="82" spans="3:19" ht="15.75">
      <c r="C82" s="35"/>
      <c r="D82" s="38"/>
      <c r="E82" s="38"/>
      <c r="F82" s="37"/>
      <c r="G82" s="38"/>
      <c r="H82" s="38"/>
      <c r="J82" s="69" t="s">
        <v>20</v>
      </c>
      <c r="K82" s="73" t="s">
        <v>20</v>
      </c>
      <c r="L82"/>
      <c r="M82"/>
      <c r="N82"/>
      <c r="O82"/>
      <c r="P82"/>
      <c r="Q82"/>
      <c r="R82"/>
      <c r="S82"/>
    </row>
    <row r="83" spans="3:19" ht="18.75">
      <c r="C83" s="30" t="str">
        <f>+'Vins Rouges&amp;Rosés'!D4</f>
        <v>ITALIE</v>
      </c>
      <c r="D83" s="31"/>
      <c r="E83" s="31"/>
      <c r="F83" s="33"/>
      <c r="H83" s="38"/>
      <c r="J83" s="69"/>
      <c r="K83" s="73"/>
      <c r="L83"/>
      <c r="M83"/>
      <c r="N83"/>
      <c r="O83"/>
      <c r="P83"/>
      <c r="Q83"/>
      <c r="R83"/>
      <c r="S83"/>
    </row>
    <row r="84" spans="1:19" ht="15.75">
      <c r="A84" s="42">
        <v>37</v>
      </c>
      <c r="B84" s="42">
        <v>1</v>
      </c>
      <c r="C84" s="42" t="str">
        <f>+'Vins Rouges&amp;Rosés'!D5</f>
        <v>Fontana Morella vino da tavola</v>
      </c>
      <c r="D84" s="43">
        <f>0.4*E84</f>
        <v>10</v>
      </c>
      <c r="E84" s="43">
        <f>+'Vins Rouges&amp;Rosés'!C5</f>
        <v>25</v>
      </c>
      <c r="F84" s="44">
        <f aca="true" t="shared" si="10" ref="F84:F92">D84/E84</f>
        <v>0.4</v>
      </c>
      <c r="G84" s="43">
        <f aca="true" t="shared" si="11" ref="G84:G92">E84-D84</f>
        <v>15</v>
      </c>
      <c r="H84" s="38"/>
      <c r="J84" s="35" t="s">
        <v>73</v>
      </c>
      <c r="K84" s="70">
        <f>+D92</f>
        <v>15.714285714285717</v>
      </c>
      <c r="L84"/>
      <c r="M84"/>
      <c r="N84"/>
      <c r="O84"/>
      <c r="P84"/>
      <c r="Q84"/>
      <c r="R84"/>
      <c r="S84"/>
    </row>
    <row r="85" spans="1:19" ht="15.75">
      <c r="A85" s="27">
        <v>38</v>
      </c>
      <c r="B85" s="27">
        <v>2</v>
      </c>
      <c r="C85" s="27" t="str">
        <f>+'Vins Rouges&amp;Rosés'!D6</f>
        <v>Merlot Lamberti Santepietre Delle Venezie i.g.t. 2006</v>
      </c>
      <c r="D85" s="43">
        <f aca="true" t="shared" si="12" ref="D85:D90">0.4*E85</f>
        <v>13.200000000000001</v>
      </c>
      <c r="E85" s="31">
        <f>+'Vins Rouges&amp;Rosés'!C6</f>
        <v>33</v>
      </c>
      <c r="F85" s="33">
        <f t="shared" si="10"/>
        <v>0.4</v>
      </c>
      <c r="G85" s="31">
        <f t="shared" si="11"/>
        <v>19.799999999999997</v>
      </c>
      <c r="H85" s="38"/>
      <c r="J85" s="35" t="s">
        <v>74</v>
      </c>
      <c r="K85" s="70">
        <f>+E92</f>
        <v>39.285714285714285</v>
      </c>
      <c r="L85"/>
      <c r="M85"/>
      <c r="N85"/>
      <c r="O85"/>
      <c r="P85"/>
      <c r="Q85"/>
      <c r="R85"/>
      <c r="S85"/>
    </row>
    <row r="86" spans="1:19" ht="15.75">
      <c r="A86" s="27">
        <v>39</v>
      </c>
      <c r="B86" s="27">
        <v>3</v>
      </c>
      <c r="C86" s="27" t="str">
        <f>+'Vins Rouges&amp;Rosés'!D7</f>
        <v>Modello Masi Delle Venezie i.g.t. 2006</v>
      </c>
      <c r="D86" s="43">
        <f t="shared" si="12"/>
        <v>14.8</v>
      </c>
      <c r="E86" s="31">
        <f>+'Vins Rouges&amp;Rosés'!C7</f>
        <v>37</v>
      </c>
      <c r="F86" s="33">
        <f t="shared" si="10"/>
        <v>0.4</v>
      </c>
      <c r="G86" s="31">
        <f t="shared" si="11"/>
        <v>22.2</v>
      </c>
      <c r="H86" s="38"/>
      <c r="J86" s="35" t="s">
        <v>102</v>
      </c>
      <c r="K86" s="71">
        <f>+F92</f>
        <v>0.4000000000000001</v>
      </c>
      <c r="L86"/>
      <c r="M86"/>
      <c r="N86"/>
      <c r="O86"/>
      <c r="P86"/>
      <c r="Q86"/>
      <c r="R86"/>
      <c r="S86"/>
    </row>
    <row r="87" spans="1:19" ht="15.75">
      <c r="A87" s="27">
        <v>40</v>
      </c>
      <c r="B87" s="27">
        <v>4</v>
      </c>
      <c r="C87" s="27" t="str">
        <f>+'Vins Rouges&amp;Rosés'!D8</f>
        <v>Fonte al Sole Ruffino Toscana i.g.t. Sangiovese/Merlot 2004</v>
      </c>
      <c r="D87" s="43">
        <f t="shared" si="12"/>
        <v>14.4</v>
      </c>
      <c r="E87" s="31">
        <f>+'Vins Rouges&amp;Rosés'!C8</f>
        <v>36</v>
      </c>
      <c r="F87" s="33">
        <f t="shared" si="10"/>
        <v>0.4</v>
      </c>
      <c r="G87" s="31">
        <f t="shared" si="11"/>
        <v>21.6</v>
      </c>
      <c r="H87" s="38"/>
      <c r="J87" s="35" t="s">
        <v>75</v>
      </c>
      <c r="K87" s="70">
        <f>+G92</f>
        <v>23.57142857142857</v>
      </c>
      <c r="L87"/>
      <c r="M87"/>
      <c r="N87"/>
      <c r="O87"/>
      <c r="P87"/>
      <c r="Q87"/>
      <c r="R87"/>
      <c r="S87"/>
    </row>
    <row r="88" spans="1:19" ht="15.75">
      <c r="A88" s="27">
        <v>41</v>
      </c>
      <c r="B88" s="27">
        <v>5</v>
      </c>
      <c r="C88" s="27" t="str">
        <f>+'Vins Rouges&amp;Rosés'!D9</f>
        <v>Poggio alla Badiola Mazzei Toscana i.g.t. 2006</v>
      </c>
      <c r="D88" s="43">
        <f t="shared" si="12"/>
        <v>16.8</v>
      </c>
      <c r="E88" s="31">
        <f>+'Vins Rouges&amp;Rosés'!C9</f>
        <v>42</v>
      </c>
      <c r="F88" s="33">
        <f t="shared" si="10"/>
        <v>0.4</v>
      </c>
      <c r="G88" s="31">
        <f t="shared" si="11"/>
        <v>25.2</v>
      </c>
      <c r="H88" s="38"/>
      <c r="J88" s="69"/>
      <c r="K88" s="73"/>
      <c r="L88"/>
      <c r="M88"/>
      <c r="N88"/>
      <c r="O88"/>
      <c r="P88"/>
      <c r="Q88"/>
      <c r="R88"/>
      <c r="S88"/>
    </row>
    <row r="89" spans="1:19" ht="15.75">
      <c r="A89" s="27">
        <v>42</v>
      </c>
      <c r="B89" s="27">
        <v>6</v>
      </c>
      <c r="C89" s="27" t="str">
        <f>+'Vins Rouges&amp;Rosés'!D10</f>
        <v>Ripasso Folonari Valpolicella Superiore Classico 2005</v>
      </c>
      <c r="D89" s="43">
        <f t="shared" si="12"/>
        <v>17.6</v>
      </c>
      <c r="E89" s="31">
        <f>+'Vins Rouges&amp;Rosés'!C10</f>
        <v>44</v>
      </c>
      <c r="F89" s="33">
        <f t="shared" si="10"/>
        <v>0.4</v>
      </c>
      <c r="G89" s="31">
        <f t="shared" si="11"/>
        <v>26.4</v>
      </c>
      <c r="H89" s="38"/>
      <c r="J89" s="69"/>
      <c r="K89" s="73"/>
      <c r="L89"/>
      <c r="M89"/>
      <c r="N89"/>
      <c r="O89"/>
      <c r="P89"/>
      <c r="Q89"/>
      <c r="R89"/>
      <c r="S89"/>
    </row>
    <row r="90" spans="1:19" ht="15.75">
      <c r="A90" s="27">
        <v>43</v>
      </c>
      <c r="B90" s="27">
        <v>7</v>
      </c>
      <c r="C90" s="27" t="str">
        <f>+'Vins Rouges&amp;Rosés'!D11</f>
        <v>Brolio Chianti Classico 2005</v>
      </c>
      <c r="D90" s="43">
        <f t="shared" si="12"/>
        <v>23.200000000000003</v>
      </c>
      <c r="E90" s="31">
        <f>+'Vins Rouges&amp;Rosés'!C11</f>
        <v>58</v>
      </c>
      <c r="F90" s="33">
        <f t="shared" si="10"/>
        <v>0.4</v>
      </c>
      <c r="G90" s="31">
        <f t="shared" si="11"/>
        <v>34.8</v>
      </c>
      <c r="H90" s="38"/>
      <c r="J90" s="69"/>
      <c r="K90" s="73"/>
      <c r="L90"/>
      <c r="M90"/>
      <c r="N90"/>
      <c r="O90"/>
      <c r="P90"/>
      <c r="Q90"/>
      <c r="R90"/>
      <c r="S90"/>
    </row>
    <row r="91" spans="4:19" ht="15.75">
      <c r="D91" s="43"/>
      <c r="E91" s="31"/>
      <c r="F91" s="33"/>
      <c r="G91" s="31"/>
      <c r="H91" s="38"/>
      <c r="J91" s="69"/>
      <c r="K91" s="73"/>
      <c r="L91"/>
      <c r="M91"/>
      <c r="N91"/>
      <c r="O91"/>
      <c r="P91"/>
      <c r="Q91"/>
      <c r="R91"/>
      <c r="S91"/>
    </row>
    <row r="92" spans="3:19" ht="15.75">
      <c r="C92" s="35" t="s">
        <v>101</v>
      </c>
      <c r="D92" s="38">
        <f>+(SUM(D84:D90)/B90)</f>
        <v>15.714285714285717</v>
      </c>
      <c r="E92" s="38">
        <f>+(SUM(E84:E90)/B90)</f>
        <v>39.285714285714285</v>
      </c>
      <c r="F92" s="37">
        <f t="shared" si="10"/>
        <v>0.4000000000000001</v>
      </c>
      <c r="G92" s="38">
        <f t="shared" si="11"/>
        <v>23.57142857142857</v>
      </c>
      <c r="H92" s="38"/>
      <c r="J92" s="69"/>
      <c r="K92" s="73"/>
      <c r="L92"/>
      <c r="M92"/>
      <c r="N92"/>
      <c r="O92"/>
      <c r="P92"/>
      <c r="Q92"/>
      <c r="R92"/>
      <c r="S92"/>
    </row>
    <row r="93" spans="3:19" ht="15.75">
      <c r="C93" s="35"/>
      <c r="D93" s="38"/>
      <c r="E93" s="38"/>
      <c r="F93" s="37"/>
      <c r="G93" s="38"/>
      <c r="H93" s="38"/>
      <c r="J93" s="69"/>
      <c r="K93" s="73"/>
      <c r="L93"/>
      <c r="M93"/>
      <c r="N93"/>
      <c r="O93"/>
      <c r="P93"/>
      <c r="Q93"/>
      <c r="R93"/>
      <c r="S93"/>
    </row>
    <row r="94" spans="3:19" ht="18.75">
      <c r="C94" s="30" t="str">
        <f>+'Vins Rouges&amp;Rosés'!D13</f>
        <v>MEXIQUE</v>
      </c>
      <c r="D94" s="31"/>
      <c r="E94" s="31"/>
      <c r="F94" s="33"/>
      <c r="H94" s="38"/>
      <c r="J94" s="69"/>
      <c r="K94" s="73"/>
      <c r="L94"/>
      <c r="M94"/>
      <c r="N94"/>
      <c r="O94"/>
      <c r="P94"/>
      <c r="Q94"/>
      <c r="R94"/>
      <c r="S94"/>
    </row>
    <row r="95" spans="1:19" ht="15.75">
      <c r="A95" s="27">
        <v>44</v>
      </c>
      <c r="B95" s="27">
        <v>1</v>
      </c>
      <c r="C95" s="27" t="str">
        <f>+'Vins Rouges&amp;Rosés'!D14</f>
        <v>Petite Sirah L.A. Cetto Valle de Guadalupe 2005</v>
      </c>
      <c r="D95" s="31">
        <f>0.4*E95</f>
        <v>12.8</v>
      </c>
      <c r="E95" s="31">
        <f>+'Vins Rouges&amp;Rosés'!C14</f>
        <v>32</v>
      </c>
      <c r="F95" s="33">
        <f>D95/E95</f>
        <v>0.4</v>
      </c>
      <c r="G95" s="31">
        <f>E95-D95</f>
        <v>19.2</v>
      </c>
      <c r="H95" s="38"/>
      <c r="J95" s="35" t="s">
        <v>73</v>
      </c>
      <c r="K95" s="70">
        <f>+D96</f>
        <v>12.8</v>
      </c>
      <c r="L95"/>
      <c r="M95"/>
      <c r="N95"/>
      <c r="O95"/>
      <c r="P95"/>
      <c r="Q95"/>
      <c r="R95"/>
      <c r="S95"/>
    </row>
    <row r="96" spans="3:19" ht="15.75">
      <c r="C96" s="35" t="s">
        <v>101</v>
      </c>
      <c r="D96" s="38">
        <f>+D95/B95</f>
        <v>12.8</v>
      </c>
      <c r="E96" s="38">
        <f>+E95/B95</f>
        <v>32</v>
      </c>
      <c r="F96" s="37">
        <f>D96/E96</f>
        <v>0.4</v>
      </c>
      <c r="G96" s="38">
        <f>E96-D96</f>
        <v>19.2</v>
      </c>
      <c r="H96" s="38"/>
      <c r="J96" s="35" t="s">
        <v>74</v>
      </c>
      <c r="K96" s="70">
        <f>+E96</f>
        <v>32</v>
      </c>
      <c r="L96"/>
      <c r="M96"/>
      <c r="N96"/>
      <c r="O96"/>
      <c r="P96"/>
      <c r="Q96"/>
      <c r="R96"/>
      <c r="S96"/>
    </row>
    <row r="97" spans="3:19" ht="15.75">
      <c r="C97" s="35"/>
      <c r="D97" s="38"/>
      <c r="E97" s="38"/>
      <c r="F97" s="37"/>
      <c r="G97" s="38"/>
      <c r="H97" s="38"/>
      <c r="J97" s="35" t="s">
        <v>76</v>
      </c>
      <c r="K97" s="71">
        <f>+F102</f>
        <v>0.4</v>
      </c>
      <c r="L97"/>
      <c r="M97"/>
      <c r="N97"/>
      <c r="O97"/>
      <c r="P97"/>
      <c r="Q97"/>
      <c r="R97"/>
      <c r="S97"/>
    </row>
    <row r="98" spans="3:19" ht="15.75">
      <c r="C98" s="35"/>
      <c r="D98" s="38"/>
      <c r="E98" s="38"/>
      <c r="F98" s="37"/>
      <c r="G98" s="38"/>
      <c r="H98" s="38"/>
      <c r="J98" s="35" t="s">
        <v>75</v>
      </c>
      <c r="K98" s="70">
        <f>+G96</f>
        <v>19.2</v>
      </c>
      <c r="L98"/>
      <c r="M98"/>
      <c r="N98"/>
      <c r="O98"/>
      <c r="P98"/>
      <c r="Q98"/>
      <c r="R98"/>
      <c r="S98"/>
    </row>
    <row r="99" spans="3:19" ht="18.75">
      <c r="C99" s="30" t="str">
        <f>+'Vins Rouges&amp;Rosés'!D16</f>
        <v>PORTUGAL</v>
      </c>
      <c r="D99" s="31"/>
      <c r="E99" s="31"/>
      <c r="F99" s="33"/>
      <c r="H99" s="38"/>
      <c r="L99"/>
      <c r="M99"/>
      <c r="N99"/>
      <c r="O99"/>
      <c r="P99"/>
      <c r="Q99"/>
      <c r="R99"/>
      <c r="S99"/>
    </row>
    <row r="100" spans="1:19" ht="15.75">
      <c r="A100" s="27">
        <v>45</v>
      </c>
      <c r="B100" s="27">
        <v>1</v>
      </c>
      <c r="C100" s="27" t="str">
        <f>+'Vins Rouges&amp;Rosés'!D17</f>
        <v>Vinho regional Alentejano Vinha do Monte 2005</v>
      </c>
      <c r="D100" s="31">
        <f>0.4*E100</f>
        <v>12.8</v>
      </c>
      <c r="E100" s="31">
        <f>+'Vins Rouges&amp;Rosés'!C17</f>
        <v>32</v>
      </c>
      <c r="F100" s="33">
        <f>D100/E100</f>
        <v>0.4</v>
      </c>
      <c r="G100" s="31">
        <f>E100-D100</f>
        <v>19.2</v>
      </c>
      <c r="H100" s="38"/>
      <c r="J100" s="35" t="s">
        <v>73</v>
      </c>
      <c r="K100" s="70">
        <f>+D102</f>
        <v>12.8</v>
      </c>
      <c r="L100"/>
      <c r="M100"/>
      <c r="N100"/>
      <c r="O100"/>
      <c r="P100"/>
      <c r="Q100"/>
      <c r="R100"/>
      <c r="S100"/>
    </row>
    <row r="101" spans="4:19" ht="15.75">
      <c r="D101" s="31"/>
      <c r="E101" s="31"/>
      <c r="F101" s="33"/>
      <c r="G101" s="31"/>
      <c r="H101" s="38"/>
      <c r="J101" s="35" t="s">
        <v>74</v>
      </c>
      <c r="K101" s="70">
        <f>+E102</f>
        <v>32</v>
      </c>
      <c r="L101"/>
      <c r="M101"/>
      <c r="N101"/>
      <c r="O101"/>
      <c r="P101"/>
      <c r="Q101"/>
      <c r="R101"/>
      <c r="S101"/>
    </row>
    <row r="102" spans="3:19" ht="15.75">
      <c r="C102" s="35" t="s">
        <v>101</v>
      </c>
      <c r="D102" s="38">
        <f>+D100/B100</f>
        <v>12.8</v>
      </c>
      <c r="E102" s="38">
        <f>+E100/B100</f>
        <v>32</v>
      </c>
      <c r="F102" s="37">
        <f>D102/E102</f>
        <v>0.4</v>
      </c>
      <c r="G102" s="38">
        <f>E102-D102</f>
        <v>19.2</v>
      </c>
      <c r="H102" s="38"/>
      <c r="J102" s="35" t="s">
        <v>102</v>
      </c>
      <c r="K102" s="71">
        <f>+F102</f>
        <v>0.4</v>
      </c>
      <c r="L102"/>
      <c r="M102"/>
      <c r="N102"/>
      <c r="O102"/>
      <c r="P102"/>
      <c r="Q102"/>
      <c r="R102"/>
      <c r="S102"/>
    </row>
    <row r="103" spans="3:19" ht="15.75">
      <c r="C103" s="35"/>
      <c r="D103" s="38"/>
      <c r="E103" s="38"/>
      <c r="F103" s="37"/>
      <c r="G103" s="38"/>
      <c r="H103" s="38"/>
      <c r="J103" s="35" t="s">
        <v>75</v>
      </c>
      <c r="K103" s="70">
        <f>+G102</f>
        <v>19.2</v>
      </c>
      <c r="L103"/>
      <c r="M103"/>
      <c r="N103"/>
      <c r="O103"/>
      <c r="P103"/>
      <c r="Q103"/>
      <c r="R103"/>
      <c r="S103"/>
    </row>
    <row r="104" spans="3:19" ht="24">
      <c r="C104" s="110" t="s">
        <v>92</v>
      </c>
      <c r="D104" s="38"/>
      <c r="E104" s="38"/>
      <c r="F104" s="37"/>
      <c r="G104" s="38"/>
      <c r="H104" s="38"/>
      <c r="J104" s="69"/>
      <c r="K104" s="72"/>
      <c r="L104"/>
      <c r="M104"/>
      <c r="N104"/>
      <c r="O104"/>
      <c r="P104"/>
      <c r="Q104"/>
      <c r="R104"/>
      <c r="S104"/>
    </row>
    <row r="105" spans="3:19" ht="7.5" customHeight="1">
      <c r="C105" s="110"/>
      <c r="D105" s="38"/>
      <c r="E105" s="38"/>
      <c r="F105" s="37"/>
      <c r="G105" s="38"/>
      <c r="H105" s="38"/>
      <c r="J105" s="69"/>
      <c r="K105" s="72"/>
      <c r="L105"/>
      <c r="M105"/>
      <c r="N105"/>
      <c r="O105"/>
      <c r="P105"/>
      <c r="Q105"/>
      <c r="R105"/>
      <c r="S105"/>
    </row>
    <row r="106" spans="3:19" ht="18.75">
      <c r="C106" s="30" t="s">
        <v>93</v>
      </c>
      <c r="D106" s="31"/>
      <c r="E106" s="31"/>
      <c r="F106" s="33"/>
      <c r="H106" s="38"/>
      <c r="J106" s="69"/>
      <c r="K106" s="72"/>
      <c r="L106"/>
      <c r="M106"/>
      <c r="N106"/>
      <c r="O106"/>
      <c r="P106"/>
      <c r="Q106"/>
      <c r="R106"/>
      <c r="S106"/>
    </row>
    <row r="107" spans="1:19" ht="15.75">
      <c r="A107" s="27">
        <v>46</v>
      </c>
      <c r="B107" s="27">
        <v>1</v>
      </c>
      <c r="C107" s="27" t="str">
        <f>+'Vins Rouges&amp;Rosés'!D22</f>
        <v>Listel-Gris Grain de Gris vin de pays Sables du Golfe du Lio</v>
      </c>
      <c r="D107" s="31">
        <f>0.4*E107</f>
        <v>12</v>
      </c>
      <c r="E107" s="31">
        <f>+'Vins Rouges&amp;Rosés'!C22</f>
        <v>30</v>
      </c>
      <c r="F107" s="33">
        <f>D107/E107</f>
        <v>0.4</v>
      </c>
      <c r="G107" s="31">
        <f>E107-D107</f>
        <v>18</v>
      </c>
      <c r="H107" s="38"/>
      <c r="J107" s="35" t="s">
        <v>73</v>
      </c>
      <c r="K107" s="70">
        <f>+D112</f>
        <v>14.600000000000001</v>
      </c>
      <c r="L107"/>
      <c r="M107"/>
      <c r="N107"/>
      <c r="O107"/>
      <c r="P107"/>
      <c r="Q107"/>
      <c r="R107"/>
      <c r="S107"/>
    </row>
    <row r="108" spans="1:19" ht="15.75">
      <c r="A108" s="27">
        <v>47</v>
      </c>
      <c r="B108" s="27">
        <v>2</v>
      </c>
      <c r="C108" s="27" t="str">
        <f>+'Vins Rouges&amp;Rosés'!D23</f>
        <v>Château Bellevue La Forêt Côtes du Frontonnais rosé 2006</v>
      </c>
      <c r="D108" s="31">
        <f>0.4*E108</f>
        <v>14.4</v>
      </c>
      <c r="E108" s="31">
        <f>+'Vins Rouges&amp;Rosés'!C23</f>
        <v>36</v>
      </c>
      <c r="F108" s="33">
        <f>D108/E108</f>
        <v>0.4</v>
      </c>
      <c r="G108" s="31">
        <f>E108-D108</f>
        <v>21.6</v>
      </c>
      <c r="H108" s="38"/>
      <c r="J108" s="35" t="s">
        <v>74</v>
      </c>
      <c r="K108" s="70">
        <f>+E112</f>
        <v>36.5</v>
      </c>
      <c r="L108"/>
      <c r="M108"/>
      <c r="N108"/>
      <c r="O108"/>
      <c r="P108"/>
      <c r="Q108"/>
      <c r="R108"/>
      <c r="S108"/>
    </row>
    <row r="109" spans="1:19" ht="15.75">
      <c r="A109" s="27">
        <v>48</v>
      </c>
      <c r="B109" s="27">
        <v>3</v>
      </c>
      <c r="C109" s="27" t="str">
        <f>+'Vins Rouges&amp;Rosés'!D24</f>
        <v>Roseline Prestige Côtes de Provence rosé 2007</v>
      </c>
      <c r="D109" s="31">
        <f>0.4*E109</f>
        <v>15.200000000000001</v>
      </c>
      <c r="E109" s="31">
        <f>+'Vins Rouges&amp;Rosés'!C24</f>
        <v>38</v>
      </c>
      <c r="F109" s="33">
        <f>D109/E109</f>
        <v>0.4</v>
      </c>
      <c r="G109" s="31">
        <f>E109-D109</f>
        <v>22.799999999999997</v>
      </c>
      <c r="H109" s="38"/>
      <c r="J109" s="35" t="s">
        <v>102</v>
      </c>
      <c r="K109" s="71">
        <f>+F112</f>
        <v>0.4</v>
      </c>
      <c r="L109"/>
      <c r="M109"/>
      <c r="N109"/>
      <c r="O109"/>
      <c r="P109"/>
      <c r="Q109"/>
      <c r="R109"/>
      <c r="S109"/>
    </row>
    <row r="110" spans="1:19" ht="15.75">
      <c r="A110" s="27">
        <v>49</v>
      </c>
      <c r="B110" s="27">
        <v>4</v>
      </c>
      <c r="C110" s="27" t="str">
        <f>+'Vins Rouges&amp;Rosés'!D25</f>
        <v>Pétale de Rose Côtes de Provence rosé 2007</v>
      </c>
      <c r="D110" s="31">
        <f>0.4*E110</f>
        <v>16.8</v>
      </c>
      <c r="E110" s="31">
        <f>+'Vins Rouges&amp;Rosés'!C25</f>
        <v>42</v>
      </c>
      <c r="F110" s="33">
        <f>D110/E110</f>
        <v>0.4</v>
      </c>
      <c r="G110" s="31">
        <f>E110-D110</f>
        <v>25.2</v>
      </c>
      <c r="H110" s="38"/>
      <c r="J110" s="35" t="s">
        <v>75</v>
      </c>
      <c r="K110" s="70">
        <f>+G112</f>
        <v>21.9</v>
      </c>
      <c r="L110"/>
      <c r="M110"/>
      <c r="N110"/>
      <c r="O110"/>
      <c r="P110"/>
      <c r="Q110"/>
      <c r="R110"/>
      <c r="S110"/>
    </row>
    <row r="111" spans="4:19" ht="15.75">
      <c r="D111" s="31"/>
      <c r="E111" s="31"/>
      <c r="F111" s="33"/>
      <c r="G111" s="31"/>
      <c r="H111" s="38"/>
      <c r="J111" s="35"/>
      <c r="K111" s="70"/>
      <c r="L111"/>
      <c r="M111"/>
      <c r="N111"/>
      <c r="O111"/>
      <c r="P111"/>
      <c r="Q111"/>
      <c r="R111"/>
      <c r="S111"/>
    </row>
    <row r="112" spans="3:19" ht="15.75">
      <c r="C112" s="35" t="s">
        <v>101</v>
      </c>
      <c r="D112" s="38">
        <f>+(SUM(D107:D110)/B110)</f>
        <v>14.600000000000001</v>
      </c>
      <c r="E112" s="38">
        <f>+(SUM(E107:E110)/B110)</f>
        <v>36.5</v>
      </c>
      <c r="F112" s="37">
        <f>D112/E112</f>
        <v>0.4</v>
      </c>
      <c r="G112" s="38">
        <f>E112-D112</f>
        <v>21.9</v>
      </c>
      <c r="H112" s="38"/>
      <c r="J112" s="69"/>
      <c r="K112" s="72"/>
      <c r="L112"/>
      <c r="M112"/>
      <c r="N112"/>
      <c r="O112"/>
      <c r="P112"/>
      <c r="Q112"/>
      <c r="R112"/>
      <c r="S112"/>
    </row>
    <row r="113" spans="3:19" ht="15.75">
      <c r="C113" s="35"/>
      <c r="D113" s="38"/>
      <c r="E113" s="38"/>
      <c r="F113" s="37"/>
      <c r="G113" s="38"/>
      <c r="H113" s="38"/>
      <c r="J113" s="69"/>
      <c r="K113" s="72"/>
      <c r="L113"/>
      <c r="M113"/>
      <c r="N113"/>
      <c r="O113"/>
      <c r="P113"/>
      <c r="Q113"/>
      <c r="R113"/>
      <c r="S113"/>
    </row>
    <row r="114" spans="3:19" ht="24">
      <c r="C114" s="110" t="s">
        <v>94</v>
      </c>
      <c r="D114" s="38"/>
      <c r="E114" s="38"/>
      <c r="F114" s="37"/>
      <c r="G114" s="38"/>
      <c r="H114" s="38"/>
      <c r="J114" s="69"/>
      <c r="K114" s="72"/>
      <c r="L114"/>
      <c r="M114"/>
      <c r="N114"/>
      <c r="O114"/>
      <c r="P114"/>
      <c r="Q114"/>
      <c r="R114"/>
      <c r="S114"/>
    </row>
    <row r="115" spans="3:19" ht="7.5" customHeight="1">
      <c r="C115" s="110"/>
      <c r="D115" s="38"/>
      <c r="E115" s="38"/>
      <c r="F115" s="37"/>
      <c r="G115" s="38"/>
      <c r="H115" s="38"/>
      <c r="J115" s="69"/>
      <c r="K115" s="72"/>
      <c r="L115"/>
      <c r="M115"/>
      <c r="N115"/>
      <c r="O115"/>
      <c r="P115"/>
      <c r="Q115"/>
      <c r="R115"/>
      <c r="S115"/>
    </row>
    <row r="116" spans="1:19" ht="15.75">
      <c r="A116" s="27">
        <v>50</v>
      </c>
      <c r="B116" s="27">
        <v>1</v>
      </c>
      <c r="C116" s="27" t="str">
        <f>+'Vins de Porto'!D4</f>
        <v>Offley Cachucha reserve Porto blanc</v>
      </c>
      <c r="D116" s="31">
        <f>0.4*E116</f>
        <v>19.200000000000003</v>
      </c>
      <c r="E116" s="31">
        <f>+'Vins de Porto'!C4</f>
        <v>48</v>
      </c>
      <c r="F116" s="33">
        <f>D116/E116</f>
        <v>0.4000000000000001</v>
      </c>
      <c r="G116" s="31">
        <f>E116-D116</f>
        <v>28.799999999999997</v>
      </c>
      <c r="H116" s="38"/>
      <c r="J116" s="35" t="s">
        <v>73</v>
      </c>
      <c r="K116" s="70">
        <f>+D121</f>
        <v>19</v>
      </c>
      <c r="L116"/>
      <c r="M116"/>
      <c r="N116"/>
      <c r="O116"/>
      <c r="P116"/>
      <c r="Q116"/>
      <c r="R116"/>
      <c r="S116"/>
    </row>
    <row r="117" spans="1:19" ht="15.75">
      <c r="A117" s="27">
        <v>51</v>
      </c>
      <c r="B117" s="27">
        <v>2</v>
      </c>
      <c r="C117" s="27" t="str">
        <f>+'Vins de Porto'!D9</f>
        <v>Offley Rei tawny</v>
      </c>
      <c r="D117" s="31">
        <f>0.4*E117</f>
        <v>15.200000000000001</v>
      </c>
      <c r="E117" s="31">
        <f>+'Vins de Porto'!C9</f>
        <v>38</v>
      </c>
      <c r="F117" s="33">
        <f>D117/E117</f>
        <v>0.4</v>
      </c>
      <c r="G117" s="31">
        <f>E117-D117</f>
        <v>22.799999999999997</v>
      </c>
      <c r="H117" s="38"/>
      <c r="J117" s="35" t="s">
        <v>74</v>
      </c>
      <c r="K117" s="70">
        <f>+E121</f>
        <v>47.5</v>
      </c>
      <c r="L117"/>
      <c r="M117"/>
      <c r="N117"/>
      <c r="O117"/>
      <c r="P117"/>
      <c r="Q117"/>
      <c r="R117"/>
      <c r="S117"/>
    </row>
    <row r="118" spans="1:19" ht="15.75">
      <c r="A118" s="27">
        <v>52</v>
      </c>
      <c r="B118" s="27">
        <v>3</v>
      </c>
      <c r="C118" s="27" t="str">
        <f>+'Vins de Porto'!D10</f>
        <v>Offley late bottled vintage 2000</v>
      </c>
      <c r="D118" s="31">
        <f>0.4*E118</f>
        <v>20.8</v>
      </c>
      <c r="E118" s="31">
        <f>+'Vins de Porto'!C10</f>
        <v>52</v>
      </c>
      <c r="F118" s="33">
        <f>D118/E118</f>
        <v>0.4</v>
      </c>
      <c r="G118" s="31">
        <f>E118-D118</f>
        <v>31.2</v>
      </c>
      <c r="H118" s="38"/>
      <c r="J118" s="35" t="s">
        <v>102</v>
      </c>
      <c r="K118" s="71">
        <f>+F121</f>
        <v>0.4</v>
      </c>
      <c r="L118"/>
      <c r="M118"/>
      <c r="N118"/>
      <c r="O118"/>
      <c r="P118"/>
      <c r="Q118"/>
      <c r="R118"/>
      <c r="S118"/>
    </row>
    <row r="119" spans="1:19" ht="15.75">
      <c r="A119" s="27">
        <v>53</v>
      </c>
      <c r="B119" s="27">
        <v>4</v>
      </c>
      <c r="C119" s="27" t="str">
        <f>+'Vins de Porto'!D13</f>
        <v>Warre’s Otima Tawny, 10 ans</v>
      </c>
      <c r="D119" s="31">
        <f>0.4*E119</f>
        <v>20.8</v>
      </c>
      <c r="E119" s="31">
        <f>+'Vins de Porto'!C13</f>
        <v>52</v>
      </c>
      <c r="F119" s="33">
        <f>D119/E119</f>
        <v>0.4</v>
      </c>
      <c r="G119" s="31">
        <f>E119-D119</f>
        <v>31.2</v>
      </c>
      <c r="H119" s="38"/>
      <c r="J119" s="35" t="s">
        <v>75</v>
      </c>
      <c r="K119" s="70">
        <f>+G121</f>
        <v>28.5</v>
      </c>
      <c r="L119"/>
      <c r="M119"/>
      <c r="N119"/>
      <c r="O119"/>
      <c r="P119"/>
      <c r="Q119"/>
      <c r="R119"/>
      <c r="S119"/>
    </row>
    <row r="120" spans="4:19" ht="15.75">
      <c r="D120" s="31"/>
      <c r="E120" s="31"/>
      <c r="F120" s="33"/>
      <c r="G120" s="31"/>
      <c r="H120" s="38"/>
      <c r="J120" s="35"/>
      <c r="K120" s="70"/>
      <c r="L120"/>
      <c r="M120"/>
      <c r="N120"/>
      <c r="O120"/>
      <c r="P120"/>
      <c r="Q120"/>
      <c r="R120"/>
      <c r="S120"/>
    </row>
    <row r="121" spans="3:19" ht="15.75">
      <c r="C121" s="35" t="s">
        <v>101</v>
      </c>
      <c r="D121" s="38">
        <f>+(SUM(D116:D119)/B119)</f>
        <v>19</v>
      </c>
      <c r="E121" s="38">
        <f>+(SUM(E116:E119)/B119)</f>
        <v>47.5</v>
      </c>
      <c r="F121" s="37">
        <f>D121/E121</f>
        <v>0.4</v>
      </c>
      <c r="G121" s="38">
        <f>E121-D121</f>
        <v>28.5</v>
      </c>
      <c r="H121" s="38"/>
      <c r="J121" s="69"/>
      <c r="K121" s="72"/>
      <c r="L121"/>
      <c r="M121"/>
      <c r="N121"/>
      <c r="O121"/>
      <c r="P121"/>
      <c r="Q121"/>
      <c r="R121"/>
      <c r="S121"/>
    </row>
    <row r="122" spans="3:19" ht="15.75">
      <c r="C122" s="35"/>
      <c r="D122" s="38"/>
      <c r="E122" s="38"/>
      <c r="F122" s="37"/>
      <c r="G122" s="38"/>
      <c r="H122" s="38"/>
      <c r="J122" s="35"/>
      <c r="K122" s="70"/>
      <c r="L122"/>
      <c r="M122"/>
      <c r="N122"/>
      <c r="O122"/>
      <c r="P122"/>
      <c r="Q122"/>
      <c r="R122"/>
      <c r="S122"/>
    </row>
    <row r="123" spans="3:19" ht="16.5" thickBot="1">
      <c r="C123" s="35"/>
      <c r="D123" s="38"/>
      <c r="E123" s="38"/>
      <c r="F123" s="37"/>
      <c r="G123" s="38"/>
      <c r="H123" s="38"/>
      <c r="J123" s="35" t="s">
        <v>20</v>
      </c>
      <c r="K123" s="71" t="s">
        <v>20</v>
      </c>
      <c r="L123"/>
      <c r="M123"/>
      <c r="N123"/>
      <c r="O123"/>
      <c r="P123"/>
      <c r="Q123"/>
      <c r="R123"/>
      <c r="S123"/>
    </row>
    <row r="124" spans="2:19" ht="18" thickBot="1" thickTop="1">
      <c r="B124" s="46"/>
      <c r="C124" s="47"/>
      <c r="D124" s="48"/>
      <c r="E124" s="48"/>
      <c r="F124" s="49"/>
      <c r="G124" s="48"/>
      <c r="H124" s="77"/>
      <c r="I124" s="56"/>
      <c r="L124"/>
      <c r="M124"/>
      <c r="N124"/>
      <c r="O124"/>
      <c r="P124"/>
      <c r="Q124"/>
      <c r="R124"/>
      <c r="S124"/>
    </row>
    <row r="125" spans="2:19" ht="15" thickBot="1" thickTop="1">
      <c r="B125" s="50"/>
      <c r="C125" s="51"/>
      <c r="D125" s="61" t="s">
        <v>72</v>
      </c>
      <c r="E125" s="61" t="s">
        <v>69</v>
      </c>
      <c r="F125" s="62" t="s">
        <v>95</v>
      </c>
      <c r="G125" s="60" t="s">
        <v>103</v>
      </c>
      <c r="H125" s="76"/>
      <c r="I125" s="56"/>
      <c r="J125" s="35" t="s">
        <v>73</v>
      </c>
      <c r="K125" s="70">
        <f>+D127</f>
        <v>15.652830188679246</v>
      </c>
      <c r="L125"/>
      <c r="M125"/>
      <c r="N125"/>
      <c r="O125"/>
      <c r="P125"/>
      <c r="Q125"/>
      <c r="R125"/>
      <c r="S125"/>
    </row>
    <row r="126" spans="2:19" ht="18" thickTop="1">
      <c r="B126" s="50"/>
      <c r="C126" s="52" t="s">
        <v>106</v>
      </c>
      <c r="D126" s="53"/>
      <c r="E126" s="53"/>
      <c r="F126" s="54"/>
      <c r="G126" s="56"/>
      <c r="H126" s="55"/>
      <c r="I126" s="56"/>
      <c r="J126" s="35" t="s">
        <v>74</v>
      </c>
      <c r="K126" s="70">
        <f>+E127</f>
        <v>39.132075471698116</v>
      </c>
      <c r="L126"/>
      <c r="M126"/>
      <c r="N126"/>
      <c r="O126"/>
      <c r="P126"/>
      <c r="Q126"/>
      <c r="R126"/>
      <c r="S126"/>
    </row>
    <row r="127" spans="2:19" ht="18">
      <c r="B127" s="50"/>
      <c r="C127" s="35" t="s">
        <v>101</v>
      </c>
      <c r="D127" s="63">
        <f>+(D10+D11+D12+D13+D14+D15+D20+D21+D22+D23+D24+D29+D36+D37+D42+D43+D44+D45+D50+D51+D52+D57+D58+D59+D64+D65+D66+D67+D68+D73+D74+D75+D76+D77+D78+D79+D84+D85+D86+D87+D88+D89+D90+D95+D100+D107+D108+D109+D110+D116+D117+D118+D119)/A119</f>
        <v>15.652830188679246</v>
      </c>
      <c r="E127" s="63">
        <f>+(E10+E11+E12+E13+E14+E15+E20+E21+E22+E23+E24+E29+E36+E37+E42+E43+E44+E45+E50+E51+E52+E57+E58+E59+E64+E65+E66+E67+E68+E73+E74+E75+E76+E77+E78+E79+E84+E85+E86+E87+E88+E89+E90+E95+E100+E107+E108+E109+E110+E116+E117+E118+E119)/A119</f>
        <v>39.132075471698116</v>
      </c>
      <c r="F127" s="37">
        <f>D127/E127</f>
        <v>0.4</v>
      </c>
      <c r="G127" s="38">
        <f>E127-D127</f>
        <v>23.47924528301887</v>
      </c>
      <c r="H127" s="78"/>
      <c r="I127" s="56"/>
      <c r="J127" s="35" t="s">
        <v>102</v>
      </c>
      <c r="K127" s="71">
        <f>+F127</f>
        <v>0.4</v>
      </c>
      <c r="L127"/>
      <c r="M127"/>
      <c r="N127"/>
      <c r="O127"/>
      <c r="P127"/>
      <c r="Q127"/>
      <c r="R127"/>
      <c r="S127"/>
    </row>
    <row r="128" spans="2:19" ht="15">
      <c r="B128" s="50"/>
      <c r="C128" s="56"/>
      <c r="D128" s="64"/>
      <c r="E128" s="64"/>
      <c r="F128" s="65"/>
      <c r="G128" s="66"/>
      <c r="H128" s="79"/>
      <c r="I128" s="56"/>
      <c r="J128" s="35" t="s">
        <v>75</v>
      </c>
      <c r="K128" s="70">
        <f>+G127</f>
        <v>23.47924528301887</v>
      </c>
      <c r="L128"/>
      <c r="M128"/>
      <c r="N128"/>
      <c r="O128"/>
      <c r="P128"/>
      <c r="Q128"/>
      <c r="R128"/>
      <c r="S128"/>
    </row>
    <row r="129" spans="2:19" ht="13.5" thickBot="1">
      <c r="B129" s="57"/>
      <c r="C129" s="58"/>
      <c r="D129" s="58"/>
      <c r="E129" s="58"/>
      <c r="F129" s="58"/>
      <c r="G129" s="58"/>
      <c r="H129" s="59"/>
      <c r="I129" s="56"/>
      <c r="J129" s="69" t="s">
        <v>20</v>
      </c>
      <c r="K129" s="72" t="s">
        <v>20</v>
      </c>
      <c r="L129"/>
      <c r="M129"/>
      <c r="N129"/>
      <c r="O129"/>
      <c r="P129"/>
      <c r="Q129"/>
      <c r="R129"/>
      <c r="S129"/>
    </row>
    <row r="130" spans="5:19" ht="13.5" thickTop="1">
      <c r="E130" s="27" t="s">
        <v>20</v>
      </c>
      <c r="J130" s="69" t="s">
        <v>20</v>
      </c>
      <c r="K130" s="72" t="s">
        <v>20</v>
      </c>
      <c r="L130"/>
      <c r="M130"/>
      <c r="N130"/>
      <c r="O130"/>
      <c r="P130"/>
      <c r="Q130"/>
      <c r="R130"/>
      <c r="S130"/>
    </row>
    <row r="131" spans="4:19" ht="12.75">
      <c r="D131" s="31"/>
      <c r="E131" s="31"/>
      <c r="J131" s="69" t="s">
        <v>20</v>
      </c>
      <c r="K131" s="73" t="s">
        <v>20</v>
      </c>
      <c r="L131"/>
      <c r="M131"/>
      <c r="N131"/>
      <c r="O131"/>
      <c r="P131"/>
      <c r="Q131"/>
      <c r="R131"/>
      <c r="S131"/>
    </row>
    <row r="132" spans="4:19" ht="12.75">
      <c r="D132" s="31"/>
      <c r="E132" s="31"/>
      <c r="J132" s="69" t="s">
        <v>20</v>
      </c>
      <c r="K132" s="72" t="s">
        <v>20</v>
      </c>
      <c r="L132"/>
      <c r="M132"/>
      <c r="N132"/>
      <c r="O132"/>
      <c r="P132"/>
      <c r="Q132"/>
      <c r="R132"/>
      <c r="S132"/>
    </row>
    <row r="133" spans="4:11" ht="12">
      <c r="D133" s="31"/>
      <c r="J133" s="27" t="s">
        <v>20</v>
      </c>
      <c r="K133" s="27" t="s">
        <v>20</v>
      </c>
    </row>
    <row r="134" spans="4:11" ht="12">
      <c r="D134" s="31"/>
      <c r="K134" s="27" t="s">
        <v>20</v>
      </c>
    </row>
    <row r="135" spans="4:11" ht="12">
      <c r="D135" s="31"/>
      <c r="K135" s="27" t="s">
        <v>20</v>
      </c>
    </row>
    <row r="136" spans="4:11" ht="12">
      <c r="D136" s="31"/>
      <c r="K136" s="27" t="s">
        <v>20</v>
      </c>
    </row>
    <row r="137" ht="12">
      <c r="D137" s="31"/>
    </row>
    <row r="138" ht="12">
      <c r="D138" s="31"/>
    </row>
    <row r="139" ht="12">
      <c r="D139" s="31"/>
    </row>
    <row r="140" ht="12">
      <c r="D140" s="31"/>
    </row>
    <row r="141" ht="12">
      <c r="D141" s="31"/>
    </row>
    <row r="142" ht="12">
      <c r="D142" s="31"/>
    </row>
    <row r="143" ht="12">
      <c r="D143" s="31"/>
    </row>
    <row r="144" ht="12">
      <c r="D144" s="31"/>
    </row>
    <row r="145" ht="12">
      <c r="D145" s="31"/>
    </row>
    <row r="146" ht="12">
      <c r="D146" s="31"/>
    </row>
    <row r="147" ht="12">
      <c r="D147" s="31"/>
    </row>
    <row r="148" ht="12">
      <c r="D148" s="31"/>
    </row>
  </sheetData>
  <sheetProtection/>
  <mergeCells count="4">
    <mergeCell ref="D4:D6"/>
    <mergeCell ref="E4:E6"/>
    <mergeCell ref="F4:F6"/>
    <mergeCell ref="G4:G6"/>
  </mergeCell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B1:G48"/>
  <sheetViews>
    <sheetView showGridLines="0" showZeros="0" workbookViewId="0" topLeftCell="A1">
      <selection activeCell="A1" sqref="A1"/>
    </sheetView>
  </sheetViews>
  <sheetFormatPr defaultColWidth="11.00390625" defaultRowHeight="12.75"/>
  <cols>
    <col min="1" max="1" width="4.125" style="0" customWidth="1"/>
    <col min="2" max="2" width="7.125" style="0" customWidth="1"/>
    <col min="3" max="3" width="7.125" style="12" customWidth="1"/>
    <col min="4" max="4" width="54.00390625" style="0" customWidth="1"/>
    <col min="5" max="5" width="13.875" style="0" customWidth="1"/>
    <col min="7" max="9" width="56.625" style="0" customWidth="1"/>
    <col min="10" max="11" width="10.25390625" style="0" customWidth="1"/>
    <col min="12" max="12" width="21.375" style="0" customWidth="1"/>
    <col min="13" max="13" width="5.875" style="0" customWidth="1"/>
  </cols>
  <sheetData>
    <row r="1" spans="3:6" ht="129.75" customHeight="1">
      <c r="C1" s="11"/>
      <c r="E1" s="107" t="s">
        <v>71</v>
      </c>
      <c r="F1" s="89">
        <f>+(C5+C6+C7+C8+C9+C10+C13+C14+C15+C16+C17+C20)/12</f>
        <v>39.333333333333336</v>
      </c>
    </row>
    <row r="2" spans="3:6" ht="72" customHeight="1">
      <c r="C2" s="16" t="s">
        <v>62</v>
      </c>
      <c r="E2" s="80" t="s">
        <v>20</v>
      </c>
      <c r="F2" s="90"/>
    </row>
    <row r="3" spans="3:7" ht="12.75" customHeight="1">
      <c r="C3" s="11"/>
      <c r="E3" s="87"/>
      <c r="F3" s="90"/>
      <c r="G3" s="88"/>
    </row>
    <row r="4" spans="3:7" ht="12.75" customHeight="1">
      <c r="C4" s="14"/>
      <c r="D4" s="15" t="s">
        <v>9</v>
      </c>
      <c r="E4" s="80" t="s">
        <v>83</v>
      </c>
      <c r="F4" s="84">
        <f>+(C5+C6+C7+C8+C9+C10)/6</f>
        <v>43.833333333333336</v>
      </c>
      <c r="G4" s="88"/>
    </row>
    <row r="5" spans="3:7" ht="12.75" customHeight="1">
      <c r="C5" s="81">
        <v>32</v>
      </c>
      <c r="D5" s="13" t="s">
        <v>104</v>
      </c>
      <c r="E5" s="87"/>
      <c r="F5" s="87"/>
      <c r="G5" s="88"/>
    </row>
    <row r="6" spans="3:7" ht="12.75" customHeight="1">
      <c r="C6" s="81">
        <v>40</v>
      </c>
      <c r="D6" s="13" t="s">
        <v>57</v>
      </c>
      <c r="E6" s="87"/>
      <c r="F6" s="90"/>
      <c r="G6" s="88"/>
    </row>
    <row r="7" spans="3:7" ht="12.75" customHeight="1">
      <c r="C7" s="81">
        <v>39</v>
      </c>
      <c r="D7" s="13" t="s">
        <v>43</v>
      </c>
      <c r="E7" s="88"/>
      <c r="F7" s="90"/>
      <c r="G7" s="88"/>
    </row>
    <row r="8" spans="3:7" ht="12.75" customHeight="1">
      <c r="C8" s="81">
        <v>44</v>
      </c>
      <c r="D8" s="13" t="s">
        <v>44</v>
      </c>
      <c r="E8" s="88"/>
      <c r="F8" s="90"/>
      <c r="G8" s="88"/>
    </row>
    <row r="9" spans="3:7" ht="12.75" customHeight="1">
      <c r="C9" s="81">
        <v>50</v>
      </c>
      <c r="D9" s="13" t="s">
        <v>45</v>
      </c>
      <c r="E9" s="88"/>
      <c r="F9" s="90"/>
      <c r="G9" s="88"/>
    </row>
    <row r="10" spans="3:7" ht="12.75" customHeight="1">
      <c r="C10" s="81">
        <v>58</v>
      </c>
      <c r="D10" s="13" t="s">
        <v>46</v>
      </c>
      <c r="E10" s="88"/>
      <c r="F10" s="90"/>
      <c r="G10" s="88"/>
    </row>
    <row r="11" spans="5:7" ht="12.75" customHeight="1">
      <c r="E11" s="80"/>
      <c r="F11" s="90"/>
      <c r="G11" s="88"/>
    </row>
    <row r="12" spans="3:7" ht="12.75" customHeight="1">
      <c r="C12" s="14"/>
      <c r="D12" s="18" t="s">
        <v>10</v>
      </c>
      <c r="E12" s="80" t="s">
        <v>84</v>
      </c>
      <c r="F12" s="89">
        <f>+(C13+C14+C15+C16+C17)/5</f>
        <v>32</v>
      </c>
      <c r="G12" s="88"/>
    </row>
    <row r="13" spans="2:7" ht="12.75" customHeight="1">
      <c r="B13" s="14"/>
      <c r="C13" s="81">
        <v>29</v>
      </c>
      <c r="D13" s="5" t="s">
        <v>47</v>
      </c>
      <c r="E13" s="87"/>
      <c r="F13" s="87"/>
      <c r="G13" s="88"/>
    </row>
    <row r="14" spans="2:7" ht="12.75" customHeight="1">
      <c r="B14" s="14" t="s">
        <v>68</v>
      </c>
      <c r="C14" s="81">
        <v>25</v>
      </c>
      <c r="D14" s="5" t="s">
        <v>39</v>
      </c>
      <c r="E14" s="87"/>
      <c r="F14" s="87"/>
      <c r="G14" s="88"/>
    </row>
    <row r="15" spans="2:7" ht="12.75" customHeight="1">
      <c r="B15" s="14"/>
      <c r="C15" s="81">
        <v>32</v>
      </c>
      <c r="D15" s="5" t="s">
        <v>12</v>
      </c>
      <c r="E15" s="87"/>
      <c r="F15" s="87"/>
      <c r="G15" s="88"/>
    </row>
    <row r="16" spans="2:7" ht="12.75" customHeight="1">
      <c r="B16" s="14"/>
      <c r="C16" s="81">
        <v>35</v>
      </c>
      <c r="D16" s="5" t="s">
        <v>33</v>
      </c>
      <c r="E16" s="86"/>
      <c r="F16" s="90"/>
      <c r="G16" s="88"/>
    </row>
    <row r="17" spans="2:7" ht="12.75" customHeight="1">
      <c r="B17" s="14"/>
      <c r="C17" s="81">
        <v>39</v>
      </c>
      <c r="D17" s="5" t="s">
        <v>13</v>
      </c>
      <c r="E17" s="80"/>
      <c r="F17" s="80"/>
      <c r="G17" s="88"/>
    </row>
    <row r="18" spans="2:7" ht="12.75" customHeight="1">
      <c r="B18" s="8"/>
      <c r="C18" s="82"/>
      <c r="D18" s="7"/>
      <c r="E18" s="87" t="s">
        <v>20</v>
      </c>
      <c r="F18" s="87"/>
      <c r="G18" s="88"/>
    </row>
    <row r="19" spans="2:7" ht="12.75" customHeight="1">
      <c r="B19" s="4"/>
      <c r="C19" s="83"/>
      <c r="D19" s="18" t="s">
        <v>30</v>
      </c>
      <c r="E19" s="80" t="s">
        <v>85</v>
      </c>
      <c r="F19" s="89">
        <f>+C20/1</f>
        <v>49</v>
      </c>
      <c r="G19" s="88"/>
    </row>
    <row r="20" spans="2:7" ht="12.75" customHeight="1">
      <c r="B20" s="14"/>
      <c r="C20" s="81">
        <v>49</v>
      </c>
      <c r="D20" s="5" t="s">
        <v>34</v>
      </c>
      <c r="E20" s="80"/>
      <c r="F20" s="85"/>
      <c r="G20" s="88"/>
    </row>
    <row r="21" spans="5:6" ht="12.75" customHeight="1">
      <c r="E21" s="14"/>
      <c r="F21" s="14"/>
    </row>
    <row r="22" spans="5:6" ht="12.75" customHeight="1">
      <c r="E22" s="8"/>
      <c r="F22" s="8"/>
    </row>
    <row r="23" ht="12.75" customHeight="1">
      <c r="E23" s="4"/>
    </row>
    <row r="24" spans="5:6" ht="12.75" customHeight="1">
      <c r="E24" s="14"/>
      <c r="F24" s="14"/>
    </row>
    <row r="25" spans="5:6" ht="12.75" customHeight="1">
      <c r="E25" s="4"/>
      <c r="F25" s="4"/>
    </row>
    <row r="26" ht="12.75" customHeight="1">
      <c r="E26" s="4"/>
    </row>
    <row r="27" spans="5:6" ht="12.75" customHeight="1">
      <c r="E27" s="14"/>
      <c r="F27" s="14"/>
    </row>
    <row r="28" spans="3:6" ht="12.75" customHeight="1">
      <c r="C28" s="2"/>
      <c r="D28" s="17"/>
      <c r="E28" s="8" t="s">
        <v>20</v>
      </c>
      <c r="F28" s="8"/>
    </row>
    <row r="29" spans="3:5" ht="12.75" customHeight="1">
      <c r="C29" s="14"/>
      <c r="D29" s="13"/>
      <c r="E29" s="8"/>
    </row>
    <row r="30" spans="3:6" ht="12.75" customHeight="1">
      <c r="C30" s="2"/>
      <c r="D30" s="7"/>
      <c r="E30" s="14"/>
      <c r="F30" s="14"/>
    </row>
    <row r="31" spans="3:6" ht="12.75" customHeight="1">
      <c r="C31" s="2"/>
      <c r="D31" s="17"/>
      <c r="E31" s="8"/>
      <c r="F31" s="8"/>
    </row>
    <row r="32" spans="3:5" ht="12.75" customHeight="1">
      <c r="C32" s="14"/>
      <c r="D32" s="13"/>
      <c r="E32" s="4"/>
    </row>
    <row r="33" spans="3:6" ht="12.75" customHeight="1">
      <c r="C33" s="14"/>
      <c r="D33" s="13"/>
      <c r="E33" s="14"/>
      <c r="F33" s="14"/>
    </row>
    <row r="34" spans="3:6" ht="12.75" customHeight="1">
      <c r="C34" s="14"/>
      <c r="D34" s="13"/>
      <c r="E34" s="14"/>
      <c r="F34" s="14"/>
    </row>
    <row r="35" spans="3:6" ht="12.75" customHeight="1">
      <c r="C35" s="14"/>
      <c r="D35" s="13"/>
      <c r="E35" s="14"/>
      <c r="F35" s="14"/>
    </row>
    <row r="36" spans="3:6" ht="12.75" customHeight="1">
      <c r="C36" s="14"/>
      <c r="D36" s="13"/>
      <c r="E36" s="14"/>
      <c r="F36" s="14"/>
    </row>
    <row r="37" spans="3:6" ht="12.75" customHeight="1">
      <c r="C37" s="14"/>
      <c r="D37" s="13"/>
      <c r="E37" s="14"/>
      <c r="F37" s="14"/>
    </row>
    <row r="38" spans="3:6" ht="12.75" customHeight="1">
      <c r="C38" s="2"/>
      <c r="E38" s="14"/>
      <c r="F38" s="14"/>
    </row>
    <row r="39" spans="3:4" ht="12.75" customHeight="1">
      <c r="C39" s="2"/>
      <c r="D39" s="7"/>
    </row>
    <row r="40" ht="12.75" customHeight="1">
      <c r="C40" s="2"/>
    </row>
    <row r="41" spans="3:6" ht="12.75" customHeight="1">
      <c r="C41" s="2"/>
      <c r="D41" s="13"/>
      <c r="E41" s="14"/>
      <c r="F41" s="14"/>
    </row>
    <row r="42" spans="3:6" ht="12.75" customHeight="1">
      <c r="C42" s="2"/>
      <c r="D42" s="13"/>
      <c r="E42" s="14"/>
      <c r="F42" s="14"/>
    </row>
    <row r="43" spans="3:6" ht="12.75" customHeight="1">
      <c r="C43" s="2"/>
      <c r="D43" s="13"/>
      <c r="E43" s="14"/>
      <c r="F43" s="14"/>
    </row>
    <row r="44" spans="3:6" ht="12.75" customHeight="1">
      <c r="C44" s="2"/>
      <c r="D44" s="13"/>
      <c r="E44" s="14"/>
      <c r="F44" s="14"/>
    </row>
    <row r="45" spans="3:6" ht="12.75" customHeight="1">
      <c r="C45" s="2"/>
      <c r="D45" s="13"/>
      <c r="E45" s="14"/>
      <c r="F45" s="14"/>
    </row>
    <row r="46" spans="3:6" ht="12.75" customHeight="1">
      <c r="C46" s="2"/>
      <c r="D46" s="7"/>
      <c r="E46" s="8"/>
      <c r="F46" s="8"/>
    </row>
    <row r="47" spans="3:5" ht="12.75" customHeight="1">
      <c r="C47" s="2"/>
      <c r="E47" s="4"/>
    </row>
    <row r="48" spans="4:6" ht="12.75" customHeight="1">
      <c r="D48" s="13"/>
      <c r="E48" s="14"/>
      <c r="F48" s="14"/>
    </row>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hyperlinks>
    <hyperlink ref="E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3.xml><?xml version="1.0" encoding="utf-8"?>
<worksheet xmlns="http://schemas.openxmlformats.org/spreadsheetml/2006/main" xmlns:r="http://schemas.openxmlformats.org/officeDocument/2006/relationships">
  <dimension ref="B1:G60"/>
  <sheetViews>
    <sheetView showGridLines="0" showZeros="0" workbookViewId="0" topLeftCell="A1">
      <selection activeCell="A1" sqref="A1"/>
    </sheetView>
  </sheetViews>
  <sheetFormatPr defaultColWidth="11.00390625" defaultRowHeight="12.75"/>
  <cols>
    <col min="1" max="1" width="4.125" style="0" customWidth="1"/>
    <col min="2" max="2" width="7.125" style="0" customWidth="1"/>
    <col min="3" max="3" width="7.125" style="12" customWidth="1"/>
    <col min="4" max="4" width="54.00390625" style="0" customWidth="1"/>
    <col min="5" max="5" width="14.00390625" style="0" customWidth="1"/>
    <col min="7" max="9" width="56.625" style="0" customWidth="1"/>
    <col min="10" max="11" width="10.25390625" style="0" customWidth="1"/>
    <col min="12" max="12" width="21.375" style="0" customWidth="1"/>
    <col min="13" max="13" width="5.875" style="0" customWidth="1"/>
  </cols>
  <sheetData>
    <row r="1" ht="129.75" customHeight="1">
      <c r="C1" s="11"/>
    </row>
    <row r="2" spans="3:6" ht="72" customHeight="1">
      <c r="C2" s="16" t="s">
        <v>62</v>
      </c>
      <c r="E2" s="45" t="s">
        <v>71</v>
      </c>
      <c r="F2" s="69">
        <f>(C5+C6+C9+C10+C11+C12+C15+C16+C17+C20+C21+C22+C25+C26+C27+C28+C29+C32+C33+C34+C35+C36+C37+C38)/24</f>
        <v>38.625</v>
      </c>
    </row>
    <row r="3" spans="3:6" ht="12.75" customHeight="1">
      <c r="C3" s="11"/>
      <c r="E3" s="114"/>
      <c r="F3" s="15"/>
    </row>
    <row r="4" spans="3:7" ht="12.75" customHeight="1">
      <c r="C4" s="2"/>
      <c r="D4" s="17" t="s">
        <v>4</v>
      </c>
      <c r="E4" s="116" t="s">
        <v>96</v>
      </c>
      <c r="F4" s="26">
        <f>+(C5+C6)/2</f>
        <v>33.5</v>
      </c>
      <c r="G4" s="112"/>
    </row>
    <row r="5" spans="2:7" ht="12.75" customHeight="1">
      <c r="B5" s="14"/>
      <c r="C5" s="113">
        <v>30</v>
      </c>
      <c r="D5" s="5" t="s">
        <v>14</v>
      </c>
      <c r="E5" s="117"/>
      <c r="F5" s="118"/>
      <c r="G5" s="112"/>
    </row>
    <row r="6" spans="2:7" ht="12.75" customHeight="1">
      <c r="B6" s="14"/>
      <c r="C6" s="113">
        <v>37</v>
      </c>
      <c r="D6" s="5" t="s">
        <v>36</v>
      </c>
      <c r="E6" s="117"/>
      <c r="F6" s="118"/>
      <c r="G6" s="112"/>
    </row>
    <row r="7" spans="2:7" ht="12.75" customHeight="1">
      <c r="B7" s="14"/>
      <c r="C7" s="113"/>
      <c r="D7" s="7"/>
      <c r="E7" s="114"/>
      <c r="F7" s="72"/>
      <c r="G7" s="112"/>
    </row>
    <row r="8" spans="2:7" ht="12.75" customHeight="1">
      <c r="B8" s="14"/>
      <c r="C8" s="113"/>
      <c r="D8" s="17" t="s">
        <v>5</v>
      </c>
      <c r="E8" s="116" t="s">
        <v>97</v>
      </c>
      <c r="F8" s="26">
        <f>(+C9+C10+C11+C12)/4</f>
        <v>40.5</v>
      </c>
      <c r="G8" s="112"/>
    </row>
    <row r="9" spans="2:7" ht="12.75" customHeight="1">
      <c r="B9" s="14"/>
      <c r="C9" s="113">
        <v>36</v>
      </c>
      <c r="D9" s="5" t="s">
        <v>15</v>
      </c>
      <c r="E9" s="117"/>
      <c r="F9" s="118"/>
      <c r="G9" s="112"/>
    </row>
    <row r="10" spans="2:7" ht="12.75" customHeight="1">
      <c r="B10" s="8"/>
      <c r="C10" s="113">
        <v>38</v>
      </c>
      <c r="D10" s="5" t="s">
        <v>37</v>
      </c>
      <c r="E10" s="117"/>
      <c r="F10" s="118"/>
      <c r="G10" s="112"/>
    </row>
    <row r="11" spans="2:7" ht="12.75" customHeight="1">
      <c r="B11" s="4"/>
      <c r="C11" s="113">
        <v>44</v>
      </c>
      <c r="D11" s="5" t="s">
        <v>16</v>
      </c>
      <c r="E11" s="117"/>
      <c r="F11" s="118"/>
      <c r="G11" s="112"/>
    </row>
    <row r="12" spans="2:7" ht="12.75" customHeight="1">
      <c r="B12" s="14"/>
      <c r="C12" s="113">
        <v>44</v>
      </c>
      <c r="D12" s="5" t="s">
        <v>38</v>
      </c>
      <c r="E12" s="117"/>
      <c r="F12" s="118"/>
      <c r="G12" s="112"/>
    </row>
    <row r="13" spans="3:7" ht="12.75" customHeight="1">
      <c r="C13" s="113"/>
      <c r="D13" s="7"/>
      <c r="E13" s="114"/>
      <c r="F13" s="72"/>
      <c r="G13" s="112"/>
    </row>
    <row r="14" spans="3:7" ht="12.75" customHeight="1">
      <c r="C14" s="113"/>
      <c r="D14" s="17" t="s">
        <v>6</v>
      </c>
      <c r="E14" s="116" t="s">
        <v>98</v>
      </c>
      <c r="F14" s="26">
        <f>+(C15+C16+C17)/3</f>
        <v>37.666666666666664</v>
      </c>
      <c r="G14" s="112"/>
    </row>
    <row r="15" spans="3:7" ht="12.75" customHeight="1">
      <c r="C15" s="113">
        <v>32</v>
      </c>
      <c r="D15" s="5" t="s">
        <v>48</v>
      </c>
      <c r="E15" s="117"/>
      <c r="F15" s="118"/>
      <c r="G15" s="112"/>
    </row>
    <row r="16" spans="3:7" ht="12.75" customHeight="1">
      <c r="C16" s="113">
        <v>37</v>
      </c>
      <c r="D16" s="5" t="s">
        <v>17</v>
      </c>
      <c r="E16" s="117"/>
      <c r="F16" s="118"/>
      <c r="G16" s="112"/>
    </row>
    <row r="17" spans="3:7" ht="12.75" customHeight="1">
      <c r="C17" s="113">
        <v>44</v>
      </c>
      <c r="D17" s="5" t="s">
        <v>49</v>
      </c>
      <c r="E17" s="117"/>
      <c r="F17" s="118"/>
      <c r="G17" s="112"/>
    </row>
    <row r="18" spans="3:7" ht="12.75" customHeight="1">
      <c r="C18" s="113"/>
      <c r="D18" s="7"/>
      <c r="E18" s="114"/>
      <c r="F18" s="72"/>
      <c r="G18" s="112"/>
    </row>
    <row r="19" spans="3:7" ht="12.75" customHeight="1">
      <c r="C19" s="113"/>
      <c r="D19" s="17" t="s">
        <v>7</v>
      </c>
      <c r="E19" s="116" t="s">
        <v>99</v>
      </c>
      <c r="F19" s="26">
        <f>+(C20+C21+C22)/3</f>
        <v>37</v>
      </c>
      <c r="G19" s="112"/>
    </row>
    <row r="20" spans="3:7" ht="12.75" customHeight="1">
      <c r="C20" s="113">
        <v>35</v>
      </c>
      <c r="D20" s="5" t="s">
        <v>21</v>
      </c>
      <c r="E20" s="117"/>
      <c r="F20" s="118"/>
      <c r="G20" s="112"/>
    </row>
    <row r="21" spans="3:7" ht="12.75" customHeight="1">
      <c r="C21" s="113">
        <v>38</v>
      </c>
      <c r="D21" s="5" t="s">
        <v>18</v>
      </c>
      <c r="E21" s="117"/>
      <c r="F21" s="118"/>
      <c r="G21" s="112"/>
    </row>
    <row r="22" spans="3:7" ht="12.75" customHeight="1">
      <c r="C22" s="113">
        <v>38</v>
      </c>
      <c r="D22" s="5" t="s">
        <v>22</v>
      </c>
      <c r="E22" s="117"/>
      <c r="F22" s="118"/>
      <c r="G22" s="112"/>
    </row>
    <row r="23" spans="3:7" ht="12.75" customHeight="1">
      <c r="C23" s="113"/>
      <c r="D23" s="7"/>
      <c r="E23" s="114"/>
      <c r="F23" s="72"/>
      <c r="G23" s="112"/>
    </row>
    <row r="24" spans="3:7" ht="12.75" customHeight="1">
      <c r="C24" s="113"/>
      <c r="D24" s="17" t="s">
        <v>8</v>
      </c>
      <c r="E24" s="116" t="s">
        <v>100</v>
      </c>
      <c r="F24" s="26">
        <f>+(C25+C26+C27+C28+C29)/5</f>
        <v>44</v>
      </c>
      <c r="G24" s="112"/>
    </row>
    <row r="25" spans="3:7" ht="12.75" customHeight="1">
      <c r="C25" s="113">
        <v>37</v>
      </c>
      <c r="D25" s="5" t="s">
        <v>23</v>
      </c>
      <c r="E25" s="117"/>
      <c r="F25" s="118"/>
      <c r="G25" s="112"/>
    </row>
    <row r="26" spans="3:7" ht="12.75" customHeight="1">
      <c r="C26" s="113">
        <v>41</v>
      </c>
      <c r="D26" s="5" t="s">
        <v>24</v>
      </c>
      <c r="E26" s="117"/>
      <c r="F26" s="118"/>
      <c r="G26" s="112"/>
    </row>
    <row r="27" spans="3:7" ht="12.75" customHeight="1">
      <c r="C27" s="113">
        <v>44</v>
      </c>
      <c r="D27" s="5" t="s">
        <v>19</v>
      </c>
      <c r="E27" s="117"/>
      <c r="F27" s="118"/>
      <c r="G27" s="112"/>
    </row>
    <row r="28" spans="3:7" ht="12.75" customHeight="1">
      <c r="C28" s="113">
        <v>49</v>
      </c>
      <c r="D28" s="5" t="s">
        <v>25</v>
      </c>
      <c r="E28" s="117"/>
      <c r="F28" s="118"/>
      <c r="G28" s="112"/>
    </row>
    <row r="29" spans="3:7" ht="12.75" customHeight="1">
      <c r="C29" s="113">
        <v>49</v>
      </c>
      <c r="D29" s="5" t="s">
        <v>26</v>
      </c>
      <c r="E29" s="117"/>
      <c r="F29" s="118"/>
      <c r="G29" s="112"/>
    </row>
    <row r="30" spans="3:7" ht="12.75" customHeight="1">
      <c r="C30" s="113"/>
      <c r="D30" s="9"/>
      <c r="E30" s="114"/>
      <c r="F30" s="72"/>
      <c r="G30" s="112"/>
    </row>
    <row r="31" spans="3:7" ht="12.75" customHeight="1">
      <c r="C31" s="113"/>
      <c r="D31" s="17" t="s">
        <v>9</v>
      </c>
      <c r="E31" s="116" t="s">
        <v>83</v>
      </c>
      <c r="F31" s="26">
        <f>+(C32+C33+C34+C35+C36+C37+C38)/7</f>
        <v>36.285714285714285</v>
      </c>
      <c r="G31" s="112"/>
    </row>
    <row r="32" spans="3:7" ht="12.75" customHeight="1">
      <c r="C32" s="113">
        <v>32</v>
      </c>
      <c r="D32" s="5" t="s">
        <v>27</v>
      </c>
      <c r="E32" s="117"/>
      <c r="F32" s="118"/>
      <c r="G32" s="112"/>
    </row>
    <row r="33" spans="3:7" ht="12.75" customHeight="1">
      <c r="C33" s="113">
        <v>32</v>
      </c>
      <c r="D33" s="5" t="s">
        <v>105</v>
      </c>
      <c r="E33" s="117"/>
      <c r="F33" s="118"/>
      <c r="G33" s="112"/>
    </row>
    <row r="34" spans="3:7" ht="12.75" customHeight="1">
      <c r="C34" s="113">
        <v>37</v>
      </c>
      <c r="D34" s="5" t="s">
        <v>0</v>
      </c>
      <c r="E34" s="117"/>
      <c r="F34" s="118"/>
      <c r="G34" s="112"/>
    </row>
    <row r="35" spans="3:6" ht="12.75" customHeight="1">
      <c r="C35" s="113">
        <v>35</v>
      </c>
      <c r="D35" s="5" t="s">
        <v>1</v>
      </c>
      <c r="E35" s="117"/>
      <c r="F35" s="117"/>
    </row>
    <row r="36" spans="3:6" ht="12.75" customHeight="1">
      <c r="C36" s="113">
        <v>38</v>
      </c>
      <c r="D36" s="5" t="s">
        <v>2</v>
      </c>
      <c r="E36" s="117"/>
      <c r="F36" s="117"/>
    </row>
    <row r="37" spans="3:6" ht="12.75" customHeight="1">
      <c r="C37" s="113">
        <v>40</v>
      </c>
      <c r="D37" s="5" t="s">
        <v>3</v>
      </c>
      <c r="E37" s="117"/>
      <c r="F37" s="117"/>
    </row>
    <row r="38" spans="3:6" ht="12.75" customHeight="1">
      <c r="C38" s="113">
        <v>40</v>
      </c>
      <c r="D38" s="5" t="s">
        <v>28</v>
      </c>
      <c r="E38" s="14"/>
      <c r="F38" s="14"/>
    </row>
    <row r="39" spans="3:6" ht="12.75" customHeight="1">
      <c r="C39" s="2"/>
      <c r="D39" s="9"/>
      <c r="E39" s="8"/>
      <c r="F39" s="8"/>
    </row>
    <row r="40" spans="3:5" ht="12.75" customHeight="1">
      <c r="C40" s="2"/>
      <c r="E40" s="4"/>
    </row>
    <row r="41" spans="3:6" ht="12.75" customHeight="1">
      <c r="C41" s="2"/>
      <c r="D41" s="13"/>
      <c r="E41" s="14"/>
      <c r="F41" s="14"/>
    </row>
    <row r="42" spans="3:6" ht="12.75" customHeight="1">
      <c r="C42" s="2"/>
      <c r="D42" s="13"/>
      <c r="E42" s="14"/>
      <c r="F42" s="14"/>
    </row>
    <row r="43" spans="3:6" ht="12.75" customHeight="1">
      <c r="C43" s="2"/>
      <c r="D43" s="13"/>
      <c r="E43" s="14"/>
      <c r="F43" s="14"/>
    </row>
    <row r="44" spans="3:6" ht="12.75" customHeight="1">
      <c r="C44" s="2"/>
      <c r="D44" s="13"/>
      <c r="E44" s="14"/>
      <c r="F44" s="14"/>
    </row>
    <row r="45" spans="3:6" ht="12.75" customHeight="1">
      <c r="C45" s="2"/>
      <c r="D45" s="13"/>
      <c r="E45" s="14"/>
      <c r="F45" s="14"/>
    </row>
    <row r="46" spans="3:6" ht="12.75" customHeight="1">
      <c r="C46" s="2"/>
      <c r="D46" s="13"/>
      <c r="E46" s="14"/>
      <c r="F46" s="14"/>
    </row>
    <row r="47" spans="3:6" ht="12.75" customHeight="1">
      <c r="C47" s="2"/>
      <c r="D47" s="13"/>
      <c r="E47" s="14"/>
      <c r="F47" s="14"/>
    </row>
    <row r="48" spans="4:6" ht="12.75" customHeight="1">
      <c r="D48" s="9"/>
      <c r="E48" s="4"/>
      <c r="F48" s="4"/>
    </row>
    <row r="49" ht="12.75" customHeight="1">
      <c r="E49" s="4"/>
    </row>
    <row r="50" spans="4:6" ht="12.75" customHeight="1">
      <c r="D50" s="13"/>
      <c r="E50" s="14"/>
      <c r="F50" s="14"/>
    </row>
    <row r="51" spans="4:6" ht="12.75" customHeight="1">
      <c r="D51" s="9"/>
      <c r="E51" s="8"/>
      <c r="F51" s="8"/>
    </row>
    <row r="52" ht="12.75" customHeight="1">
      <c r="E52" s="4"/>
    </row>
    <row r="53" spans="4:6" ht="12.75" customHeight="1">
      <c r="D53" s="13"/>
      <c r="E53" s="14"/>
      <c r="F53" s="14"/>
    </row>
    <row r="54" spans="4:6" ht="12.75" customHeight="1">
      <c r="D54" s="10"/>
      <c r="E54" s="8"/>
      <c r="F54" s="8"/>
    </row>
    <row r="55" spans="5:6" ht="12.75" customHeight="1">
      <c r="E55" s="8"/>
      <c r="F55" s="8"/>
    </row>
    <row r="56" spans="4:5" ht="12.75" customHeight="1">
      <c r="D56" s="3"/>
      <c r="E56" s="4"/>
    </row>
    <row r="57" spans="4:6" ht="12.75" customHeight="1">
      <c r="D57" s="13"/>
      <c r="E57" s="14"/>
      <c r="F57" s="14"/>
    </row>
    <row r="58" spans="4:6" ht="12.75">
      <c r="D58" s="13"/>
      <c r="E58" s="14"/>
      <c r="F58" s="14"/>
    </row>
    <row r="59" spans="4:6" ht="12.75">
      <c r="D59" s="13"/>
      <c r="E59" s="14"/>
      <c r="F59" s="14"/>
    </row>
    <row r="60" spans="4:6" ht="12.75">
      <c r="D60" s="13"/>
      <c r="E60" s="14"/>
      <c r="F60" s="14"/>
    </row>
  </sheetData>
  <sheetProtection/>
  <hyperlinks>
    <hyperlink ref="E2"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4.xml><?xml version="1.0" encoding="utf-8"?>
<worksheet xmlns="http://schemas.openxmlformats.org/spreadsheetml/2006/main" xmlns:r="http://schemas.openxmlformats.org/officeDocument/2006/relationships">
  <dimension ref="B1:G60"/>
  <sheetViews>
    <sheetView showGridLines="0" showZeros="0" workbookViewId="0" topLeftCell="A1">
      <selection activeCell="A1" sqref="A1"/>
    </sheetView>
  </sheetViews>
  <sheetFormatPr defaultColWidth="11.00390625" defaultRowHeight="12.75"/>
  <cols>
    <col min="1" max="1" width="4.125" style="0" customWidth="1"/>
    <col min="2" max="2" width="7.125" style="0" customWidth="1"/>
    <col min="3" max="3" width="7.125" style="12" customWidth="1"/>
    <col min="4" max="4" width="54.00390625" style="0" customWidth="1"/>
    <col min="5" max="5" width="15.00390625" style="0" customWidth="1"/>
    <col min="7" max="9" width="56.625" style="0" customWidth="1"/>
    <col min="10" max="11" width="10.25390625" style="0" customWidth="1"/>
    <col min="12" max="12" width="21.375" style="0" customWidth="1"/>
    <col min="13" max="13" width="5.875" style="0" customWidth="1"/>
  </cols>
  <sheetData>
    <row r="1" spans="3:6" ht="129.75" customHeight="1">
      <c r="C1" s="11"/>
      <c r="E1" s="45" t="s">
        <v>71</v>
      </c>
      <c r="F1" s="89">
        <f>+(C5+C6+C7+C8+C9+C10+C11+C14+C17+C22+C23+C24+C25)/13</f>
        <v>37.30769230769231</v>
      </c>
    </row>
    <row r="2" spans="3:7" ht="72" customHeight="1">
      <c r="C2" s="16" t="s">
        <v>62</v>
      </c>
      <c r="D2" t="s">
        <v>67</v>
      </c>
      <c r="E2" s="90" t="s">
        <v>78</v>
      </c>
      <c r="F2" s="89">
        <f>+(C5+C6+C7+C8+C9+C10+C11+C14+C17)/9</f>
        <v>37.666666666666664</v>
      </c>
      <c r="G2" s="90"/>
    </row>
    <row r="3" spans="3:7" ht="12.75" customHeight="1">
      <c r="C3" s="11"/>
      <c r="E3" s="87"/>
      <c r="F3" s="89"/>
      <c r="G3" s="90"/>
    </row>
    <row r="4" spans="3:7" ht="12.75" customHeight="1">
      <c r="C4" s="2"/>
      <c r="D4" s="17" t="s">
        <v>10</v>
      </c>
      <c r="E4" s="95" t="s">
        <v>77</v>
      </c>
      <c r="F4" s="89">
        <f>+(C5+C6+C7+C8+C9+C10+C11)/7</f>
        <v>39.285714285714285</v>
      </c>
      <c r="G4" s="90"/>
    </row>
    <row r="5" spans="2:7" ht="12.75" customHeight="1">
      <c r="B5" s="14" t="s">
        <v>35</v>
      </c>
      <c r="C5" s="14">
        <v>25</v>
      </c>
      <c r="D5" s="5" t="s">
        <v>40</v>
      </c>
      <c r="E5" s="80"/>
      <c r="F5" s="92"/>
      <c r="G5" s="90"/>
    </row>
    <row r="6" spans="2:7" ht="12.75" customHeight="1">
      <c r="B6" s="14"/>
      <c r="C6" s="14">
        <v>33</v>
      </c>
      <c r="D6" s="5" t="s">
        <v>41</v>
      </c>
      <c r="E6" s="80"/>
      <c r="F6" s="92"/>
      <c r="G6" s="90"/>
    </row>
    <row r="7" spans="2:7" ht="12.75" customHeight="1">
      <c r="B7" s="14"/>
      <c r="C7" s="14">
        <v>37</v>
      </c>
      <c r="D7" s="5" t="s">
        <v>29</v>
      </c>
      <c r="E7" s="80"/>
      <c r="F7" s="92"/>
      <c r="G7" s="90"/>
    </row>
    <row r="8" spans="2:7" ht="12.75" customHeight="1">
      <c r="B8" s="14"/>
      <c r="C8" s="14">
        <v>36</v>
      </c>
      <c r="D8" s="5" t="s">
        <v>63</v>
      </c>
      <c r="E8" s="80"/>
      <c r="F8" s="92"/>
      <c r="G8" s="90"/>
    </row>
    <row r="9" spans="2:7" ht="12.75" customHeight="1">
      <c r="B9" s="14"/>
      <c r="C9" s="14">
        <v>42</v>
      </c>
      <c r="D9" s="5" t="s">
        <v>64</v>
      </c>
      <c r="E9" s="80"/>
      <c r="F9" s="92"/>
      <c r="G9" s="90"/>
    </row>
    <row r="10" spans="2:7" ht="12.75" customHeight="1">
      <c r="B10" s="8"/>
      <c r="C10" s="14">
        <v>44</v>
      </c>
      <c r="D10" s="5" t="s">
        <v>42</v>
      </c>
      <c r="E10" s="80"/>
      <c r="F10" s="92"/>
      <c r="G10" s="90"/>
    </row>
    <row r="11" spans="2:7" ht="12.75" customHeight="1">
      <c r="B11" s="4"/>
      <c r="C11" s="14">
        <v>58</v>
      </c>
      <c r="D11" s="5" t="s">
        <v>65</v>
      </c>
      <c r="E11" s="80"/>
      <c r="F11" s="92"/>
      <c r="G11" s="90"/>
    </row>
    <row r="12" spans="2:7" ht="12.75" customHeight="1">
      <c r="B12" s="14"/>
      <c r="C12" s="2"/>
      <c r="D12" s="9"/>
      <c r="E12" s="91"/>
      <c r="F12" s="93"/>
      <c r="G12" s="90"/>
    </row>
    <row r="13" spans="3:7" ht="12.75" customHeight="1">
      <c r="C13" s="2"/>
      <c r="D13" s="17" t="s">
        <v>31</v>
      </c>
      <c r="E13" s="95" t="s">
        <v>79</v>
      </c>
      <c r="F13" s="89">
        <f>+C14/1</f>
        <v>32</v>
      </c>
      <c r="G13" s="90"/>
    </row>
    <row r="14" spans="3:7" ht="12.75" customHeight="1">
      <c r="C14" s="14">
        <v>32</v>
      </c>
      <c r="D14" s="5" t="s">
        <v>66</v>
      </c>
      <c r="E14" s="80"/>
      <c r="F14" s="92"/>
      <c r="G14" s="90"/>
    </row>
    <row r="15" spans="3:7" ht="12.75" customHeight="1">
      <c r="C15" s="2"/>
      <c r="D15" s="9"/>
      <c r="E15" s="87"/>
      <c r="F15" s="94"/>
      <c r="G15" s="90"/>
    </row>
    <row r="16" spans="3:7" ht="12.75" customHeight="1">
      <c r="C16" s="2"/>
      <c r="D16" s="17" t="s">
        <v>32</v>
      </c>
      <c r="E16" s="95" t="s">
        <v>80</v>
      </c>
      <c r="F16" s="89">
        <f>+C17/1</f>
        <v>32</v>
      </c>
      <c r="G16" s="90"/>
    </row>
    <row r="17" spans="3:7" ht="12.75" customHeight="1">
      <c r="C17" s="14">
        <v>32</v>
      </c>
      <c r="D17" s="5" t="s">
        <v>11</v>
      </c>
      <c r="E17" s="80"/>
      <c r="F17" s="92"/>
      <c r="G17" s="90"/>
    </row>
    <row r="18" spans="3:7" ht="12.75" customHeight="1">
      <c r="C18" s="2"/>
      <c r="D18" s="10"/>
      <c r="E18" s="87"/>
      <c r="F18" s="94"/>
      <c r="G18" s="90"/>
    </row>
    <row r="19" spans="3:7" ht="12.75" customHeight="1">
      <c r="C19" s="2"/>
      <c r="E19" s="87"/>
      <c r="F19" s="94"/>
      <c r="G19" s="90"/>
    </row>
    <row r="20" spans="3:7" ht="12.75" customHeight="1">
      <c r="C20" s="2"/>
      <c r="D20" s="3"/>
      <c r="E20" s="95" t="s">
        <v>80</v>
      </c>
      <c r="F20" s="89">
        <f>+(C22+C23+C24+C25)/4</f>
        <v>36.5</v>
      </c>
      <c r="G20" s="90"/>
    </row>
    <row r="21" spans="3:7" ht="12.75" customHeight="1">
      <c r="C21" s="2"/>
      <c r="E21" s="90"/>
      <c r="F21" s="89"/>
      <c r="G21" s="90"/>
    </row>
    <row r="22" spans="3:7" ht="12.75" customHeight="1">
      <c r="C22" s="14">
        <v>30</v>
      </c>
      <c r="D22" s="5" t="s">
        <v>58</v>
      </c>
      <c r="E22" s="80"/>
      <c r="F22" s="92"/>
      <c r="G22" s="90"/>
    </row>
    <row r="23" spans="3:7" ht="12.75" customHeight="1">
      <c r="C23" s="14">
        <v>36</v>
      </c>
      <c r="D23" s="5" t="s">
        <v>59</v>
      </c>
      <c r="E23" s="80"/>
      <c r="F23" s="92"/>
      <c r="G23" s="90"/>
    </row>
    <row r="24" spans="3:7" ht="12.75" customHeight="1">
      <c r="C24" s="14">
        <v>38</v>
      </c>
      <c r="D24" s="5" t="s">
        <v>60</v>
      </c>
      <c r="E24" s="80"/>
      <c r="F24" s="92"/>
      <c r="G24" s="90"/>
    </row>
    <row r="25" spans="3:7" ht="12.75" customHeight="1">
      <c r="C25" s="14">
        <v>42</v>
      </c>
      <c r="D25" s="5" t="s">
        <v>61</v>
      </c>
      <c r="E25" s="80"/>
      <c r="F25" s="92"/>
      <c r="G25" s="90"/>
    </row>
    <row r="26" spans="3:7" ht="12.75" customHeight="1">
      <c r="C26" s="2"/>
      <c r="E26" s="90"/>
      <c r="F26" s="89"/>
      <c r="G26" s="90"/>
    </row>
    <row r="27" spans="3:7" ht="12.75" customHeight="1">
      <c r="C27" s="2"/>
      <c r="E27" s="90"/>
      <c r="F27" s="89"/>
      <c r="G27" s="90"/>
    </row>
    <row r="28" spans="3:7" ht="12.75" customHeight="1">
      <c r="C28" s="2"/>
      <c r="D28" s="5"/>
      <c r="E28" s="80"/>
      <c r="F28" s="92"/>
      <c r="G28" s="90"/>
    </row>
    <row r="29" spans="3:7" ht="12.75" customHeight="1">
      <c r="C29" s="2"/>
      <c r="D29" s="5"/>
      <c r="E29" s="80"/>
      <c r="F29" s="92"/>
      <c r="G29" s="90"/>
    </row>
    <row r="30" spans="3:7" ht="12.75" customHeight="1">
      <c r="C30" s="2"/>
      <c r="D30" s="9"/>
      <c r="E30" s="87"/>
      <c r="F30" s="94"/>
      <c r="G30" s="90"/>
    </row>
    <row r="31" spans="3:7" ht="12.75" customHeight="1">
      <c r="C31" s="2"/>
      <c r="D31" s="17"/>
      <c r="E31" s="91"/>
      <c r="F31" s="89"/>
      <c r="G31" s="90"/>
    </row>
    <row r="32" spans="3:7" ht="12.75" customHeight="1">
      <c r="C32" s="2"/>
      <c r="D32" s="5"/>
      <c r="E32" s="80"/>
      <c r="F32" s="80"/>
      <c r="G32" s="90"/>
    </row>
    <row r="33" spans="3:7" ht="12.75" customHeight="1">
      <c r="C33" s="2"/>
      <c r="D33" s="5"/>
      <c r="E33" s="80"/>
      <c r="F33" s="80"/>
      <c r="G33" s="90"/>
    </row>
    <row r="34" spans="3:7" ht="12.75" customHeight="1">
      <c r="C34" s="2"/>
      <c r="D34" s="5"/>
      <c r="E34" s="80"/>
      <c r="F34" s="80"/>
      <c r="G34" s="90"/>
    </row>
    <row r="35" spans="3:7" ht="12.75" customHeight="1">
      <c r="C35" s="2"/>
      <c r="D35" s="5"/>
      <c r="E35" s="80"/>
      <c r="F35" s="80"/>
      <c r="G35" s="90"/>
    </row>
    <row r="36" spans="3:7" ht="12.75" customHeight="1">
      <c r="C36" s="2"/>
      <c r="D36" s="5"/>
      <c r="E36" s="80"/>
      <c r="F36" s="80"/>
      <c r="G36" s="90"/>
    </row>
    <row r="37" spans="3:7" ht="12.75" customHeight="1">
      <c r="C37" s="2"/>
      <c r="D37" s="5"/>
      <c r="E37" s="80"/>
      <c r="F37" s="80"/>
      <c r="G37" s="90"/>
    </row>
    <row r="38" spans="3:7" ht="12.75" customHeight="1">
      <c r="C38" s="2"/>
      <c r="D38" s="5"/>
      <c r="E38" s="80"/>
      <c r="F38" s="80"/>
      <c r="G38" s="90"/>
    </row>
    <row r="39" spans="3:7" ht="12.75" customHeight="1">
      <c r="C39" s="2"/>
      <c r="D39" s="9"/>
      <c r="E39" s="87"/>
      <c r="F39" s="87"/>
      <c r="G39" s="90"/>
    </row>
    <row r="40" spans="3:7" ht="12.75" customHeight="1">
      <c r="C40" s="2"/>
      <c r="E40" s="91"/>
      <c r="F40" s="90"/>
      <c r="G40" s="90"/>
    </row>
    <row r="41" spans="3:6" ht="12.75" customHeight="1">
      <c r="C41" s="2"/>
      <c r="D41" s="13"/>
      <c r="E41" s="14"/>
      <c r="F41" s="14"/>
    </row>
    <row r="42" spans="3:6" ht="12.75" customHeight="1">
      <c r="C42" s="2"/>
      <c r="D42" s="13"/>
      <c r="E42" s="14"/>
      <c r="F42" s="14"/>
    </row>
    <row r="43" spans="3:6" ht="12.75" customHeight="1">
      <c r="C43" s="2"/>
      <c r="D43" s="13"/>
      <c r="E43" s="14"/>
      <c r="F43" s="14"/>
    </row>
    <row r="44" spans="3:6" ht="12.75" customHeight="1">
      <c r="C44" s="2"/>
      <c r="D44" s="13"/>
      <c r="E44" s="14"/>
      <c r="F44" s="14"/>
    </row>
    <row r="45" spans="3:6" ht="12.75" customHeight="1">
      <c r="C45" s="2"/>
      <c r="D45" s="13"/>
      <c r="E45" s="14"/>
      <c r="F45" s="14"/>
    </row>
    <row r="46" spans="3:6" ht="12.75" customHeight="1">
      <c r="C46" s="2"/>
      <c r="D46" s="13"/>
      <c r="E46" s="14"/>
      <c r="F46" s="14"/>
    </row>
    <row r="47" spans="3:6" ht="12.75" customHeight="1">
      <c r="C47" s="2"/>
      <c r="D47" s="13"/>
      <c r="E47" s="14"/>
      <c r="F47" s="14"/>
    </row>
    <row r="48" spans="4:6" ht="12.75" customHeight="1">
      <c r="D48" s="9"/>
      <c r="E48" s="4"/>
      <c r="F48" s="4"/>
    </row>
    <row r="49" ht="12.75" customHeight="1">
      <c r="E49" s="4"/>
    </row>
    <row r="50" spans="4:6" ht="12.75" customHeight="1">
      <c r="D50" s="13"/>
      <c r="E50" s="14"/>
      <c r="F50" s="14"/>
    </row>
    <row r="51" spans="4:6" ht="12.75" customHeight="1">
      <c r="D51" s="9"/>
      <c r="E51" s="8"/>
      <c r="F51" s="8"/>
    </row>
    <row r="52" ht="12.75" customHeight="1">
      <c r="E52" s="4"/>
    </row>
    <row r="53" spans="4:6" ht="12.75" customHeight="1">
      <c r="D53" s="13"/>
      <c r="E53" s="14"/>
      <c r="F53" s="14"/>
    </row>
    <row r="54" spans="4:6" ht="12.75" customHeight="1">
      <c r="D54" s="10"/>
      <c r="E54" s="8"/>
      <c r="F54" s="8"/>
    </row>
    <row r="55" spans="5:6" ht="12.75" customHeight="1">
      <c r="E55" s="8"/>
      <c r="F55" s="8"/>
    </row>
    <row r="56" spans="4:5" ht="12.75" customHeight="1">
      <c r="D56" s="3"/>
      <c r="E56" s="4"/>
    </row>
    <row r="57" spans="4:6" ht="12.75" customHeight="1">
      <c r="D57" s="13"/>
      <c r="E57" s="14"/>
      <c r="F57" s="14"/>
    </row>
    <row r="58" spans="4:6" ht="12.75">
      <c r="D58" s="13"/>
      <c r="E58" s="14"/>
      <c r="F58" s="14"/>
    </row>
    <row r="59" spans="4:6" ht="12.75">
      <c r="D59" s="13"/>
      <c r="E59" s="14"/>
      <c r="F59" s="14"/>
    </row>
    <row r="60" spans="4:6" ht="12.75">
      <c r="D60" s="13"/>
      <c r="E60" s="14"/>
      <c r="F60" s="14"/>
    </row>
  </sheetData>
  <sheetProtection/>
  <hyperlinks>
    <hyperlink ref="E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5.xml><?xml version="1.0" encoding="utf-8"?>
<worksheet xmlns="http://schemas.openxmlformats.org/spreadsheetml/2006/main" xmlns:r="http://schemas.openxmlformats.org/officeDocument/2006/relationships">
  <dimension ref="B1:H58"/>
  <sheetViews>
    <sheetView showGridLines="0" showZeros="0" workbookViewId="0" topLeftCell="A1">
      <selection activeCell="A1" sqref="A1"/>
    </sheetView>
  </sheetViews>
  <sheetFormatPr defaultColWidth="11.00390625" defaultRowHeight="12.75"/>
  <cols>
    <col min="1" max="1" width="4.125" style="0" customWidth="1"/>
    <col min="2" max="2" width="7.125" style="0" customWidth="1"/>
    <col min="3" max="3" width="7.125" style="2" customWidth="1"/>
    <col min="4" max="4" width="54.00390625" style="0" customWidth="1"/>
    <col min="5" max="5" width="14.00390625" style="0" customWidth="1"/>
    <col min="7" max="9" width="56.625" style="0" customWidth="1"/>
    <col min="10" max="11" width="10.25390625" style="0" customWidth="1"/>
    <col min="12" max="12" width="21.375" style="0" customWidth="1"/>
    <col min="13" max="13" width="5.875" style="0" customWidth="1"/>
  </cols>
  <sheetData>
    <row r="1" spans="5:7" ht="129.75" customHeight="1">
      <c r="E1" s="45" t="s">
        <v>71</v>
      </c>
      <c r="F1" s="26">
        <f>(+C4+C9+C10+C13)/4</f>
        <v>47.5</v>
      </c>
      <c r="G1" s="108" t="s">
        <v>20</v>
      </c>
    </row>
    <row r="2" spans="2:7" ht="72" customHeight="1">
      <c r="B2" s="25" t="s">
        <v>50</v>
      </c>
      <c r="C2" s="25" t="s">
        <v>51</v>
      </c>
      <c r="E2" s="69" t="s">
        <v>81</v>
      </c>
      <c r="F2" s="96">
        <f>C4/1</f>
        <v>48</v>
      </c>
      <c r="G2" s="19"/>
    </row>
    <row r="3" spans="5:8" ht="12.75" customHeight="1">
      <c r="E3" s="114"/>
      <c r="F3" s="96"/>
      <c r="G3" s="8"/>
      <c r="H3" s="21"/>
    </row>
    <row r="4" spans="2:8" ht="12.75" customHeight="1">
      <c r="B4" s="106">
        <v>5.25</v>
      </c>
      <c r="C4" s="106">
        <v>48</v>
      </c>
      <c r="D4" s="5" t="s">
        <v>52</v>
      </c>
      <c r="E4" s="114"/>
      <c r="F4" s="96"/>
      <c r="G4" s="8"/>
      <c r="H4" s="4"/>
    </row>
    <row r="5" spans="2:8" ht="12.75" customHeight="1">
      <c r="B5" s="104"/>
      <c r="C5" s="104"/>
      <c r="D5" s="5"/>
      <c r="E5" s="114"/>
      <c r="F5" s="115"/>
      <c r="G5" s="8"/>
      <c r="H5" s="4"/>
    </row>
    <row r="6" spans="2:8" ht="12.75" customHeight="1">
      <c r="B6" s="105"/>
      <c r="C6" s="105"/>
      <c r="D6" s="5"/>
      <c r="E6" s="114"/>
      <c r="F6" s="96"/>
      <c r="G6" s="8"/>
      <c r="H6" s="21"/>
    </row>
    <row r="7" spans="2:8" ht="12.75" customHeight="1">
      <c r="B7" s="105"/>
      <c r="C7" s="105"/>
      <c r="D7" s="5"/>
      <c r="E7" s="114" t="s">
        <v>82</v>
      </c>
      <c r="F7" s="96">
        <f>(C9+C10)/2</f>
        <v>45</v>
      </c>
      <c r="G7" s="8"/>
      <c r="H7" s="21"/>
    </row>
    <row r="8" spans="2:8" ht="12.75" customHeight="1">
      <c r="B8" s="105"/>
      <c r="C8" s="105"/>
      <c r="E8" s="8"/>
      <c r="F8" s="96"/>
      <c r="G8" s="8"/>
      <c r="H8" s="21"/>
    </row>
    <row r="9" spans="2:8" ht="12.75" customHeight="1">
      <c r="B9" s="106">
        <v>4.75</v>
      </c>
      <c r="C9" s="106">
        <v>38</v>
      </c>
      <c r="D9" s="5" t="s">
        <v>53</v>
      </c>
      <c r="E9" s="8"/>
      <c r="F9" s="103"/>
      <c r="G9" s="8"/>
      <c r="H9" s="4"/>
    </row>
    <row r="10" spans="2:8" ht="12.75" customHeight="1">
      <c r="B10" s="106">
        <v>5.25</v>
      </c>
      <c r="C10" s="106">
        <v>52</v>
      </c>
      <c r="D10" s="5" t="s">
        <v>54</v>
      </c>
      <c r="E10" s="8"/>
      <c r="F10" s="103"/>
      <c r="G10" s="8"/>
      <c r="H10" s="4"/>
    </row>
    <row r="11" spans="2:8" ht="12.75" customHeight="1">
      <c r="B11" s="21"/>
      <c r="C11" s="21"/>
      <c r="D11" s="5"/>
      <c r="E11" s="8"/>
      <c r="F11" s="103"/>
      <c r="G11" s="8"/>
      <c r="H11" s="21"/>
    </row>
    <row r="12" spans="2:8" ht="12.75" customHeight="1">
      <c r="B12" s="25" t="s">
        <v>50</v>
      </c>
      <c r="C12" s="25" t="s">
        <v>55</v>
      </c>
      <c r="D12" s="5"/>
      <c r="E12" s="8"/>
      <c r="F12" s="103"/>
      <c r="G12" s="8"/>
      <c r="H12" s="4"/>
    </row>
    <row r="13" spans="2:8" ht="12.75" customHeight="1">
      <c r="B13" s="97">
        <v>6.25</v>
      </c>
      <c r="C13" s="97">
        <v>52</v>
      </c>
      <c r="D13" s="5" t="s">
        <v>56</v>
      </c>
      <c r="E13" s="8"/>
      <c r="F13" s="103"/>
      <c r="G13" s="8"/>
      <c r="H13" s="4"/>
    </row>
    <row r="14" spans="2:8" ht="12.75" customHeight="1">
      <c r="B14" s="104"/>
      <c r="C14" s="104"/>
      <c r="E14" s="8"/>
      <c r="F14" s="99"/>
      <c r="G14" s="8"/>
      <c r="H14" s="4"/>
    </row>
    <row r="15" spans="2:8" ht="12.75" customHeight="1">
      <c r="B15" s="104"/>
      <c r="C15" s="104"/>
      <c r="D15" s="5"/>
      <c r="E15" s="8"/>
      <c r="F15" s="99"/>
      <c r="G15" s="8"/>
      <c r="H15" s="4"/>
    </row>
    <row r="16" spans="2:8" ht="12.75" customHeight="1">
      <c r="B16" s="105"/>
      <c r="C16" s="105"/>
      <c r="D16" s="5"/>
      <c r="E16" s="95" t="s">
        <v>20</v>
      </c>
      <c r="F16" s="99" t="s">
        <v>20</v>
      </c>
      <c r="G16" s="8"/>
      <c r="H16" s="4"/>
    </row>
    <row r="17" spans="2:8" ht="12.75" customHeight="1">
      <c r="B17" s="105"/>
      <c r="C17" s="105"/>
      <c r="D17" s="5"/>
      <c r="E17" s="8"/>
      <c r="F17" s="99"/>
      <c r="G17" s="8"/>
      <c r="H17" s="4"/>
    </row>
    <row r="18" spans="2:8" ht="12.75" customHeight="1">
      <c r="B18" s="105"/>
      <c r="C18" s="97" t="s">
        <v>20</v>
      </c>
      <c r="D18" s="5" t="s">
        <v>20</v>
      </c>
      <c r="E18" s="8"/>
      <c r="F18" s="98"/>
      <c r="G18" s="8"/>
      <c r="H18" s="4"/>
    </row>
    <row r="19" spans="2:8" ht="12.75" customHeight="1">
      <c r="B19" s="104"/>
      <c r="C19" s="97" t="s">
        <v>20</v>
      </c>
      <c r="D19" s="1" t="s">
        <v>20</v>
      </c>
      <c r="E19" s="8"/>
      <c r="F19" s="98"/>
      <c r="G19" s="8"/>
      <c r="H19" s="4"/>
    </row>
    <row r="20" spans="2:8" ht="12.75" customHeight="1">
      <c r="B20" s="104"/>
      <c r="C20" s="97" t="s">
        <v>20</v>
      </c>
      <c r="D20" s="5" t="s">
        <v>20</v>
      </c>
      <c r="E20" s="8"/>
      <c r="F20" s="98"/>
      <c r="G20" s="8"/>
      <c r="H20" s="4"/>
    </row>
    <row r="21" spans="2:8" ht="12.75" customHeight="1">
      <c r="B21" s="105"/>
      <c r="C21" s="97" t="s">
        <v>20</v>
      </c>
      <c r="D21" s="1" t="s">
        <v>20</v>
      </c>
      <c r="E21" s="101"/>
      <c r="F21" s="98"/>
      <c r="G21" s="8"/>
      <c r="H21" s="4"/>
    </row>
    <row r="22" spans="2:8" ht="12.75" customHeight="1">
      <c r="B22" s="104"/>
      <c r="C22" s="97" t="s">
        <v>20</v>
      </c>
      <c r="D22" s="5" t="s">
        <v>20</v>
      </c>
      <c r="E22" s="8"/>
      <c r="F22" s="98"/>
      <c r="G22" s="8"/>
      <c r="H22" s="4"/>
    </row>
    <row r="23" spans="2:8" ht="12.75" customHeight="1">
      <c r="B23" s="104"/>
      <c r="C23" s="97" t="s">
        <v>20</v>
      </c>
      <c r="D23" s="1" t="s">
        <v>20</v>
      </c>
      <c r="E23" s="8"/>
      <c r="F23" s="102"/>
      <c r="G23" s="8"/>
      <c r="H23" s="8"/>
    </row>
    <row r="24" spans="2:8" ht="12.75" customHeight="1">
      <c r="B24" s="104"/>
      <c r="C24" s="97" t="s">
        <v>20</v>
      </c>
      <c r="D24" s="5" t="s">
        <v>20</v>
      </c>
      <c r="E24" s="101"/>
      <c r="F24" s="69"/>
      <c r="G24" s="8"/>
      <c r="H24" s="8"/>
    </row>
    <row r="25" spans="2:8" ht="12.75" customHeight="1">
      <c r="B25" s="104"/>
      <c r="C25" s="97" t="s">
        <v>20</v>
      </c>
      <c r="D25" s="1" t="s">
        <v>20</v>
      </c>
      <c r="E25" s="8"/>
      <c r="F25" s="69"/>
      <c r="G25" s="8"/>
      <c r="H25" s="8"/>
    </row>
    <row r="26" spans="2:8" ht="12.75" customHeight="1">
      <c r="B26" s="105"/>
      <c r="C26" s="97" t="s">
        <v>20</v>
      </c>
      <c r="D26" s="5" t="s">
        <v>20</v>
      </c>
      <c r="E26" s="8"/>
      <c r="F26" s="100"/>
      <c r="G26" s="20"/>
      <c r="H26" s="8"/>
    </row>
    <row r="27" spans="2:8" ht="12.75" customHeight="1">
      <c r="B27" s="105"/>
      <c r="C27" s="97" t="s">
        <v>20</v>
      </c>
      <c r="D27" s="1" t="s">
        <v>20</v>
      </c>
      <c r="E27" s="101"/>
      <c r="F27" s="69"/>
      <c r="G27" s="20"/>
      <c r="H27" s="8"/>
    </row>
    <row r="28" spans="2:8" ht="12.75" customHeight="1">
      <c r="B28" s="105"/>
      <c r="C28" s="97" t="s">
        <v>20</v>
      </c>
      <c r="D28" s="5" t="s">
        <v>20</v>
      </c>
      <c r="E28" s="8" t="s">
        <v>20</v>
      </c>
      <c r="F28" s="69"/>
      <c r="G28" s="8"/>
      <c r="H28" s="8"/>
    </row>
    <row r="29" spans="2:8" ht="12.75" customHeight="1">
      <c r="B29" s="104"/>
      <c r="C29" s="97"/>
      <c r="D29" s="1" t="s">
        <v>20</v>
      </c>
      <c r="E29" s="8"/>
      <c r="F29" s="100"/>
      <c r="G29" s="20"/>
      <c r="H29" s="8"/>
    </row>
    <row r="30" spans="2:8" ht="12.75" customHeight="1">
      <c r="B30" s="4"/>
      <c r="C30" s="4"/>
      <c r="D30" s="5"/>
      <c r="E30" s="101"/>
      <c r="F30" s="69"/>
      <c r="G30" s="20"/>
      <c r="H30" s="8"/>
    </row>
    <row r="31" spans="2:8" ht="12.75" customHeight="1">
      <c r="B31" s="21"/>
      <c r="C31" s="21"/>
      <c r="D31" s="5"/>
      <c r="E31" s="8"/>
      <c r="F31" s="69"/>
      <c r="G31" s="8"/>
      <c r="H31" s="8"/>
    </row>
    <row r="32" spans="4:8" ht="12.75" customHeight="1">
      <c r="D32" s="5"/>
      <c r="E32" s="8"/>
      <c r="F32" s="100"/>
      <c r="G32" s="20"/>
      <c r="H32" s="8"/>
    </row>
    <row r="33" spans="4:8" ht="12.75" customHeight="1">
      <c r="D33" s="5"/>
      <c r="E33" s="101"/>
      <c r="F33" s="69"/>
      <c r="G33" s="20"/>
      <c r="H33" s="8"/>
    </row>
    <row r="34" spans="4:8" ht="12.75" customHeight="1">
      <c r="D34" s="5"/>
      <c r="E34" s="101"/>
      <c r="F34" s="69"/>
      <c r="G34" s="8"/>
      <c r="H34" s="8"/>
    </row>
    <row r="35" spans="4:8" ht="12.75" customHeight="1">
      <c r="D35" s="5"/>
      <c r="E35" s="101"/>
      <c r="F35" s="100"/>
      <c r="G35" s="20"/>
      <c r="H35" s="8"/>
    </row>
    <row r="36" spans="4:8" ht="12.75" customHeight="1">
      <c r="D36" s="5"/>
      <c r="E36" s="101"/>
      <c r="F36" s="69"/>
      <c r="G36" s="20"/>
      <c r="H36" s="8"/>
    </row>
    <row r="37" spans="4:8" ht="12.75" customHeight="1">
      <c r="D37" s="5"/>
      <c r="E37" s="101"/>
      <c r="F37" s="69"/>
      <c r="G37" s="8"/>
      <c r="H37" s="4"/>
    </row>
    <row r="38" spans="5:8" ht="12.75" customHeight="1">
      <c r="E38" s="101"/>
      <c r="F38" s="100"/>
      <c r="G38" s="8"/>
      <c r="H38" s="4"/>
    </row>
    <row r="39" spans="4:8" ht="12.75" customHeight="1">
      <c r="D39" s="7"/>
      <c r="E39" s="19"/>
      <c r="F39" s="100"/>
      <c r="G39" s="20"/>
      <c r="H39" s="21"/>
    </row>
    <row r="40" spans="5:8" ht="12.75" customHeight="1">
      <c r="E40" s="19"/>
      <c r="F40" s="69"/>
      <c r="G40" s="20"/>
      <c r="H40" s="21"/>
    </row>
    <row r="41" spans="4:8" ht="12.75" customHeight="1">
      <c r="D41" s="13"/>
      <c r="E41" s="101"/>
      <c r="F41" s="69"/>
      <c r="G41" s="8"/>
      <c r="H41" s="4"/>
    </row>
    <row r="42" spans="4:8" ht="12.75" customHeight="1">
      <c r="D42" s="13"/>
      <c r="E42" s="101"/>
      <c r="F42" s="100"/>
      <c r="G42" s="8"/>
      <c r="H42" s="21"/>
    </row>
    <row r="43" spans="4:8" ht="12.75" customHeight="1">
      <c r="D43" s="13"/>
      <c r="E43" s="14"/>
      <c r="F43" s="19"/>
      <c r="G43" s="21"/>
      <c r="H43" s="21"/>
    </row>
    <row r="44" spans="4:8" ht="12.75" customHeight="1">
      <c r="D44" s="13"/>
      <c r="E44" s="14"/>
      <c r="F44" s="6"/>
      <c r="G44" s="21"/>
      <c r="H44" s="21"/>
    </row>
    <row r="45" spans="4:8" ht="12.75" customHeight="1">
      <c r="D45" s="13"/>
      <c r="E45" s="14"/>
      <c r="F45" s="7"/>
      <c r="G45" s="21"/>
      <c r="H45" s="21"/>
    </row>
    <row r="46" spans="4:8" ht="12.75" customHeight="1">
      <c r="D46" s="7"/>
      <c r="E46" s="8"/>
      <c r="F46" s="3"/>
      <c r="G46" s="21"/>
      <c r="H46" s="4"/>
    </row>
    <row r="47" spans="5:8" ht="12.75" customHeight="1">
      <c r="E47" s="4"/>
      <c r="F47" s="3"/>
      <c r="G47" s="21"/>
      <c r="H47" s="4"/>
    </row>
    <row r="48" spans="4:8" ht="12.75" customHeight="1">
      <c r="D48" s="13"/>
      <c r="E48" s="14"/>
      <c r="F48" s="3"/>
      <c r="G48" s="21"/>
      <c r="H48" s="4"/>
    </row>
    <row r="49" spans="6:8" ht="12.75" customHeight="1">
      <c r="F49" s="3"/>
      <c r="G49" s="21"/>
      <c r="H49" s="4"/>
    </row>
    <row r="50" spans="6:8" ht="12.75" customHeight="1">
      <c r="F50" s="3"/>
      <c r="G50" s="21"/>
      <c r="H50" s="4"/>
    </row>
    <row r="51" spans="6:8" ht="12.75" customHeight="1">
      <c r="F51" s="3"/>
      <c r="G51" s="21"/>
      <c r="H51" s="4"/>
    </row>
    <row r="52" spans="6:8" ht="12.75" customHeight="1">
      <c r="F52" s="3"/>
      <c r="G52" s="21"/>
      <c r="H52" s="4"/>
    </row>
    <row r="53" spans="6:8" ht="12.75" customHeight="1">
      <c r="F53" s="3"/>
      <c r="G53" s="21"/>
      <c r="H53" s="4"/>
    </row>
    <row r="54" spans="6:8" ht="12.75" customHeight="1">
      <c r="F54" s="3"/>
      <c r="G54" s="21"/>
      <c r="H54" s="4"/>
    </row>
    <row r="55" spans="6:8" ht="12.75" customHeight="1">
      <c r="F55" s="3"/>
      <c r="G55" s="21"/>
      <c r="H55" s="4"/>
    </row>
    <row r="56" spans="6:8" ht="12.75" customHeight="1">
      <c r="F56" s="3"/>
      <c r="G56" s="21"/>
      <c r="H56" s="4"/>
    </row>
    <row r="57" spans="6:8" ht="12.75" customHeight="1">
      <c r="F57" s="3"/>
      <c r="G57" s="21"/>
      <c r="H57" s="4"/>
    </row>
    <row r="58" spans="6:8" ht="15">
      <c r="F58" s="22"/>
      <c r="G58" s="23"/>
      <c r="H58" s="24"/>
    </row>
  </sheetData>
  <sheetProtection/>
  <hyperlinks>
    <hyperlink ref="E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Christian Latour</cp:lastModifiedBy>
  <cp:lastPrinted>2017-09-07T13:55:40Z</cp:lastPrinted>
  <dcterms:created xsi:type="dcterms:W3CDTF">2007-09-13T14:32:31Z</dcterms:created>
  <dcterms:modified xsi:type="dcterms:W3CDTF">2018-02-15T19:11:42Z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