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hristianlatour/Library/Mobile Documents/com~apple~CloudDocs/COURS MÉRICI/Hiver 2024/Finance gaganante (430-853-ME)/Analyse des écarts/CAHIER D'EXERCICES - Analyse des écarts/"/>
    </mc:Choice>
  </mc:AlternateContent>
  <xr:revisionPtr revIDLastSave="0" documentId="8_{5FC660B0-E1B8-0742-84F5-6E265FB6FFEE}" xr6:coauthVersionLast="47" xr6:coauthVersionMax="47" xr10:uidLastSave="{00000000-0000-0000-0000-000000000000}"/>
  <bookViews>
    <workbookView xWindow="0" yWindow="500" windowWidth="51020" windowHeight="21320" tabRatio="500" xr2:uid="{00000000-000D-0000-FFFF-FFFF00000000}"/>
  </bookViews>
  <sheets>
    <sheet name="Analyse" sheetId="1" r:id="rId1"/>
    <sheet name="État des Résultats" sheetId="2" r:id="rId2"/>
  </sheets>
  <definedNames>
    <definedName name="image1">#REF!</definedName>
    <definedName name="image2">#REF!</definedName>
    <definedName name="_xlnm.Print_Area" localSheetId="1">'État des Résultats'!$C$2:$AQ$47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3" i="2" l="1"/>
  <c r="H17" i="2"/>
  <c r="E12" i="2"/>
  <c r="E17" i="2"/>
  <c r="H12" i="2"/>
  <c r="H15" i="2" s="1"/>
  <c r="J41" i="2"/>
  <c r="E41" i="2"/>
  <c r="J40" i="2"/>
  <c r="E40" i="2"/>
  <c r="H36" i="2"/>
  <c r="J35" i="2"/>
  <c r="E35" i="2"/>
  <c r="E36" i="2" s="1"/>
  <c r="H24" i="2"/>
  <c r="J22" i="2"/>
  <c r="H20" i="2"/>
  <c r="E20" i="2" s="1"/>
  <c r="J17" i="2"/>
  <c r="E15" i="2"/>
  <c r="Q19" i="2"/>
  <c r="E22" i="2"/>
  <c r="J43" i="2" l="1"/>
  <c r="I24" i="2"/>
  <c r="F20" i="2"/>
  <c r="E21" i="2"/>
  <c r="F21" i="2" s="1"/>
  <c r="C44" i="2"/>
  <c r="E24" i="2"/>
  <c r="F24" i="2" s="1"/>
  <c r="F22" i="2"/>
  <c r="F34" i="2"/>
  <c r="F28" i="2"/>
  <c r="F31" i="2"/>
  <c r="C9" i="2"/>
  <c r="F6" i="2"/>
  <c r="F33" i="2"/>
  <c r="F32" i="2"/>
  <c r="K19" i="2"/>
  <c r="M17" i="2" s="1"/>
  <c r="F30" i="2"/>
  <c r="F29" i="2"/>
  <c r="F36" i="2"/>
  <c r="I14" i="2"/>
  <c r="I11" i="2"/>
  <c r="I20" i="2"/>
  <c r="I33" i="2"/>
  <c r="I29" i="2"/>
  <c r="I31" i="2" s="1"/>
  <c r="I22" i="2"/>
  <c r="I13" i="2"/>
  <c r="H26" i="2"/>
  <c r="I32" i="2"/>
  <c r="I41" i="2"/>
  <c r="I30" i="2"/>
  <c r="I35" i="2"/>
  <c r="I40" i="2"/>
  <c r="I34" i="2"/>
  <c r="I28" i="2"/>
  <c r="I17" i="2"/>
  <c r="F12" i="2"/>
  <c r="I36" i="2"/>
  <c r="I12" i="2"/>
  <c r="F40" i="2"/>
  <c r="F13" i="2"/>
  <c r="F14" i="2"/>
  <c r="F41" i="2"/>
  <c r="F17" i="2"/>
  <c r="F35" i="2"/>
  <c r="F11" i="2"/>
  <c r="H21" i="2"/>
  <c r="I21" i="2" s="1"/>
  <c r="M19" i="2"/>
  <c r="O17" i="2" s="1"/>
  <c r="O21" i="2" s="1"/>
  <c r="F15" i="2" l="1"/>
  <c r="I15" i="2"/>
  <c r="M21" i="2"/>
  <c r="H38" i="2"/>
  <c r="I26" i="2"/>
  <c r="E26" i="2"/>
  <c r="E38" i="2" l="1"/>
  <c r="F26" i="2"/>
  <c r="H43" i="2"/>
  <c r="I38" i="2"/>
  <c r="H45" i="2" l="1"/>
  <c r="I45" i="2" s="1"/>
  <c r="I43" i="2"/>
  <c r="F38" i="2"/>
  <c r="E43" i="2"/>
  <c r="K17" i="2" l="1"/>
  <c r="F43" i="2"/>
  <c r="E45" i="2"/>
  <c r="F45" i="2" s="1"/>
  <c r="H47" i="2"/>
  <c r="I47" i="2" s="1"/>
  <c r="AI12" i="1"/>
  <c r="AI13" i="1" s="1"/>
  <c r="AI15" i="1" s="1"/>
  <c r="O12" i="1"/>
  <c r="AA12" i="1" s="1"/>
  <c r="AN12" i="1" s="1"/>
  <c r="BQ12" i="1" s="1"/>
  <c r="O11" i="1"/>
  <c r="AA11" i="1" s="1"/>
  <c r="AN11" i="1" s="1"/>
  <c r="BQ11" i="1" s="1"/>
  <c r="O10" i="1"/>
  <c r="AA10" i="1" s="1"/>
  <c r="AN10" i="1" s="1"/>
  <c r="BQ10" i="1" s="1"/>
  <c r="O9" i="1"/>
  <c r="AA9" i="1" s="1"/>
  <c r="AN9" i="1" s="1"/>
  <c r="BQ9" i="1" s="1"/>
  <c r="O15" i="1"/>
  <c r="O6" i="1"/>
  <c r="AC13" i="1"/>
  <c r="E13" i="1"/>
  <c r="E14" i="1" s="1"/>
  <c r="BI10" i="1"/>
  <c r="BI11" i="1" s="1"/>
  <c r="BI12" i="1" s="1"/>
  <c r="BH10" i="1"/>
  <c r="BH11" i="1" s="1"/>
  <c r="Q12" i="1"/>
  <c r="T12" i="1"/>
  <c r="X12" i="1" s="1"/>
  <c r="BS12" i="1" s="1"/>
  <c r="AY12" i="1"/>
  <c r="AV12" i="1"/>
  <c r="AS12" i="1"/>
  <c r="BB12" i="1"/>
  <c r="BU12" i="1"/>
  <c r="BX12" i="1"/>
  <c r="AJ9" i="1"/>
  <c r="AJ13" i="1" s="1"/>
  <c r="AJ10" i="1"/>
  <c r="AJ11" i="1"/>
  <c r="AP11" i="1" s="1"/>
  <c r="AJ12" i="1"/>
  <c r="BV12" i="1" s="1"/>
  <c r="BY12" i="1" s="1"/>
  <c r="Q9" i="1"/>
  <c r="Q13" i="1" s="1"/>
  <c r="T9" i="1"/>
  <c r="AS9" i="1" s="1"/>
  <c r="X9" i="1"/>
  <c r="Q10" i="1"/>
  <c r="AS10" i="1" s="1"/>
  <c r="T10" i="1"/>
  <c r="AV10" i="1" s="1"/>
  <c r="Q11" i="1"/>
  <c r="AS11" i="1" s="1"/>
  <c r="T11" i="1"/>
  <c r="AV11" i="1" s="1"/>
  <c r="X11" i="1"/>
  <c r="BS11" i="1" s="1"/>
  <c r="AY9" i="1"/>
  <c r="AV9" i="1"/>
  <c r="AV13" i="1" s="1"/>
  <c r="AX12" i="1"/>
  <c r="AU12" i="1"/>
  <c r="AR12" i="1"/>
  <c r="P14" i="1"/>
  <c r="V13" i="1"/>
  <c r="AH13" i="1"/>
  <c r="AH15" i="1"/>
  <c r="AG12" i="1"/>
  <c r="AG13" i="1" s="1"/>
  <c r="AG15" i="1" s="1"/>
  <c r="S9" i="1"/>
  <c r="S10" i="1"/>
  <c r="S11" i="1"/>
  <c r="S12" i="1"/>
  <c r="S13" i="1"/>
  <c r="S15" i="1"/>
  <c r="AE15" i="1"/>
  <c r="R13" i="1"/>
  <c r="AD13" i="1" s="1"/>
  <c r="R14" i="1"/>
  <c r="R15" i="1" s="1"/>
  <c r="AD15" i="1" s="1"/>
  <c r="AE10" i="1"/>
  <c r="AE11" i="1"/>
  <c r="AE12" i="1"/>
  <c r="AE13" i="1"/>
  <c r="V12" i="1"/>
  <c r="AH12" i="1"/>
  <c r="V11" i="1"/>
  <c r="AH11" i="1"/>
  <c r="V10" i="1"/>
  <c r="AH10" i="1"/>
  <c r="V9" i="1"/>
  <c r="AH9" i="1" s="1"/>
  <c r="R12" i="1"/>
  <c r="AD12" i="1"/>
  <c r="R11" i="1"/>
  <c r="AD11" i="1"/>
  <c r="R10" i="1"/>
  <c r="AD10" i="1"/>
  <c r="R9" i="1"/>
  <c r="AD9" i="1"/>
  <c r="G10" i="1"/>
  <c r="G11" i="1"/>
  <c r="G12" i="1"/>
  <c r="G13" i="1" s="1"/>
  <c r="G15" i="1" s="1"/>
  <c r="K12" i="1"/>
  <c r="K13" i="1"/>
  <c r="W13" i="1" s="1"/>
  <c r="K15" i="1"/>
  <c r="W15" i="1"/>
  <c r="J15" i="1"/>
  <c r="V15" i="1"/>
  <c r="U10" i="1"/>
  <c r="U11" i="1" s="1"/>
  <c r="U12" i="1" s="1"/>
  <c r="U13" i="1" s="1"/>
  <c r="U15" i="1" s="1"/>
  <c r="O14" i="1"/>
  <c r="W12" i="1"/>
  <c r="W11" i="1"/>
  <c r="W10" i="1"/>
  <c r="W9" i="1"/>
  <c r="L9" i="1"/>
  <c r="L13" i="1" s="1"/>
  <c r="L10" i="1"/>
  <c r="L11" i="1"/>
  <c r="L12" i="1"/>
  <c r="I12" i="1"/>
  <c r="I13" i="1"/>
  <c r="I15" i="1"/>
  <c r="AA17" i="1"/>
  <c r="BK10" i="1"/>
  <c r="BN10" i="1" s="1"/>
  <c r="BK9" i="1"/>
  <c r="BN9" i="1"/>
  <c r="BO10" i="1"/>
  <c r="BO11" i="1"/>
  <c r="BM10" i="1"/>
  <c r="BM11" i="1"/>
  <c r="BL10" i="1"/>
  <c r="BL11" i="1"/>
  <c r="BJ10" i="1"/>
  <c r="BJ11" i="1"/>
  <c r="BG10" i="1"/>
  <c r="BG11" i="1"/>
  <c r="BF11" i="1"/>
  <c r="BS9" i="1"/>
  <c r="BV9" i="1"/>
  <c r="BY9" i="1" s="1"/>
  <c r="E47" i="2" l="1"/>
  <c r="F47" i="2" s="1"/>
  <c r="Q17" i="2"/>
  <c r="S21" i="2" s="1"/>
  <c r="K21" i="2"/>
  <c r="Q21" i="2" s="1"/>
  <c r="BK11" i="1"/>
  <c r="BN11" i="1" s="1"/>
  <c r="BH12" i="1"/>
  <c r="BK12" i="1" s="1"/>
  <c r="AJ15" i="1"/>
  <c r="AF13" i="1"/>
  <c r="X13" i="1"/>
  <c r="L15" i="1"/>
  <c r="H15" i="1" s="1"/>
  <c r="L19" i="1" s="1"/>
  <c r="H13" i="1"/>
  <c r="Q14" i="1"/>
  <c r="AS13" i="1"/>
  <c r="BB9" i="1"/>
  <c r="AP12" i="1"/>
  <c r="AY11" i="1"/>
  <c r="BB11" i="1" s="1"/>
  <c r="AY10" i="1"/>
  <c r="X10" i="1"/>
  <c r="BS10" i="1" s="1"/>
  <c r="BV11" i="1"/>
  <c r="BY11" i="1" s="1"/>
  <c r="BV10" i="1"/>
  <c r="BY10" i="1" s="1"/>
  <c r="E15" i="1"/>
  <c r="Q15" i="1" s="1"/>
  <c r="AP9" i="1"/>
  <c r="X17" i="1" l="1"/>
  <c r="AJ17" i="1" s="1"/>
  <c r="AV19" i="1" s="1"/>
  <c r="AC15" i="1"/>
  <c r="AC14" i="1" s="1"/>
  <c r="AB14" i="1" s="1"/>
  <c r="X19" i="1"/>
  <c r="X15" i="1"/>
  <c r="T13" i="1"/>
  <c r="AP13" i="1"/>
  <c r="AP19" i="1" s="1"/>
  <c r="AY13" i="1"/>
  <c r="BB10" i="1"/>
  <c r="BV13" i="1"/>
  <c r="AJ19" i="1"/>
  <c r="AF15" i="1"/>
  <c r="AP10" i="1"/>
  <c r="AS19" i="1"/>
  <c r="AY19" i="1" l="1"/>
  <c r="BB13" i="1"/>
  <c r="T15" i="1"/>
  <c r="BS13" i="1"/>
  <c r="BY13" i="1" s="1"/>
  <c r="BB19" i="1"/>
</calcChain>
</file>

<file path=xl/sharedStrings.xml><?xml version="1.0" encoding="utf-8"?>
<sst xmlns="http://schemas.openxmlformats.org/spreadsheetml/2006/main" count="266" uniqueCount="91">
  <si>
    <t>g</t>
  </si>
  <si>
    <t>Kg</t>
  </si>
  <si>
    <t>D</t>
  </si>
  <si>
    <t xml:space="preserve"> </t>
  </si>
  <si>
    <t>+</t>
  </si>
  <si>
    <t>=</t>
  </si>
  <si>
    <t>F</t>
  </si>
  <si>
    <t>ÉCART</t>
  </si>
  <si>
    <t>TOTAL</t>
  </si>
  <si>
    <t>QUANTITÉ</t>
  </si>
  <si>
    <t>COÛT</t>
  </si>
  <si>
    <t>COMBINÉ</t>
  </si>
  <si>
    <t>Manuel de gestion-réflexion / Christian Latour</t>
  </si>
  <si>
    <t>THÉORIQUE</t>
  </si>
  <si>
    <t>RÉEL</t>
  </si>
  <si>
    <t>x</t>
  </si>
  <si>
    <t>/</t>
  </si>
  <si>
    <t>ou</t>
  </si>
  <si>
    <t>-</t>
  </si>
  <si>
    <t>L</t>
  </si>
  <si>
    <t>Le «cost» théorique pour 1 unité de production</t>
  </si>
  <si>
    <t>Prix de vente le litre</t>
  </si>
  <si>
    <t>Le «cost» théorique pour 10 000 unités de production</t>
  </si>
  <si>
    <t>Productions</t>
  </si>
  <si>
    <t>Perte réelle</t>
  </si>
  <si>
    <t>Perte selon les standards</t>
  </si>
  <si>
    <t>Recette standardisée</t>
  </si>
  <si>
    <t>Production standard après perte</t>
  </si>
  <si>
    <t></t>
  </si>
  <si>
    <t>Écarts</t>
  </si>
  <si>
    <t>Ressource alimentaire D</t>
  </si>
  <si>
    <t>Ressource alimentaire A</t>
  </si>
  <si>
    <t>Ressource alimentaire B</t>
  </si>
  <si>
    <t>Ressource alimentaire C</t>
  </si>
  <si>
    <t>Le «cost» réel pour 10 000 unités de production (30 000 litres)</t>
  </si>
  <si>
    <t>Centre de santé LaMINE de Jouvence inc.</t>
  </si>
  <si>
    <t>État des résultats</t>
  </si>
  <si>
    <t>Pour la période du 1er janvier 20XX au 31 décembre 20XX</t>
  </si>
  <si>
    <t>Nombre de places</t>
  </si>
  <si>
    <t>Rev/Place/Jour =</t>
  </si>
  <si>
    <t>Revenus, coûts, bénéfices unitaires moyens par acheteur</t>
  </si>
  <si>
    <t>A</t>
  </si>
  <si>
    <t>Revenus annuels par place</t>
  </si>
  <si>
    <t>Capitaux investis</t>
  </si>
  <si>
    <t>Résultats</t>
  </si>
  <si>
    <t>(%)</t>
  </si>
  <si>
    <t>Revenus</t>
  </si>
  <si>
    <t>Les 5 mesures de base</t>
  </si>
  <si>
    <t xml:space="preserve"> Hébergement</t>
  </si>
  <si>
    <t xml:space="preserve"> Aliments et boissons non alcoolisées</t>
  </si>
  <si>
    <t xml:space="preserve"> Boissons alcoolisées</t>
  </si>
  <si>
    <t xml:space="preserve"> Autres revenus</t>
  </si>
  <si>
    <t>La gestion de l'exploitation</t>
  </si>
  <si>
    <t>La gestion des ressources</t>
  </si>
  <si>
    <t>La gestion de la dette</t>
  </si>
  <si>
    <t>Le rendement sur l'investissement des actionnaires</t>
  </si>
  <si>
    <t>Le rendement sur l'investissement des actionnaires en %</t>
  </si>
  <si>
    <t xml:space="preserve">   Total des revenus</t>
  </si>
  <si>
    <t>Coût des produits vendus</t>
  </si>
  <si>
    <t xml:space="preserve"> ÷ </t>
  </si>
  <si>
    <t xml:space="preserve">Coût de la main-d’œuvre </t>
  </si>
  <si>
    <t xml:space="preserve"> Total des salaires</t>
  </si>
  <si>
    <t xml:space="preserve"> Total des avantages sociaux</t>
  </si>
  <si>
    <t xml:space="preserve">   Total des coûts de la main-d’œuvre</t>
  </si>
  <si>
    <t xml:space="preserve">   « Prime Cost »</t>
  </si>
  <si>
    <t xml:space="preserve">   Marge bénéficiaire brute</t>
  </si>
  <si>
    <t xml:space="preserve"> Frais d’occupation </t>
  </si>
  <si>
    <t xml:space="preserve"> Coût direct d’exploitation </t>
  </si>
  <si>
    <t xml:space="preserve"> Musique &amp; Divertissement </t>
  </si>
  <si>
    <t xml:space="preserve"> Marketing &amp; Communication marketing</t>
  </si>
  <si>
    <t xml:space="preserve"> Services publics </t>
  </si>
  <si>
    <t xml:space="preserve"> Administration &amp; Frais généraux</t>
  </si>
  <si>
    <t xml:space="preserve"> Entretien &amp; Réparations </t>
  </si>
  <si>
    <t xml:space="preserve"> Autres dépenses </t>
  </si>
  <si>
    <t xml:space="preserve">   Total des frais d’exploitation</t>
  </si>
  <si>
    <t>Bénéfices nets avant frais financiers, amort. et impôt (BAIIA)</t>
  </si>
  <si>
    <t xml:space="preserve"> Frais de services financiers</t>
  </si>
  <si>
    <t xml:space="preserve"> Amortissement et dépréciation</t>
  </si>
  <si>
    <t xml:space="preserve">BÉNÉFICE NET AVANT IMPÔT </t>
    <phoneticPr fontId="0" type="noConversion"/>
  </si>
  <si>
    <t>Bm/A</t>
  </si>
  <si>
    <t xml:space="preserve"> Impôts </t>
  </si>
  <si>
    <t xml:space="preserve">BÉNÉFICE NET </t>
  </si>
  <si>
    <t>Taux d'imposition</t>
  </si>
  <si>
    <t xml:space="preserve"> S — Le Druide inc. (le solutionnaire)</t>
  </si>
  <si>
    <t>Vous êtes l’actionnaire dirigeant de l’entreprise « Le centre de santé LaMine de Jouvence inc. » et vous offrez comme spécialité une boisson régénératrice qui est très appréciée par les adeptes de la permaforme. Votre fiche recette standardisée comprend les informations suivantes :</t>
  </si>
  <si>
    <t xml:space="preserve">À la fin de la période, les livres comptables de votre entreprise affichent les résultats suivants : </t>
  </si>
  <si>
    <t>(Théorique 1 unité de production)</t>
  </si>
  <si>
    <t>(Théorique 10 000 unités de production)</t>
  </si>
  <si>
    <t>(Réel 10 000 unités de production)</t>
  </si>
  <si>
    <t>Les ventes de la période (30 000 litres à 5 $ le litre)</t>
  </si>
  <si>
    <t>Production réelle après la perte réelle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</si>
</sst>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44" formatCode="_(&quot;$&quot;* #,##0.00_);_(&quot;$&quot;* \(#,##0.00\);_(&quot;$&quot;* &quot;-&quot;??_);_(@_)"/>
    <numFmt numFmtId="164" formatCode="#,##0.00\ &quot;$&quot;"/>
    <numFmt numFmtId="165" formatCode="[$-C0C]d\ mmm\ yyyy;@"/>
    <numFmt numFmtId="166" formatCode="_(&quot;$&quot;* #,##0.00_);_(&quot;$&quot;* \(#,##0.00\);_(&quot;$&quot;* &quot;-&quot;??_);_(@_)"/>
    <numFmt numFmtId="167" formatCode="#,##0.00&quot;$&quot;"/>
    <numFmt numFmtId="168" formatCode="#,##0\ &quot;$&quot;"/>
    <numFmt numFmtId="169" formatCode="_(&quot;$&quot;* #,##0_);_(&quot;$&quot;* \(#,##0\);_(&quot;$&quot;* &quot;-&quot;_);_(@_)"/>
    <numFmt numFmtId="170" formatCode="#,##0.0000"/>
  </numFmts>
  <fonts count="40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Wingdings"/>
      <family val="2"/>
    </font>
    <font>
      <sz val="12"/>
      <color theme="1"/>
      <name val="Wingdings-Regular"/>
    </font>
    <font>
      <sz val="14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u/>
      <sz val="10"/>
      <color theme="10"/>
      <name val="Arial"/>
      <family val="2"/>
    </font>
    <font>
      <sz val="10"/>
      <color rgb="FF0070C0"/>
      <name val="Arial"/>
      <family val="2"/>
    </font>
    <font>
      <b/>
      <sz val="10"/>
      <name val="Arial"/>
      <family val="2"/>
      <charset val="204"/>
    </font>
    <font>
      <b/>
      <u val="singleAccounting"/>
      <sz val="10"/>
      <name val="Arial"/>
      <family val="2"/>
    </font>
    <font>
      <b/>
      <sz val="10"/>
      <color rgb="FF0070C0"/>
      <name val="Arial"/>
      <family val="2"/>
      <charset val="204"/>
    </font>
    <font>
      <b/>
      <u/>
      <sz val="10"/>
      <name val="Arial"/>
      <family val="2"/>
      <charset val="204"/>
    </font>
    <font>
      <b/>
      <sz val="20"/>
      <name val="Arial"/>
      <family val="2"/>
    </font>
    <font>
      <b/>
      <sz val="10"/>
      <color indexed="9"/>
      <name val="Arial"/>
      <family val="2"/>
      <charset val="204"/>
    </font>
    <font>
      <sz val="10"/>
      <color indexed="9"/>
      <name val="Arial"/>
      <family val="2"/>
    </font>
    <font>
      <b/>
      <u val="doubleAccounting"/>
      <sz val="10"/>
      <color indexed="9"/>
      <name val="Arial"/>
      <family val="2"/>
      <charset val="204"/>
    </font>
    <font>
      <b/>
      <u val="double"/>
      <sz val="10"/>
      <color indexed="9"/>
      <name val="Arial"/>
      <family val="2"/>
      <charset val="204"/>
    </font>
    <font>
      <b/>
      <u val="doubleAccounting"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u val="double"/>
      <sz val="14"/>
      <color rgb="FF000000"/>
      <name val="Arial"/>
      <family val="2"/>
    </font>
    <font>
      <b/>
      <sz val="10"/>
      <color theme="0"/>
      <name val="Arial"/>
      <family val="2"/>
    </font>
    <font>
      <b/>
      <u val="singleAccounting"/>
      <sz val="10"/>
      <name val="Arial"/>
      <family val="2"/>
      <charset val="204"/>
    </font>
    <font>
      <b/>
      <u val="double"/>
      <sz val="10"/>
      <color theme="0"/>
      <name val="Arial"/>
      <family val="2"/>
    </font>
    <font>
      <b/>
      <u val="double"/>
      <sz val="10"/>
      <name val="Arial"/>
      <family val="2"/>
    </font>
    <font>
      <sz val="10"/>
      <color theme="0"/>
      <name val="Arial"/>
      <family val="2"/>
    </font>
    <font>
      <sz val="19"/>
      <color rgb="FF00000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dotted">
        <color auto="1"/>
      </bottom>
      <diagonal/>
    </border>
    <border>
      <left/>
      <right style="dotted">
        <color auto="1"/>
      </right>
      <top style="thick">
        <color auto="1"/>
      </top>
      <bottom style="dotted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otted">
        <color auto="1"/>
      </bottom>
      <diagonal/>
    </border>
    <border>
      <left style="thick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ck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dotted">
        <color auto="1"/>
      </top>
      <bottom style="thick">
        <color auto="1"/>
      </bottom>
      <diagonal/>
    </border>
    <border>
      <left/>
      <right style="dotted">
        <color auto="1"/>
      </right>
      <top style="dotted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 diagonalUp="1"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 style="dotted">
        <color auto="1"/>
      </diagonal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21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0"/>
    <xf numFmtId="0" fontId="17" fillId="0" borderId="0" applyNumberFormat="0" applyFill="0" applyBorder="0" applyAlignment="0" applyProtection="0"/>
    <xf numFmtId="166" fontId="14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46">
    <xf numFmtId="0" fontId="0" fillId="0" borderId="0" xfId="0"/>
    <xf numFmtId="164" fontId="0" fillId="0" borderId="0" xfId="0" applyNumberFormat="1"/>
    <xf numFmtId="164" fontId="6" fillId="0" borderId="0" xfId="0" applyNumberFormat="1" applyFont="1"/>
    <xf numFmtId="0" fontId="2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5" xfId="0" applyFont="1" applyBorder="1"/>
    <xf numFmtId="0" fontId="2" fillId="0" borderId="0" xfId="0" applyFont="1"/>
    <xf numFmtId="0" fontId="0" fillId="0" borderId="7" xfId="0" applyBorder="1"/>
    <xf numFmtId="0" fontId="0" fillId="0" borderId="1" xfId="0" applyBorder="1"/>
    <xf numFmtId="164" fontId="0" fillId="0" borderId="1" xfId="0" applyNumberFormat="1" applyBorder="1"/>
    <xf numFmtId="0" fontId="0" fillId="0" borderId="8" xfId="0" applyBorder="1"/>
    <xf numFmtId="0" fontId="8" fillId="0" borderId="2" xfId="0" applyFont="1" applyBorder="1"/>
    <xf numFmtId="0" fontId="0" fillId="2" borderId="0" xfId="0" applyFill="1"/>
    <xf numFmtId="164" fontId="0" fillId="2" borderId="0" xfId="0" applyNumberFormat="1" applyFill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1" fillId="0" borderId="0" xfId="0" applyNumberFormat="1" applyFont="1"/>
    <xf numFmtId="0" fontId="1" fillId="0" borderId="5" xfId="0" applyFont="1" applyBorder="1"/>
    <xf numFmtId="0" fontId="1" fillId="0" borderId="0" xfId="0" applyFont="1"/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0" xfId="0" applyNumberFormat="1" applyAlignment="1">
      <alignment horizontal="right"/>
    </xf>
    <xf numFmtId="164" fontId="5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0" fontId="1" fillId="0" borderId="0" xfId="0" applyNumberFormat="1" applyFont="1"/>
    <xf numFmtId="10" fontId="6" fillId="0" borderId="0" xfId="0" applyNumberFormat="1" applyFont="1"/>
    <xf numFmtId="10" fontId="6" fillId="0" borderId="0" xfId="0" applyNumberFormat="1" applyFont="1" applyAlignment="1">
      <alignment horizontal="right"/>
    </xf>
    <xf numFmtId="0" fontId="8" fillId="0" borderId="5" xfId="0" applyFont="1" applyBorder="1"/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6" fillId="2" borderId="0" xfId="0" applyNumberFormat="1" applyFont="1" applyFill="1"/>
    <xf numFmtId="3" fontId="0" fillId="0" borderId="0" xfId="0" applyNumberFormat="1"/>
    <xf numFmtId="0" fontId="1" fillId="0" borderId="6" xfId="0" applyFont="1" applyBorder="1"/>
    <xf numFmtId="0" fontId="0" fillId="0" borderId="0" xfId="0" applyAlignment="1">
      <alignment vertical="center" wrapText="1"/>
    </xf>
    <xf numFmtId="0" fontId="0" fillId="3" borderId="0" xfId="0" applyFill="1"/>
    <xf numFmtId="164" fontId="1" fillId="2" borderId="0" xfId="0" applyNumberFormat="1" applyFont="1" applyFill="1"/>
    <xf numFmtId="0" fontId="1" fillId="2" borderId="0" xfId="0" applyFont="1" applyFill="1" applyAlignment="1">
      <alignment horizontal="center"/>
    </xf>
    <xf numFmtId="164" fontId="0" fillId="2" borderId="0" xfId="0" applyNumberFormat="1" applyFill="1" applyAlignment="1">
      <alignment horizontal="right"/>
    </xf>
    <xf numFmtId="164" fontId="6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3" fontId="6" fillId="0" borderId="5" xfId="0" applyNumberFormat="1" applyFont="1" applyBorder="1"/>
    <xf numFmtId="4" fontId="0" fillId="2" borderId="0" xfId="0" applyNumberFormat="1" applyFill="1"/>
    <xf numFmtId="4" fontId="6" fillId="2" borderId="0" xfId="0" applyNumberFormat="1" applyFont="1" applyFill="1"/>
    <xf numFmtId="0" fontId="6" fillId="2" borderId="0" xfId="0" applyFont="1" applyFill="1"/>
    <xf numFmtId="164" fontId="1" fillId="2" borderId="0" xfId="0" applyNumberFormat="1" applyFont="1" applyFill="1" applyAlignment="1">
      <alignment horizontal="center"/>
    </xf>
    <xf numFmtId="164" fontId="6" fillId="2" borderId="0" xfId="0" applyNumberFormat="1" applyFont="1" applyFill="1" applyAlignment="1">
      <alignment horizontal="center"/>
    </xf>
    <xf numFmtId="9" fontId="1" fillId="0" borderId="0" xfId="0" applyNumberFormat="1" applyFont="1"/>
    <xf numFmtId="0" fontId="0" fillId="3" borderId="6" xfId="0" applyFill="1" applyBorder="1" applyAlignment="1">
      <alignment horizontal="center"/>
    </xf>
    <xf numFmtId="10" fontId="6" fillId="2" borderId="0" xfId="0" applyNumberFormat="1" applyFont="1" applyFill="1" applyAlignment="1">
      <alignment horizontal="right"/>
    </xf>
    <xf numFmtId="0" fontId="11" fillId="0" borderId="0" xfId="0" applyFont="1"/>
    <xf numFmtId="0" fontId="12" fillId="2" borderId="0" xfId="0" applyFont="1" applyFill="1" applyAlignment="1">
      <alignment horizontal="center"/>
    </xf>
    <xf numFmtId="0" fontId="13" fillId="0" borderId="5" xfId="0" applyFont="1" applyBorder="1"/>
    <xf numFmtId="0" fontId="13" fillId="0" borderId="0" xfId="0" applyFont="1"/>
    <xf numFmtId="0" fontId="0" fillId="0" borderId="2" xfId="0" applyBorder="1"/>
    <xf numFmtId="0" fontId="0" fillId="0" borderId="3" xfId="0" applyBorder="1"/>
    <xf numFmtId="0" fontId="1" fillId="3" borderId="6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14" fillId="0" borderId="1" xfId="213" applyBorder="1"/>
    <xf numFmtId="0" fontId="14" fillId="0" borderId="0" xfId="213"/>
    <xf numFmtId="164" fontId="15" fillId="0" borderId="0" xfId="213" applyNumberFormat="1" applyFont="1" applyAlignment="1">
      <alignment horizontal="center"/>
    </xf>
    <xf numFmtId="0" fontId="16" fillId="4" borderId="2" xfId="213" applyFont="1" applyFill="1" applyBorder="1" applyAlignment="1">
      <alignment horizontal="center"/>
    </xf>
    <xf numFmtId="0" fontId="14" fillId="0" borderId="5" xfId="213" applyBorder="1"/>
    <xf numFmtId="0" fontId="17" fillId="0" borderId="0" xfId="214"/>
    <xf numFmtId="0" fontId="14" fillId="0" borderId="0" xfId="213" applyAlignment="1">
      <alignment horizontal="center" vertical="center"/>
    </xf>
    <xf numFmtId="0" fontId="16" fillId="4" borderId="5" xfId="213" applyFont="1" applyFill="1" applyBorder="1" applyAlignment="1">
      <alignment horizontal="center" vertical="center"/>
    </xf>
    <xf numFmtId="0" fontId="18" fillId="5" borderId="7" xfId="213" applyFont="1" applyFill="1" applyBorder="1" applyAlignment="1">
      <alignment horizontal="center" vertical="center"/>
    </xf>
    <xf numFmtId="0" fontId="19" fillId="0" borderId="9" xfId="213" applyFont="1" applyBorder="1" applyAlignment="1">
      <alignment horizontal="left"/>
    </xf>
    <xf numFmtId="0" fontId="19" fillId="6" borderId="10" xfId="213" applyFont="1" applyFill="1" applyBorder="1" applyAlignment="1">
      <alignment horizontal="center"/>
    </xf>
    <xf numFmtId="0" fontId="14" fillId="0" borderId="11" xfId="213" applyBorder="1"/>
    <xf numFmtId="165" fontId="19" fillId="6" borderId="3" xfId="213" applyNumberFormat="1" applyFont="1" applyFill="1" applyBorder="1" applyAlignment="1">
      <alignment horizontal="center"/>
    </xf>
    <xf numFmtId="167" fontId="20" fillId="6" borderId="4" xfId="215" applyNumberFormat="1" applyFont="1" applyFill="1" applyBorder="1" applyAlignment="1">
      <alignment horizontal="center"/>
    </xf>
    <xf numFmtId="165" fontId="14" fillId="0" borderId="0" xfId="213" applyNumberFormat="1"/>
    <xf numFmtId="164" fontId="14" fillId="0" borderId="0" xfId="213" applyNumberFormat="1" applyAlignment="1">
      <alignment horizontal="center"/>
    </xf>
    <xf numFmtId="0" fontId="16" fillId="4" borderId="11" xfId="213" applyFont="1" applyFill="1" applyBorder="1" applyAlignment="1">
      <alignment horizontal="center"/>
    </xf>
    <xf numFmtId="1" fontId="21" fillId="6" borderId="0" xfId="213" applyNumberFormat="1" applyFont="1" applyFill="1" applyAlignment="1">
      <alignment horizontal="center"/>
    </xf>
    <xf numFmtId="1" fontId="16" fillId="6" borderId="6" xfId="213" applyNumberFormat="1" applyFont="1" applyFill="1" applyBorder="1" applyAlignment="1">
      <alignment horizontal="center"/>
    </xf>
    <xf numFmtId="0" fontId="19" fillId="6" borderId="11" xfId="213" applyFont="1" applyFill="1" applyBorder="1" applyAlignment="1">
      <alignment horizontal="center"/>
    </xf>
    <xf numFmtId="0" fontId="15" fillId="4" borderId="0" xfId="213" applyFont="1" applyFill="1" applyAlignment="1">
      <alignment horizontal="center"/>
    </xf>
    <xf numFmtId="168" fontId="21" fillId="6" borderId="6" xfId="213" applyNumberFormat="1" applyFont="1" applyFill="1" applyBorder="1" applyAlignment="1">
      <alignment horizontal="center"/>
    </xf>
    <xf numFmtId="10" fontId="19" fillId="0" borderId="0" xfId="213" applyNumberFormat="1" applyFont="1"/>
    <xf numFmtId="167" fontId="19" fillId="6" borderId="12" xfId="213" applyNumberFormat="1" applyFont="1" applyFill="1" applyBorder="1" applyAlignment="1">
      <alignment horizontal="center"/>
    </xf>
    <xf numFmtId="0" fontId="19" fillId="6" borderId="0" xfId="213" applyFont="1" applyFill="1" applyAlignment="1">
      <alignment horizontal="center"/>
    </xf>
    <xf numFmtId="0" fontId="15" fillId="6" borderId="6" xfId="213" applyFont="1" applyFill="1" applyBorder="1" applyAlignment="1">
      <alignment horizontal="center"/>
    </xf>
    <xf numFmtId="0" fontId="14" fillId="0" borderId="0" xfId="213" applyAlignment="1">
      <alignment horizontal="center"/>
    </xf>
    <xf numFmtId="0" fontId="22" fillId="0" borderId="13" xfId="213" applyFont="1" applyBorder="1"/>
    <xf numFmtId="0" fontId="14" fillId="3" borderId="14" xfId="213" applyFill="1" applyBorder="1"/>
    <xf numFmtId="10" fontId="14" fillId="3" borderId="15" xfId="213" applyNumberFormat="1" applyFill="1" applyBorder="1"/>
    <xf numFmtId="164" fontId="15" fillId="0" borderId="2" xfId="213" applyNumberFormat="1" applyFont="1" applyBorder="1" applyAlignment="1">
      <alignment horizontal="center"/>
    </xf>
    <xf numFmtId="10" fontId="14" fillId="0" borderId="16" xfId="213" applyNumberFormat="1" applyBorder="1"/>
    <xf numFmtId="0" fontId="14" fillId="7" borderId="4" xfId="213" applyFill="1" applyBorder="1"/>
    <xf numFmtId="0" fontId="14" fillId="0" borderId="17" xfId="213" applyBorder="1"/>
    <xf numFmtId="166" fontId="16" fillId="3" borderId="18" xfId="213" applyNumberFormat="1" applyFont="1" applyFill="1" applyBorder="1"/>
    <xf numFmtId="10" fontId="15" fillId="3" borderId="19" xfId="213" applyNumberFormat="1" applyFont="1" applyFill="1" applyBorder="1"/>
    <xf numFmtId="166" fontId="16" fillId="0" borderId="5" xfId="213" applyNumberFormat="1" applyFont="1" applyBorder="1"/>
    <xf numFmtId="10" fontId="14" fillId="0" borderId="20" xfId="213" applyNumberFormat="1" applyBorder="1"/>
    <xf numFmtId="0" fontId="14" fillId="7" borderId="6" xfId="213" applyFill="1" applyBorder="1"/>
    <xf numFmtId="0" fontId="14" fillId="0" borderId="21" xfId="213" applyBorder="1"/>
    <xf numFmtId="10" fontId="19" fillId="3" borderId="22" xfId="213" applyNumberFormat="1" applyFont="1" applyFill="1" applyBorder="1"/>
    <xf numFmtId="10" fontId="19" fillId="0" borderId="23" xfId="213" applyNumberFormat="1" applyFont="1" applyBorder="1"/>
    <xf numFmtId="0" fontId="14" fillId="7" borderId="8" xfId="213" applyFill="1" applyBorder="1"/>
    <xf numFmtId="0" fontId="14" fillId="0" borderId="24" xfId="213" applyBorder="1"/>
    <xf numFmtId="164" fontId="14" fillId="8" borderId="0" xfId="213" applyNumberFormat="1" applyFill="1" applyProtection="1">
      <protection locked="0"/>
    </xf>
    <xf numFmtId="0" fontId="14" fillId="8" borderId="0" xfId="213" applyFill="1"/>
    <xf numFmtId="0" fontId="14" fillId="0" borderId="25" xfId="213" applyBorder="1"/>
    <xf numFmtId="166" fontId="16" fillId="3" borderId="26" xfId="213" applyNumberFormat="1" applyFont="1" applyFill="1" applyBorder="1"/>
    <xf numFmtId="10" fontId="19" fillId="3" borderId="27" xfId="213" applyNumberFormat="1" applyFont="1" applyFill="1" applyBorder="1"/>
    <xf numFmtId="10" fontId="19" fillId="0" borderId="28" xfId="213" applyNumberFormat="1" applyFont="1" applyBorder="1"/>
    <xf numFmtId="164" fontId="14" fillId="7" borderId="3" xfId="213" applyNumberFormat="1" applyFill="1" applyBorder="1" applyProtection="1">
      <protection locked="0"/>
    </xf>
    <xf numFmtId="0" fontId="14" fillId="7" borderId="3" xfId="213" applyFill="1" applyBorder="1"/>
    <xf numFmtId="0" fontId="24" fillId="9" borderId="29" xfId="213" applyFont="1" applyFill="1" applyBorder="1"/>
    <xf numFmtId="0" fontId="25" fillId="0" borderId="11" xfId="213" applyFont="1" applyBorder="1"/>
    <xf numFmtId="166" fontId="26" fillId="9" borderId="9" xfId="213" applyNumberFormat="1" applyFont="1" applyFill="1" applyBorder="1"/>
    <xf numFmtId="10" fontId="27" fillId="9" borderId="30" xfId="213" applyNumberFormat="1" applyFont="1" applyFill="1" applyBorder="1"/>
    <xf numFmtId="166" fontId="28" fillId="10" borderId="29" xfId="213" applyNumberFormat="1" applyFont="1" applyFill="1" applyBorder="1"/>
    <xf numFmtId="10" fontId="27" fillId="9" borderId="31" xfId="213" applyNumberFormat="1" applyFont="1" applyFill="1" applyBorder="1"/>
    <xf numFmtId="164" fontId="14" fillId="7" borderId="0" xfId="213" applyNumberFormat="1" applyFill="1" applyProtection="1">
      <protection locked="0"/>
    </xf>
    <xf numFmtId="0" fontId="14" fillId="7" borderId="0" xfId="213" applyFill="1"/>
    <xf numFmtId="0" fontId="25" fillId="0" borderId="0" xfId="213" applyFont="1"/>
    <xf numFmtId="0" fontId="14" fillId="0" borderId="13" xfId="213" applyBorder="1"/>
    <xf numFmtId="166" fontId="0" fillId="3" borderId="14" xfId="215" applyFont="1" applyFill="1" applyBorder="1"/>
    <xf numFmtId="166" fontId="15" fillId="0" borderId="5" xfId="213" applyNumberFormat="1" applyFont="1" applyBorder="1"/>
    <xf numFmtId="0" fontId="29" fillId="3" borderId="0" xfId="213" applyFont="1" applyFill="1"/>
    <xf numFmtId="0" fontId="30" fillId="3" borderId="21" xfId="213" applyFont="1" applyFill="1" applyBorder="1"/>
    <xf numFmtId="0" fontId="29" fillId="3" borderId="11" xfId="213" applyFont="1" applyFill="1" applyBorder="1"/>
    <xf numFmtId="166" fontId="16" fillId="3" borderId="18" xfId="215" applyFont="1" applyFill="1" applyBorder="1"/>
    <xf numFmtId="10" fontId="29" fillId="3" borderId="22" xfId="213" applyNumberFormat="1" applyFont="1" applyFill="1" applyBorder="1"/>
    <xf numFmtId="10" fontId="29" fillId="0" borderId="23" xfId="213" applyNumberFormat="1" applyFont="1" applyBorder="1"/>
    <xf numFmtId="164" fontId="31" fillId="7" borderId="5" xfId="213" applyNumberFormat="1" applyFont="1" applyFill="1" applyBorder="1" applyAlignment="1" applyProtection="1">
      <alignment horizontal="center"/>
      <protection hidden="1"/>
    </xf>
    <xf numFmtId="164" fontId="31" fillId="7" borderId="0" xfId="213" applyNumberFormat="1" applyFont="1" applyFill="1" applyAlignment="1" applyProtection="1">
      <alignment horizontal="center"/>
      <protection hidden="1"/>
    </xf>
    <xf numFmtId="164" fontId="31" fillId="7" borderId="0" xfId="213" applyNumberFormat="1" applyFont="1" applyFill="1" applyAlignment="1" applyProtection="1">
      <alignment horizontal="center" wrapText="1"/>
      <protection hidden="1"/>
    </xf>
    <xf numFmtId="10" fontId="31" fillId="7" borderId="0" xfId="213" applyNumberFormat="1" applyFont="1" applyFill="1" applyAlignment="1" applyProtection="1">
      <alignment horizontal="center"/>
      <protection hidden="1"/>
    </xf>
    <xf numFmtId="164" fontId="15" fillId="7" borderId="6" xfId="213" applyNumberFormat="1" applyFont="1" applyFill="1" applyBorder="1" applyAlignment="1">
      <alignment horizontal="center"/>
    </xf>
    <xf numFmtId="169" fontId="14" fillId="0" borderId="0" xfId="213" applyNumberFormat="1"/>
    <xf numFmtId="166" fontId="0" fillId="3" borderId="18" xfId="215" applyFont="1" applyFill="1" applyBorder="1"/>
    <xf numFmtId="10" fontId="14" fillId="3" borderId="22" xfId="213" applyNumberFormat="1" applyFill="1" applyBorder="1"/>
    <xf numFmtId="10" fontId="14" fillId="0" borderId="23" xfId="213" applyNumberFormat="1" applyBorder="1"/>
    <xf numFmtId="0" fontId="31" fillId="7" borderId="5" xfId="213" applyFont="1" applyFill="1" applyBorder="1" applyAlignment="1" applyProtection="1">
      <alignment horizontal="center"/>
      <protection hidden="1"/>
    </xf>
    <xf numFmtId="0" fontId="31" fillId="7" borderId="0" xfId="213" applyFont="1" applyFill="1" applyAlignment="1" applyProtection="1">
      <alignment horizontal="center"/>
      <protection hidden="1"/>
    </xf>
    <xf numFmtId="0" fontId="19" fillId="0" borderId="21" xfId="213" applyFont="1" applyBorder="1"/>
    <xf numFmtId="166" fontId="29" fillId="3" borderId="18" xfId="215" applyFont="1" applyFill="1" applyBorder="1"/>
    <xf numFmtId="166" fontId="30" fillId="0" borderId="21" xfId="215" applyFont="1" applyFill="1" applyBorder="1" applyAlignment="1"/>
    <xf numFmtId="0" fontId="14" fillId="7" borderId="5" xfId="213" applyFill="1" applyBorder="1"/>
    <xf numFmtId="10" fontId="32" fillId="7" borderId="5" xfId="213" applyNumberFormat="1" applyFont="1" applyFill="1" applyBorder="1" applyAlignment="1" applyProtection="1">
      <alignment horizontal="center"/>
      <protection hidden="1"/>
    </xf>
    <xf numFmtId="170" fontId="32" fillId="7" borderId="0" xfId="213" applyNumberFormat="1" applyFont="1" applyFill="1" applyAlignment="1" applyProtection="1">
      <alignment horizontal="center"/>
      <protection hidden="1"/>
    </xf>
    <xf numFmtId="10" fontId="32" fillId="7" borderId="0" xfId="213" applyNumberFormat="1" applyFont="1" applyFill="1" applyAlignment="1" applyProtection="1">
      <alignment horizontal="center"/>
      <protection hidden="1"/>
    </xf>
    <xf numFmtId="10" fontId="33" fillId="7" borderId="32" xfId="213" applyNumberFormat="1" applyFont="1" applyFill="1" applyBorder="1" applyAlignment="1" applyProtection="1">
      <alignment horizontal="center"/>
      <protection hidden="1"/>
    </xf>
    <xf numFmtId="0" fontId="19" fillId="0" borderId="11" xfId="213" applyFont="1" applyBorder="1"/>
    <xf numFmtId="164" fontId="31" fillId="7" borderId="7" xfId="213" applyNumberFormat="1" applyFont="1" applyFill="1" applyBorder="1" applyAlignment="1" applyProtection="1">
      <alignment horizontal="center"/>
      <protection hidden="1"/>
    </xf>
    <xf numFmtId="164" fontId="31" fillId="7" borderId="1" xfId="213" applyNumberFormat="1" applyFont="1" applyFill="1" applyBorder="1" applyAlignment="1" applyProtection="1">
      <alignment horizontal="center"/>
      <protection hidden="1"/>
    </xf>
    <xf numFmtId="164" fontId="15" fillId="7" borderId="8" xfId="213" applyNumberFormat="1" applyFont="1" applyFill="1" applyBorder="1" applyAlignment="1">
      <alignment horizontal="center"/>
    </xf>
    <xf numFmtId="166" fontId="19" fillId="3" borderId="18" xfId="215" applyFont="1" applyFill="1" applyBorder="1"/>
    <xf numFmtId="0" fontId="19" fillId="0" borderId="0" xfId="213" applyFont="1"/>
    <xf numFmtId="166" fontId="0" fillId="3" borderId="26" xfId="215" applyFont="1" applyFill="1" applyBorder="1"/>
    <xf numFmtId="10" fontId="14" fillId="3" borderId="27" xfId="213" applyNumberFormat="1" applyFill="1" applyBorder="1"/>
    <xf numFmtId="10" fontId="14" fillId="0" borderId="28" xfId="213" applyNumberFormat="1" applyBorder="1"/>
    <xf numFmtId="166" fontId="24" fillId="9" borderId="9" xfId="215" applyFont="1" applyFill="1" applyBorder="1"/>
    <xf numFmtId="10" fontId="24" fillId="9" borderId="30" xfId="213" applyNumberFormat="1" applyFont="1" applyFill="1" applyBorder="1"/>
    <xf numFmtId="166" fontId="34" fillId="10" borderId="29" xfId="213" applyNumberFormat="1" applyFont="1" applyFill="1" applyBorder="1"/>
    <xf numFmtId="10" fontId="24" fillId="9" borderId="31" xfId="213" applyNumberFormat="1" applyFont="1" applyFill="1" applyBorder="1"/>
    <xf numFmtId="0" fontId="24" fillId="0" borderId="0" xfId="213" applyFont="1"/>
    <xf numFmtId="166" fontId="18" fillId="3" borderId="18" xfId="215" applyFont="1" applyFill="1" applyBorder="1"/>
    <xf numFmtId="0" fontId="14" fillId="3" borderId="21" xfId="213" applyFill="1" applyBorder="1"/>
    <xf numFmtId="0" fontId="14" fillId="3" borderId="11" xfId="213" applyFill="1" applyBorder="1"/>
    <xf numFmtId="164" fontId="14" fillId="0" borderId="23" xfId="213" applyNumberFormat="1" applyBorder="1"/>
    <xf numFmtId="0" fontId="22" fillId="0" borderId="21" xfId="213" applyFont="1" applyBorder="1"/>
    <xf numFmtId="166" fontId="35" fillId="3" borderId="18" xfId="215" applyFont="1" applyFill="1" applyBorder="1"/>
    <xf numFmtId="10" fontId="22" fillId="3" borderId="22" xfId="215" applyNumberFormat="1" applyFont="1" applyFill="1" applyBorder="1"/>
    <xf numFmtId="166" fontId="35" fillId="3" borderId="18" xfId="215" applyFont="1" applyFill="1" applyBorder="1" applyAlignment="1"/>
    <xf numFmtId="10" fontId="22" fillId="0" borderId="23" xfId="215" applyNumberFormat="1" applyFont="1" applyFill="1" applyBorder="1"/>
    <xf numFmtId="0" fontId="19" fillId="0" borderId="24" xfId="213" applyFont="1" applyBorder="1"/>
    <xf numFmtId="0" fontId="14" fillId="0" borderId="33" xfId="213" applyBorder="1"/>
    <xf numFmtId="166" fontId="14" fillId="3" borderId="34" xfId="215" applyFont="1" applyFill="1" applyBorder="1"/>
    <xf numFmtId="0" fontId="24" fillId="9" borderId="35" xfId="213" applyFont="1" applyFill="1" applyBorder="1"/>
    <xf numFmtId="166" fontId="26" fillId="9" borderId="35" xfId="215" applyFont="1" applyFill="1" applyBorder="1"/>
    <xf numFmtId="10" fontId="27" fillId="9" borderId="35" xfId="213" applyNumberFormat="1" applyFont="1" applyFill="1" applyBorder="1"/>
    <xf numFmtId="166" fontId="36" fillId="10" borderId="29" xfId="213" applyNumberFormat="1" applyFont="1" applyFill="1" applyBorder="1"/>
    <xf numFmtId="10" fontId="27" fillId="9" borderId="36" xfId="213" applyNumberFormat="1" applyFont="1" applyFill="1" applyBorder="1"/>
    <xf numFmtId="164" fontId="37" fillId="0" borderId="0" xfId="213" applyNumberFormat="1" applyFont="1" applyAlignment="1">
      <alignment horizontal="center"/>
    </xf>
    <xf numFmtId="7" fontId="15" fillId="0" borderId="29" xfId="213" applyNumberFormat="1" applyFont="1" applyBorder="1" applyAlignment="1">
      <alignment horizontal="center"/>
    </xf>
    <xf numFmtId="44" fontId="14" fillId="0" borderId="5" xfId="213" applyNumberFormat="1" applyBorder="1"/>
    <xf numFmtId="166" fontId="0" fillId="3" borderId="37" xfId="215" applyFont="1" applyFill="1" applyBorder="1"/>
    <xf numFmtId="0" fontId="15" fillId="0" borderId="5" xfId="213" applyFont="1" applyBorder="1"/>
    <xf numFmtId="166" fontId="1" fillId="3" borderId="18" xfId="215" applyFont="1" applyFill="1" applyBorder="1"/>
    <xf numFmtId="166" fontId="30" fillId="0" borderId="5" xfId="213" applyNumberFormat="1" applyFont="1" applyBorder="1"/>
    <xf numFmtId="0" fontId="24" fillId="9" borderId="7" xfId="213" applyFont="1" applyFill="1" applyBorder="1"/>
    <xf numFmtId="166" fontId="26" fillId="9" borderId="1" xfId="215" applyFont="1" applyFill="1" applyBorder="1"/>
    <xf numFmtId="10" fontId="27" fillId="9" borderId="8" xfId="213" applyNumberFormat="1" applyFont="1" applyFill="1" applyBorder="1"/>
    <xf numFmtId="169" fontId="38" fillId="10" borderId="0" xfId="213" applyNumberFormat="1" applyFont="1" applyFill="1"/>
    <xf numFmtId="0" fontId="14" fillId="0" borderId="3" xfId="213" applyBorder="1"/>
    <xf numFmtId="0" fontId="14" fillId="0" borderId="9" xfId="213" applyBorder="1"/>
    <xf numFmtId="0" fontId="14" fillId="11" borderId="0" xfId="213" applyFill="1"/>
    <xf numFmtId="0" fontId="14" fillId="0" borderId="6" xfId="213" applyBorder="1"/>
    <xf numFmtId="0" fontId="19" fillId="3" borderId="38" xfId="213" applyFont="1" applyFill="1" applyBorder="1"/>
    <xf numFmtId="9" fontId="16" fillId="3" borderId="39" xfId="213" applyNumberFormat="1" applyFont="1" applyFill="1" applyBorder="1" applyAlignment="1">
      <alignment horizontal="center"/>
    </xf>
    <xf numFmtId="166" fontId="14" fillId="0" borderId="0" xfId="213" applyNumberFormat="1"/>
    <xf numFmtId="10" fontId="14" fillId="0" borderId="0" xfId="213" applyNumberFormat="1"/>
    <xf numFmtId="0" fontId="39" fillId="0" borderId="0" xfId="213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3" xfId="0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0" borderId="0" xfId="0" applyFont="1"/>
    <xf numFmtId="0" fontId="1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7" fillId="0" borderId="3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1" fillId="0" borderId="5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5" xfId="0" applyBorder="1" applyAlignment="1">
      <alignment wrapText="1"/>
    </xf>
    <xf numFmtId="164" fontId="14" fillId="7" borderId="4" xfId="213" applyNumberFormat="1" applyFill="1" applyBorder="1" applyAlignment="1" applyProtection="1">
      <alignment horizontal="center" vertical="center" wrapText="1"/>
      <protection locked="0"/>
    </xf>
    <xf numFmtId="164" fontId="14" fillId="7" borderId="6" xfId="213" applyNumberFormat="1" applyFill="1" applyBorder="1" applyAlignment="1" applyProtection="1">
      <alignment horizontal="center" vertical="center" wrapText="1"/>
      <protection locked="0"/>
    </xf>
    <xf numFmtId="0" fontId="15" fillId="0" borderId="9" xfId="213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3" fillId="0" borderId="0" xfId="216" applyAlignment="1">
      <alignment wrapText="1"/>
    </xf>
    <xf numFmtId="164" fontId="15" fillId="4" borderId="2" xfId="213" applyNumberFormat="1" applyFont="1" applyFill="1" applyBorder="1" applyAlignment="1">
      <alignment horizontal="center" vertical="center" wrapText="1"/>
    </xf>
    <xf numFmtId="0" fontId="14" fillId="0" borderId="4" xfId="213" applyBorder="1" applyAlignment="1">
      <alignment horizontal="center" vertical="center" wrapText="1"/>
    </xf>
    <xf numFmtId="164" fontId="14" fillId="0" borderId="5" xfId="213" applyNumberFormat="1" applyBorder="1" applyAlignment="1">
      <alignment horizontal="center" vertical="center" wrapText="1"/>
    </xf>
    <xf numFmtId="0" fontId="14" fillId="0" borderId="6" xfId="213" applyBorder="1" applyAlignment="1">
      <alignment horizontal="center" vertical="center" wrapText="1"/>
    </xf>
    <xf numFmtId="164" fontId="14" fillId="0" borderId="7" xfId="213" applyNumberFormat="1" applyBorder="1" applyAlignment="1">
      <alignment horizontal="center" vertical="center" wrapText="1"/>
    </xf>
    <xf numFmtId="0" fontId="14" fillId="0" borderId="8" xfId="213" applyBorder="1" applyAlignment="1">
      <alignment horizontal="center" vertical="center" wrapText="1"/>
    </xf>
    <xf numFmtId="0" fontId="23" fillId="7" borderId="2" xfId="213" applyFont="1" applyFill="1" applyBorder="1" applyAlignment="1" applyProtection="1">
      <alignment horizontal="center" vertical="center" wrapText="1"/>
      <protection hidden="1"/>
    </xf>
    <xf numFmtId="0" fontId="23" fillId="7" borderId="3" xfId="213" applyFont="1" applyFill="1" applyBorder="1" applyAlignment="1" applyProtection="1">
      <alignment horizontal="center" vertical="center" wrapText="1"/>
      <protection hidden="1"/>
    </xf>
    <xf numFmtId="0" fontId="23" fillId="7" borderId="5" xfId="213" applyFont="1" applyFill="1" applyBorder="1" applyAlignment="1" applyProtection="1">
      <alignment horizontal="center" vertical="center" wrapText="1"/>
      <protection hidden="1"/>
    </xf>
    <xf numFmtId="0" fontId="23" fillId="7" borderId="0" xfId="213" applyFont="1" applyFill="1" applyAlignment="1" applyProtection="1">
      <alignment horizontal="center" vertical="center" wrapText="1"/>
      <protection hidden="1"/>
    </xf>
    <xf numFmtId="0" fontId="23" fillId="7" borderId="7" xfId="213" applyFont="1" applyFill="1" applyBorder="1" applyAlignment="1" applyProtection="1">
      <alignment horizontal="center" vertical="center" wrapText="1"/>
      <protection hidden="1"/>
    </xf>
    <xf numFmtId="0" fontId="23" fillId="7" borderId="1" xfId="213" applyFont="1" applyFill="1" applyBorder="1" applyAlignment="1" applyProtection="1">
      <alignment horizontal="center" vertical="center" wrapText="1"/>
      <protection hidden="1"/>
    </xf>
    <xf numFmtId="164" fontId="15" fillId="7" borderId="2" xfId="213" applyNumberFormat="1" applyFont="1" applyFill="1" applyBorder="1" applyAlignment="1" applyProtection="1">
      <alignment horizontal="center" vertical="center" wrapText="1"/>
      <protection locked="0"/>
    </xf>
    <xf numFmtId="164" fontId="15" fillId="7" borderId="5" xfId="213" applyNumberFormat="1" applyFont="1" applyFill="1" applyBorder="1" applyAlignment="1" applyProtection="1">
      <alignment horizontal="center" vertical="center" wrapText="1"/>
      <protection locked="0"/>
    </xf>
    <xf numFmtId="164" fontId="15" fillId="7" borderId="3" xfId="213" applyNumberFormat="1" applyFont="1" applyFill="1" applyBorder="1" applyAlignment="1" applyProtection="1">
      <alignment horizontal="center" vertical="center" wrapText="1"/>
      <protection locked="0"/>
    </xf>
    <xf numFmtId="164" fontId="15" fillId="7" borderId="0" xfId="213" applyNumberFormat="1" applyFont="1" applyFill="1" applyAlignment="1" applyProtection="1">
      <alignment horizontal="center" vertical="center" wrapText="1"/>
      <protection locked="0"/>
    </xf>
  </cellXfs>
  <cellStyles count="21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6" builtinId="8"/>
    <cellStyle name="Lien hypertexte 2" xfId="214" xr:uid="{8DA2D1CC-401F-A34E-A3F3-B9FCE07BDAFB}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Monétaire 2" xfId="215" xr:uid="{448B6519-0846-F040-B962-32CEA4759325}"/>
    <cellStyle name="Normal" xfId="0" builtinId="0"/>
    <cellStyle name="Normal 2" xfId="213" xr:uid="{1B00EAEB-CDC6-ED4F-AC69-A017ADD92E22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rimag.com/S-Le-Druide-inc-le-solutionnai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A39"/>
  <sheetViews>
    <sheetView tabSelected="1" zoomScale="150" zoomScaleNormal="150" zoomScalePageLayoutView="150" workbookViewId="0">
      <selection activeCell="AA15" sqref="AA15:AB15"/>
    </sheetView>
  </sheetViews>
  <sheetFormatPr baseColWidth="10" defaultRowHeight="16"/>
  <cols>
    <col min="3" max="3" width="25.83203125" customWidth="1"/>
    <col min="4" max="4" width="4.6640625" customWidth="1"/>
    <col min="5" max="5" width="9" customWidth="1"/>
    <col min="6" max="7" width="2.1640625" customWidth="1"/>
    <col min="8" max="8" width="8" customWidth="1"/>
    <col min="9" max="9" width="2.1640625" customWidth="1"/>
    <col min="10" max="10" width="3.1640625" customWidth="1"/>
    <col min="11" max="11" width="1.83203125" customWidth="1"/>
    <col min="12" max="12" width="7.1640625" customWidth="1"/>
    <col min="13" max="13" width="1.83203125" customWidth="1"/>
    <col min="14" max="14" width="3.33203125" customWidth="1"/>
    <col min="15" max="15" width="25.83203125" customWidth="1"/>
    <col min="16" max="16" width="4.6640625" customWidth="1"/>
    <col min="17" max="17" width="9" customWidth="1"/>
    <col min="18" max="18" width="3.1640625" customWidth="1"/>
    <col min="19" max="19" width="2.1640625" customWidth="1"/>
    <col min="20" max="20" width="8" customWidth="1"/>
    <col min="21" max="21" width="2.1640625" customWidth="1"/>
    <col min="22" max="22" width="3.1640625" customWidth="1"/>
    <col min="23" max="23" width="1.83203125" customWidth="1"/>
    <col min="24" max="24" width="11.83203125" customWidth="1"/>
    <col min="25" max="25" width="1.83203125" customWidth="1"/>
    <col min="26" max="26" width="2.5" customWidth="1"/>
    <col min="27" max="27" width="25.83203125" customWidth="1"/>
    <col min="28" max="28" width="7.1640625" customWidth="1"/>
    <col min="29" max="29" width="9" customWidth="1"/>
    <col min="30" max="30" width="3.1640625" customWidth="1"/>
    <col min="31" max="31" width="2.1640625" customWidth="1"/>
    <col min="32" max="32" width="8" customWidth="1"/>
    <col min="33" max="34" width="2.1640625" customWidth="1"/>
    <col min="35" max="35" width="3.1640625" customWidth="1"/>
    <col min="36" max="36" width="11.83203125" bestFit="1" customWidth="1"/>
    <col min="37" max="39" width="1.83203125" customWidth="1"/>
    <col min="40" max="40" width="21.33203125" customWidth="1"/>
    <col min="41" max="41" width="2.6640625" customWidth="1"/>
    <col min="42" max="42" width="9.83203125" customWidth="1"/>
    <col min="43" max="43" width="2.5" customWidth="1"/>
    <col min="44" max="44" width="4.6640625" customWidth="1"/>
    <col min="45" max="45" width="10" customWidth="1"/>
    <col min="46" max="46" width="2.1640625" customWidth="1"/>
    <col min="47" max="47" width="4.6640625" customWidth="1"/>
    <col min="48" max="48" width="9.83203125" customWidth="1"/>
    <col min="49" max="49" width="2.5" customWidth="1"/>
    <col min="50" max="50" width="4.6640625" customWidth="1"/>
    <col min="51" max="51" width="9.33203125" customWidth="1"/>
    <col min="52" max="52" width="2.5" customWidth="1"/>
    <col min="53" max="53" width="1.33203125" customWidth="1"/>
    <col min="55" max="55" width="2.5" customWidth="1"/>
    <col min="56" max="56" width="3" customWidth="1"/>
    <col min="57" max="57" width="4.1640625" customWidth="1"/>
    <col min="58" max="59" width="2.1640625" customWidth="1"/>
    <col min="60" max="60" width="6.83203125" customWidth="1"/>
    <col min="61" max="61" width="11" customWidth="1"/>
    <col min="62" max="62" width="2.1640625" customWidth="1"/>
    <col min="63" max="63" width="9.1640625" customWidth="1"/>
    <col min="64" max="64" width="2.1640625" customWidth="1"/>
    <col min="65" max="65" width="3.33203125" customWidth="1"/>
    <col min="66" max="66" width="5.6640625" customWidth="1"/>
    <col min="67" max="68" width="3.1640625" customWidth="1"/>
    <col min="69" max="69" width="24.5" bestFit="1" customWidth="1"/>
    <col min="70" max="70" width="2.1640625" customWidth="1"/>
    <col min="71" max="71" width="11.1640625" bestFit="1" customWidth="1"/>
    <col min="72" max="72" width="1.6640625" customWidth="1"/>
    <col min="73" max="73" width="1.83203125" customWidth="1"/>
    <col min="75" max="75" width="1.6640625" customWidth="1"/>
    <col min="76" max="76" width="2.1640625" customWidth="1"/>
    <col min="77" max="77" width="9.83203125" customWidth="1"/>
    <col min="78" max="78" width="2.5" customWidth="1"/>
    <col min="79" max="79" width="1.33203125" customWidth="1"/>
  </cols>
  <sheetData>
    <row r="2" spans="1:79" ht="20" customHeight="1">
      <c r="C2" s="213" t="s">
        <v>84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AA2" s="215" t="s">
        <v>85</v>
      </c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44"/>
      <c r="AM2" s="44"/>
      <c r="AN2" s="44"/>
    </row>
    <row r="3" spans="1:79" ht="20" customHeight="1"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44"/>
      <c r="AM3" s="44"/>
      <c r="AN3" s="44"/>
    </row>
    <row r="4" spans="1:79" ht="20" customHeight="1"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44"/>
      <c r="AM4" s="44"/>
      <c r="AN4" s="44"/>
    </row>
    <row r="5" spans="1:79" ht="17" thickBot="1">
      <c r="AP5" s="1" t="s">
        <v>3</v>
      </c>
    </row>
    <row r="6" spans="1:79" ht="22" thickTop="1">
      <c r="C6" s="13" t="s">
        <v>26</v>
      </c>
      <c r="D6" s="220" t="s">
        <v>86</v>
      </c>
      <c r="E6" s="221"/>
      <c r="F6" s="221"/>
      <c r="G6" s="221"/>
      <c r="H6" s="221"/>
      <c r="I6" s="221"/>
      <c r="J6" s="221"/>
      <c r="K6" s="221"/>
      <c r="L6" s="221"/>
      <c r="M6" s="4"/>
      <c r="O6" s="13" t="str">
        <f>+C6</f>
        <v>Recette standardisée</v>
      </c>
      <c r="P6" s="220" t="s">
        <v>87</v>
      </c>
      <c r="Q6" s="221"/>
      <c r="R6" s="221"/>
      <c r="S6" s="221"/>
      <c r="T6" s="221"/>
      <c r="U6" s="221"/>
      <c r="V6" s="221"/>
      <c r="W6" s="221"/>
      <c r="X6" s="221"/>
      <c r="Y6" s="4"/>
      <c r="AA6" s="13" t="s">
        <v>3</v>
      </c>
      <c r="AB6" s="3"/>
      <c r="AC6" s="212" t="s">
        <v>88</v>
      </c>
      <c r="AD6" s="212"/>
      <c r="AE6" s="212"/>
      <c r="AF6" s="212"/>
      <c r="AG6" s="212"/>
      <c r="AH6" s="212"/>
      <c r="AI6" s="212"/>
      <c r="AJ6" s="212"/>
      <c r="AK6" s="4"/>
      <c r="AM6" s="64"/>
      <c r="AN6" s="65"/>
      <c r="AO6" s="65"/>
      <c r="AP6" s="21" t="s">
        <v>7</v>
      </c>
      <c r="AQ6" s="21"/>
      <c r="AR6" s="21" t="s">
        <v>5</v>
      </c>
      <c r="AS6" s="21" t="s">
        <v>7</v>
      </c>
      <c r="AT6" s="16"/>
      <c r="AU6" s="21" t="s">
        <v>4</v>
      </c>
      <c r="AV6" s="21" t="s">
        <v>7</v>
      </c>
      <c r="AW6" s="16" t="s">
        <v>3</v>
      </c>
      <c r="AX6" s="21" t="s">
        <v>4</v>
      </c>
      <c r="AY6" s="21" t="s">
        <v>7</v>
      </c>
      <c r="AZ6" s="16"/>
      <c r="BA6" s="17"/>
      <c r="BQ6" s="64"/>
      <c r="BR6" s="65"/>
      <c r="BS6" s="21" t="s">
        <v>13</v>
      </c>
      <c r="BT6" s="21"/>
      <c r="BU6" s="21" t="s">
        <v>3</v>
      </c>
      <c r="BV6" s="21" t="s">
        <v>14</v>
      </c>
      <c r="BW6" s="16"/>
      <c r="BX6" s="21" t="s">
        <v>3</v>
      </c>
      <c r="BY6" s="21" t="s">
        <v>7</v>
      </c>
      <c r="BZ6" s="16" t="s">
        <v>3</v>
      </c>
      <c r="CA6" s="17"/>
    </row>
    <row r="7" spans="1:79" ht="21">
      <c r="C7" s="34"/>
      <c r="D7" s="8"/>
      <c r="E7" s="35"/>
      <c r="F7" s="35"/>
      <c r="G7" s="35"/>
      <c r="H7" s="35"/>
      <c r="I7" s="35"/>
      <c r="J7" s="35"/>
      <c r="K7" s="35"/>
      <c r="L7" s="35"/>
      <c r="M7" s="6"/>
      <c r="O7" s="34"/>
      <c r="P7" s="8"/>
      <c r="Q7" s="35"/>
      <c r="R7" s="35"/>
      <c r="S7" s="35"/>
      <c r="T7" s="35"/>
      <c r="U7" s="35"/>
      <c r="V7" s="35"/>
      <c r="W7" s="35"/>
      <c r="X7" s="35"/>
      <c r="Y7" s="6"/>
      <c r="AA7" s="34"/>
      <c r="AB7" s="8"/>
      <c r="AC7" s="35"/>
      <c r="AD7" s="35"/>
      <c r="AE7" s="35"/>
      <c r="AF7" s="35"/>
      <c r="AG7" s="35"/>
      <c r="AH7" s="35"/>
      <c r="AI7" s="35"/>
      <c r="AJ7" s="35"/>
      <c r="AK7" s="6"/>
      <c r="AM7" s="5"/>
      <c r="AP7" s="22" t="s">
        <v>8</v>
      </c>
      <c r="AQ7" s="22"/>
      <c r="AR7" s="23"/>
      <c r="AS7" s="22" t="s">
        <v>9</v>
      </c>
      <c r="AT7" s="23"/>
      <c r="AU7" s="23"/>
      <c r="AV7" s="22" t="s">
        <v>10</v>
      </c>
      <c r="AW7" s="23"/>
      <c r="AX7" s="23"/>
      <c r="AY7" s="22" t="s">
        <v>11</v>
      </c>
      <c r="AZ7" s="23"/>
      <c r="BA7" s="24"/>
      <c r="BQ7" s="5"/>
      <c r="BS7" s="68">
        <v>10000</v>
      </c>
      <c r="BT7" s="68"/>
      <c r="BU7" s="69"/>
      <c r="BV7" s="68">
        <v>10000</v>
      </c>
      <c r="BW7" s="23"/>
      <c r="BX7" s="23"/>
      <c r="BY7" s="22" t="s">
        <v>8</v>
      </c>
      <c r="BZ7" s="23"/>
      <c r="CA7" s="24"/>
    </row>
    <row r="8" spans="1:79">
      <c r="C8" s="5"/>
      <c r="M8" s="6"/>
      <c r="O8" s="51">
        <v>10000</v>
      </c>
      <c r="U8" s="23"/>
      <c r="W8" s="23"/>
      <c r="Y8" s="6"/>
      <c r="AA8" s="5"/>
      <c r="AE8" s="23"/>
      <c r="AG8" s="23"/>
      <c r="AH8" s="23"/>
      <c r="AI8" s="23"/>
      <c r="AK8" s="6"/>
      <c r="AM8" s="5"/>
      <c r="AP8" s="22"/>
      <c r="AQ8" s="22"/>
      <c r="AR8" s="23"/>
      <c r="AS8" s="23"/>
      <c r="AT8" s="23"/>
      <c r="AU8" s="23"/>
      <c r="AV8" s="23"/>
      <c r="AW8" s="23"/>
      <c r="AX8" s="23"/>
      <c r="AY8" s="23"/>
      <c r="AZ8" s="23"/>
      <c r="BA8" s="24"/>
      <c r="BK8" s="42">
        <v>1000</v>
      </c>
      <c r="BL8" t="s">
        <v>0</v>
      </c>
      <c r="BQ8" s="5"/>
      <c r="BS8" s="22"/>
      <c r="BT8" s="22"/>
      <c r="BU8" s="23"/>
      <c r="BV8" s="23"/>
      <c r="BW8" s="23"/>
      <c r="BX8" s="23"/>
      <c r="BY8" s="23"/>
      <c r="BZ8" s="23"/>
      <c r="CA8" s="24"/>
    </row>
    <row r="9" spans="1:79" ht="19">
      <c r="C9" s="7" t="s">
        <v>31</v>
      </c>
      <c r="D9" s="8"/>
      <c r="E9" s="14">
        <v>1</v>
      </c>
      <c r="F9" s="39" t="s">
        <v>19</v>
      </c>
      <c r="G9" s="39" t="s">
        <v>15</v>
      </c>
      <c r="H9" s="15">
        <v>0.5</v>
      </c>
      <c r="I9" s="40" t="s">
        <v>16</v>
      </c>
      <c r="J9" s="39" t="s">
        <v>19</v>
      </c>
      <c r="K9" s="39" t="s">
        <v>5</v>
      </c>
      <c r="L9" s="15">
        <f>+E9*H9</f>
        <v>0.5</v>
      </c>
      <c r="M9" s="6"/>
      <c r="O9" s="7" t="str">
        <f>C9</f>
        <v>Ressource alimentaire A</v>
      </c>
      <c r="P9" s="8"/>
      <c r="Q9" s="52">
        <f>+E9*O8</f>
        <v>10000</v>
      </c>
      <c r="R9" s="39" t="str">
        <f>+F9</f>
        <v>L</v>
      </c>
      <c r="S9" s="39" t="str">
        <f>+G9</f>
        <v>x</v>
      </c>
      <c r="T9" s="15">
        <f>+H9</f>
        <v>0.5</v>
      </c>
      <c r="U9" s="40" t="s">
        <v>16</v>
      </c>
      <c r="V9" s="39" t="str">
        <f t="shared" ref="V9:W13" si="0">+J9</f>
        <v>L</v>
      </c>
      <c r="W9" s="39" t="str">
        <f t="shared" si="0"/>
        <v>=</v>
      </c>
      <c r="X9" s="15">
        <f>+Q9*T9</f>
        <v>5000</v>
      </c>
      <c r="Y9" s="6"/>
      <c r="AA9" s="7" t="str">
        <f>O9</f>
        <v>Ressource alimentaire A</v>
      </c>
      <c r="AB9" s="8"/>
      <c r="AC9" s="52">
        <v>10500</v>
      </c>
      <c r="AD9" s="39" t="str">
        <f>+R9</f>
        <v>L</v>
      </c>
      <c r="AE9" s="39" t="s">
        <v>15</v>
      </c>
      <c r="AF9" s="15">
        <v>0.6</v>
      </c>
      <c r="AG9" s="39" t="s">
        <v>16</v>
      </c>
      <c r="AH9" s="39" t="str">
        <f>+V9</f>
        <v>L</v>
      </c>
      <c r="AI9" s="39" t="s">
        <v>5</v>
      </c>
      <c r="AJ9" s="15">
        <f>+AC9*AF9</f>
        <v>6300</v>
      </c>
      <c r="AK9" s="6"/>
      <c r="AM9" s="5"/>
      <c r="AN9" t="str">
        <f>+AA9</f>
        <v>Ressource alimentaire A</v>
      </c>
      <c r="AP9" s="50">
        <f>AJ9-X9</f>
        <v>1300</v>
      </c>
      <c r="AQ9" s="47" t="s">
        <v>2</v>
      </c>
      <c r="AR9" s="39" t="s">
        <v>5</v>
      </c>
      <c r="AS9" s="48">
        <f>+(AC9-Q9)*T9</f>
        <v>250</v>
      </c>
      <c r="AT9" s="39" t="s">
        <v>2</v>
      </c>
      <c r="AU9" s="39" t="s">
        <v>4</v>
      </c>
      <c r="AV9" s="48">
        <f>+(AF9-T9)*Q9</f>
        <v>999.99999999999977</v>
      </c>
      <c r="AW9" s="39" t="s">
        <v>2</v>
      </c>
      <c r="AX9" s="39" t="s">
        <v>4</v>
      </c>
      <c r="AY9" s="48">
        <f>(AC9-Q9)*(AF9-T9)</f>
        <v>49.999999999999986</v>
      </c>
      <c r="AZ9" s="39" t="s">
        <v>2</v>
      </c>
      <c r="BA9" s="58"/>
      <c r="BB9" s="1">
        <f>+AY9+AV9+AS9</f>
        <v>1299.9999999999998</v>
      </c>
      <c r="BC9" t="s">
        <v>2</v>
      </c>
      <c r="BE9" s="42">
        <v>220</v>
      </c>
      <c r="BF9" t="s">
        <v>0</v>
      </c>
      <c r="BG9" s="23" t="s">
        <v>15</v>
      </c>
      <c r="BH9" s="42">
        <v>10000</v>
      </c>
      <c r="BI9" s="23" t="s">
        <v>23</v>
      </c>
      <c r="BJ9" s="23" t="s">
        <v>5</v>
      </c>
      <c r="BK9" s="42">
        <f>+BE9*BH9</f>
        <v>2200000</v>
      </c>
      <c r="BL9" s="23" t="s">
        <v>0</v>
      </c>
      <c r="BM9" s="23" t="s">
        <v>17</v>
      </c>
      <c r="BN9" s="42">
        <f>+BK9/BK8</f>
        <v>2200</v>
      </c>
      <c r="BO9" t="s">
        <v>1</v>
      </c>
      <c r="BQ9" s="62" t="str">
        <f>+AN9</f>
        <v>Ressource alimentaire A</v>
      </c>
      <c r="BR9" s="63"/>
      <c r="BS9" s="48">
        <f>X9</f>
        <v>5000</v>
      </c>
      <c r="BT9" s="47" t="s">
        <v>3</v>
      </c>
      <c r="BU9" s="39" t="s">
        <v>18</v>
      </c>
      <c r="BV9" s="48">
        <f>AJ9</f>
        <v>6300</v>
      </c>
      <c r="BW9" s="39" t="s">
        <v>3</v>
      </c>
      <c r="BX9" s="39" t="s">
        <v>5</v>
      </c>
      <c r="BY9" s="48">
        <f>BV9-BS9</f>
        <v>1300</v>
      </c>
      <c r="BZ9" s="39" t="s">
        <v>2</v>
      </c>
      <c r="CA9" s="58"/>
    </row>
    <row r="10" spans="1:79" ht="19">
      <c r="A10" s="60" t="s">
        <v>28</v>
      </c>
      <c r="C10" s="7" t="s">
        <v>32</v>
      </c>
      <c r="D10" s="8"/>
      <c r="E10" s="14">
        <v>1</v>
      </c>
      <c r="F10" s="39" t="s">
        <v>19</v>
      </c>
      <c r="G10" s="39" t="str">
        <f>+G9</f>
        <v>x</v>
      </c>
      <c r="H10" s="15">
        <v>1.5</v>
      </c>
      <c r="I10" s="40" t="s">
        <v>16</v>
      </c>
      <c r="J10" s="39" t="s">
        <v>19</v>
      </c>
      <c r="K10" s="39" t="s">
        <v>5</v>
      </c>
      <c r="L10" s="15">
        <f>+E10*H10</f>
        <v>1.5</v>
      </c>
      <c r="M10" s="6"/>
      <c r="O10" s="7" t="str">
        <f>C10</f>
        <v>Ressource alimentaire B</v>
      </c>
      <c r="P10" s="8"/>
      <c r="Q10" s="52">
        <f>+E10*O8</f>
        <v>10000</v>
      </c>
      <c r="R10" s="39" t="str">
        <f>+F10</f>
        <v>L</v>
      </c>
      <c r="S10" s="39" t="str">
        <f>+S9</f>
        <v>x</v>
      </c>
      <c r="T10" s="15">
        <f>+H10</f>
        <v>1.5</v>
      </c>
      <c r="U10" s="40" t="str">
        <f>+U9</f>
        <v>/</v>
      </c>
      <c r="V10" s="39" t="str">
        <f t="shared" si="0"/>
        <v>L</v>
      </c>
      <c r="W10" s="39" t="str">
        <f t="shared" si="0"/>
        <v>=</v>
      </c>
      <c r="X10" s="15">
        <f>+Q10*T10</f>
        <v>15000</v>
      </c>
      <c r="Y10" s="6"/>
      <c r="AA10" s="7" t="str">
        <f>O10</f>
        <v>Ressource alimentaire B</v>
      </c>
      <c r="AB10" s="8"/>
      <c r="AC10" s="52">
        <v>10000</v>
      </c>
      <c r="AD10" s="39" t="str">
        <f>+R10</f>
        <v>L</v>
      </c>
      <c r="AE10" s="39" t="str">
        <f>+AE9</f>
        <v>x</v>
      </c>
      <c r="AF10" s="15">
        <v>1.5</v>
      </c>
      <c r="AG10" s="39" t="s">
        <v>16</v>
      </c>
      <c r="AH10" s="39" t="str">
        <f>+V10</f>
        <v>L</v>
      </c>
      <c r="AI10" s="39" t="s">
        <v>5</v>
      </c>
      <c r="AJ10" s="15">
        <f>+AC10*AF10</f>
        <v>15000</v>
      </c>
      <c r="AK10" s="6"/>
      <c r="AM10" s="5"/>
      <c r="AN10" t="str">
        <f>+AA10</f>
        <v>Ressource alimentaire B</v>
      </c>
      <c r="AP10" s="50">
        <f>AJ10-X10</f>
        <v>0</v>
      </c>
      <c r="AQ10" s="47" t="s">
        <v>3</v>
      </c>
      <c r="AR10" s="39" t="s">
        <v>5</v>
      </c>
      <c r="AS10" s="48">
        <f>+(AC10-Q10)*T10</f>
        <v>0</v>
      </c>
      <c r="AT10" s="39" t="s">
        <v>3</v>
      </c>
      <c r="AU10" s="39" t="s">
        <v>4</v>
      </c>
      <c r="AV10" s="48">
        <f>+(AF10-T10)*Q10</f>
        <v>0</v>
      </c>
      <c r="AW10" s="39" t="s">
        <v>3</v>
      </c>
      <c r="AX10" s="39" t="s">
        <v>4</v>
      </c>
      <c r="AY10" s="48">
        <f>(AC10-Q10)*(AF10-T10)</f>
        <v>0</v>
      </c>
      <c r="AZ10" s="39" t="s">
        <v>3</v>
      </c>
      <c r="BA10" s="58"/>
      <c r="BB10" s="1">
        <f>+AY10+AV10+AS10</f>
        <v>0</v>
      </c>
      <c r="BC10" t="s">
        <v>2</v>
      </c>
      <c r="BE10" s="42">
        <v>60</v>
      </c>
      <c r="BF10" t="s">
        <v>0</v>
      </c>
      <c r="BG10" s="23" t="str">
        <f t="shared" ref="BG10:BJ11" si="1">+BG9</f>
        <v>x</v>
      </c>
      <c r="BH10" s="42">
        <f t="shared" ref="BH10:BI12" si="2">+BH9</f>
        <v>10000</v>
      </c>
      <c r="BI10" s="23" t="str">
        <f t="shared" si="2"/>
        <v>Productions</v>
      </c>
      <c r="BJ10" s="23" t="str">
        <f t="shared" si="1"/>
        <v>=</v>
      </c>
      <c r="BK10" s="42">
        <f>+BE10*BH10</f>
        <v>600000</v>
      </c>
      <c r="BL10" s="23" t="str">
        <f>+BL9</f>
        <v>g</v>
      </c>
      <c r="BM10" s="23" t="str">
        <f>+BM9</f>
        <v>ou</v>
      </c>
      <c r="BN10" s="42">
        <f>+BK10/BK8</f>
        <v>600</v>
      </c>
      <c r="BO10" t="str">
        <f>+BO9</f>
        <v>Kg</v>
      </c>
      <c r="BQ10" s="62" t="str">
        <f>+AN10</f>
        <v>Ressource alimentaire B</v>
      </c>
      <c r="BR10" s="63"/>
      <c r="BS10" s="48">
        <f>X10</f>
        <v>15000</v>
      </c>
      <c r="BT10" s="47" t="s">
        <v>3</v>
      </c>
      <c r="BU10" s="39" t="s">
        <v>18</v>
      </c>
      <c r="BV10" s="48">
        <f>AJ10</f>
        <v>15000</v>
      </c>
      <c r="BW10" s="39" t="s">
        <v>3</v>
      </c>
      <c r="BX10" s="39" t="s">
        <v>5</v>
      </c>
      <c r="BY10" s="48">
        <f>BV10-BS10</f>
        <v>0</v>
      </c>
      <c r="BZ10" s="39" t="s">
        <v>3</v>
      </c>
      <c r="CA10" s="58"/>
    </row>
    <row r="11" spans="1:79" ht="19">
      <c r="C11" s="7" t="s">
        <v>33</v>
      </c>
      <c r="D11" s="8"/>
      <c r="E11" s="14">
        <v>1</v>
      </c>
      <c r="F11" s="39" t="s">
        <v>19</v>
      </c>
      <c r="G11" s="39" t="str">
        <f>+G10</f>
        <v>x</v>
      </c>
      <c r="H11" s="15">
        <v>2</v>
      </c>
      <c r="I11" s="40" t="s">
        <v>16</v>
      </c>
      <c r="J11" s="39" t="s">
        <v>19</v>
      </c>
      <c r="K11" s="39" t="s">
        <v>5</v>
      </c>
      <c r="L11" s="15">
        <f>+E11*H11</f>
        <v>2</v>
      </c>
      <c r="M11" s="6"/>
      <c r="O11" s="7" t="str">
        <f>C11</f>
        <v>Ressource alimentaire C</v>
      </c>
      <c r="P11" s="8"/>
      <c r="Q11" s="52">
        <f>+E11*O8</f>
        <v>10000</v>
      </c>
      <c r="R11" s="39" t="str">
        <f>+F11</f>
        <v>L</v>
      </c>
      <c r="S11" s="39" t="str">
        <f>+S10</f>
        <v>x</v>
      </c>
      <c r="T11" s="15">
        <f>+H11</f>
        <v>2</v>
      </c>
      <c r="U11" s="40" t="str">
        <f>+U10</f>
        <v>/</v>
      </c>
      <c r="V11" s="39" t="str">
        <f t="shared" si="0"/>
        <v>L</v>
      </c>
      <c r="W11" s="39" t="str">
        <f t="shared" si="0"/>
        <v>=</v>
      </c>
      <c r="X11" s="15">
        <f>+Q11*T11</f>
        <v>20000</v>
      </c>
      <c r="Y11" s="6"/>
      <c r="AA11" s="7" t="str">
        <f>O11</f>
        <v>Ressource alimentaire C</v>
      </c>
      <c r="AB11" s="8"/>
      <c r="AC11" s="52">
        <v>9500</v>
      </c>
      <c r="AD11" s="39" t="str">
        <f>+R11</f>
        <v>L</v>
      </c>
      <c r="AE11" s="39" t="str">
        <f>+AE10</f>
        <v>x</v>
      </c>
      <c r="AF11" s="15">
        <v>2.1</v>
      </c>
      <c r="AG11" s="39" t="s">
        <v>16</v>
      </c>
      <c r="AH11" s="39" t="str">
        <f>+V11</f>
        <v>L</v>
      </c>
      <c r="AI11" s="39" t="s">
        <v>5</v>
      </c>
      <c r="AJ11" s="15">
        <f>+AC11*AF11</f>
        <v>19950</v>
      </c>
      <c r="AK11" s="6"/>
      <c r="AM11" s="5"/>
      <c r="AN11" t="str">
        <f>+AA11</f>
        <v>Ressource alimentaire C</v>
      </c>
      <c r="AP11" s="50">
        <f>AJ11-X11</f>
        <v>-50</v>
      </c>
      <c r="AQ11" s="47" t="s">
        <v>6</v>
      </c>
      <c r="AR11" s="39" t="s">
        <v>5</v>
      </c>
      <c r="AS11" s="48">
        <f>+(AC11-Q11)*T11</f>
        <v>-1000</v>
      </c>
      <c r="AT11" s="39" t="s">
        <v>6</v>
      </c>
      <c r="AU11" s="39" t="s">
        <v>4</v>
      </c>
      <c r="AV11" s="48">
        <f>+(AF11-T11)*Q11</f>
        <v>1000.0000000000009</v>
      </c>
      <c r="AW11" s="39" t="s">
        <v>2</v>
      </c>
      <c r="AX11" s="39" t="s">
        <v>4</v>
      </c>
      <c r="AY11" s="48">
        <f>(AC11-Q11)*(AF11-T11)</f>
        <v>-50.000000000000043</v>
      </c>
      <c r="AZ11" s="39" t="s">
        <v>6</v>
      </c>
      <c r="BA11" s="58"/>
      <c r="BB11" s="1">
        <f>AY11+AV11+AS11</f>
        <v>-49.999999999999091</v>
      </c>
      <c r="BC11" t="s">
        <v>6</v>
      </c>
      <c r="BE11" s="42">
        <v>120</v>
      </c>
      <c r="BF11" t="str">
        <f>+BF10</f>
        <v>g</v>
      </c>
      <c r="BG11" s="23" t="str">
        <f t="shared" si="1"/>
        <v>x</v>
      </c>
      <c r="BH11" s="42">
        <f t="shared" si="2"/>
        <v>10000</v>
      </c>
      <c r="BI11" s="23" t="str">
        <f t="shared" si="2"/>
        <v>Productions</v>
      </c>
      <c r="BJ11" s="23" t="str">
        <f t="shared" si="1"/>
        <v>=</v>
      </c>
      <c r="BK11" s="42">
        <f>+BE11*BH11</f>
        <v>1200000</v>
      </c>
      <c r="BL11" s="23" t="str">
        <f>+BL10</f>
        <v>g</v>
      </c>
      <c r="BM11" s="23" t="str">
        <f>+BM10</f>
        <v>ou</v>
      </c>
      <c r="BN11" s="42">
        <f>+BK11/BK8</f>
        <v>1200</v>
      </c>
      <c r="BO11" t="str">
        <f>+BO10</f>
        <v>Kg</v>
      </c>
      <c r="BQ11" s="62" t="str">
        <f>+AN11</f>
        <v>Ressource alimentaire C</v>
      </c>
      <c r="BR11" s="63"/>
      <c r="BS11" s="48">
        <f>X11</f>
        <v>20000</v>
      </c>
      <c r="BT11" s="47" t="s">
        <v>3</v>
      </c>
      <c r="BU11" s="39" t="s">
        <v>18</v>
      </c>
      <c r="BV11" s="48">
        <f>AJ11</f>
        <v>19950</v>
      </c>
      <c r="BW11" s="39" t="s">
        <v>3</v>
      </c>
      <c r="BX11" s="39" t="s">
        <v>5</v>
      </c>
      <c r="BY11" s="48">
        <f>BV11-BS11</f>
        <v>-50</v>
      </c>
      <c r="BZ11" s="39" t="s">
        <v>6</v>
      </c>
      <c r="CA11" s="58"/>
    </row>
    <row r="12" spans="1:79" ht="19">
      <c r="C12" s="7" t="s">
        <v>30</v>
      </c>
      <c r="D12" s="8"/>
      <c r="E12" s="14">
        <v>1</v>
      </c>
      <c r="F12" s="39" t="s">
        <v>19</v>
      </c>
      <c r="G12" s="39" t="str">
        <f>+G11</f>
        <v>x</v>
      </c>
      <c r="H12" s="15">
        <v>2.5</v>
      </c>
      <c r="I12" s="40" t="str">
        <f>+I11</f>
        <v>/</v>
      </c>
      <c r="J12" s="39" t="s">
        <v>19</v>
      </c>
      <c r="K12" s="39" t="str">
        <f>+K11</f>
        <v>=</v>
      </c>
      <c r="L12" s="15">
        <f>+E12*H12</f>
        <v>2.5</v>
      </c>
      <c r="M12" s="6"/>
      <c r="O12" s="7" t="str">
        <f>+C12</f>
        <v>Ressource alimentaire D</v>
      </c>
      <c r="P12" s="8"/>
      <c r="Q12" s="52">
        <f>+E12*O8</f>
        <v>10000</v>
      </c>
      <c r="R12" s="39" t="str">
        <f>+F12</f>
        <v>L</v>
      </c>
      <c r="S12" s="39" t="str">
        <f>+S11</f>
        <v>x</v>
      </c>
      <c r="T12" s="15">
        <f>+H12</f>
        <v>2.5</v>
      </c>
      <c r="U12" s="40" t="str">
        <f>+U11</f>
        <v>/</v>
      </c>
      <c r="V12" s="39" t="str">
        <f t="shared" si="0"/>
        <v>L</v>
      </c>
      <c r="W12" s="39" t="str">
        <f t="shared" si="0"/>
        <v>=</v>
      </c>
      <c r="X12" s="15">
        <f>+Q12*T12</f>
        <v>25000</v>
      </c>
      <c r="Y12" s="6"/>
      <c r="AA12" s="7" t="str">
        <f>+O12</f>
        <v>Ressource alimentaire D</v>
      </c>
      <c r="AB12" s="8"/>
      <c r="AC12" s="52">
        <v>10000</v>
      </c>
      <c r="AD12" s="39" t="str">
        <f>+R12</f>
        <v>L</v>
      </c>
      <c r="AE12" s="39" t="str">
        <f>+AE11</f>
        <v>x</v>
      </c>
      <c r="AF12" s="15">
        <v>2.75</v>
      </c>
      <c r="AG12" s="39" t="str">
        <f>+AG11</f>
        <v>/</v>
      </c>
      <c r="AH12" s="39" t="str">
        <f>+V12</f>
        <v>L</v>
      </c>
      <c r="AI12" s="39" t="str">
        <f>+AI11</f>
        <v>=</v>
      </c>
      <c r="AJ12" s="15">
        <f>+AC12*AF12</f>
        <v>27500</v>
      </c>
      <c r="AK12" s="6"/>
      <c r="AM12" s="5"/>
      <c r="AN12" t="str">
        <f>+AA12</f>
        <v>Ressource alimentaire D</v>
      </c>
      <c r="AP12" s="50">
        <f>+AJ12-X12</f>
        <v>2500</v>
      </c>
      <c r="AQ12" s="47" t="s">
        <v>2</v>
      </c>
      <c r="AR12" s="39" t="str">
        <f>+AR11</f>
        <v>=</v>
      </c>
      <c r="AS12" s="48">
        <f>+(AC12-Q12)*T12</f>
        <v>0</v>
      </c>
      <c r="AT12" s="39" t="s">
        <v>3</v>
      </c>
      <c r="AU12" s="39" t="str">
        <f>+AU11</f>
        <v>+</v>
      </c>
      <c r="AV12" s="48">
        <f>+(AF12-T12)*Q12</f>
        <v>2500</v>
      </c>
      <c r="AW12" s="39" t="s">
        <v>2</v>
      </c>
      <c r="AX12" s="39" t="str">
        <f>+AX11</f>
        <v>+</v>
      </c>
      <c r="AY12" s="48">
        <f>(AC12-Q12)*(AF12-T12)</f>
        <v>0</v>
      </c>
      <c r="AZ12" s="39" t="s">
        <v>3</v>
      </c>
      <c r="BA12" s="58"/>
      <c r="BB12" s="1">
        <f>AY12+AV12+AS12</f>
        <v>2500</v>
      </c>
      <c r="BC12" t="s">
        <v>2</v>
      </c>
      <c r="BE12" s="42"/>
      <c r="BG12" s="23"/>
      <c r="BH12" s="42">
        <f t="shared" si="2"/>
        <v>10000</v>
      </c>
      <c r="BI12" s="23" t="str">
        <f t="shared" si="2"/>
        <v>Productions</v>
      </c>
      <c r="BJ12" s="23"/>
      <c r="BK12" s="42">
        <f>+BE12*BH12</f>
        <v>0</v>
      </c>
      <c r="BL12" s="23"/>
      <c r="BM12" s="23"/>
      <c r="BN12" s="42"/>
      <c r="BQ12" s="62" t="str">
        <f>+AN12</f>
        <v>Ressource alimentaire D</v>
      </c>
      <c r="BR12" s="63"/>
      <c r="BS12" s="48">
        <f>X12</f>
        <v>25000</v>
      </c>
      <c r="BT12" s="47"/>
      <c r="BU12" s="39" t="str">
        <f>+BU11</f>
        <v>-</v>
      </c>
      <c r="BV12" s="48">
        <f>AJ12</f>
        <v>27500</v>
      </c>
      <c r="BW12" s="39"/>
      <c r="BX12" s="39" t="str">
        <f>+BX11</f>
        <v>=</v>
      </c>
      <c r="BY12" s="48">
        <f>BV12-BS12</f>
        <v>2500</v>
      </c>
      <c r="BZ12" s="39" t="s">
        <v>2</v>
      </c>
      <c r="CA12" s="58"/>
    </row>
    <row r="13" spans="1:79">
      <c r="C13" s="5"/>
      <c r="E13" s="54">
        <f>+E9+E10+E11+E12</f>
        <v>4</v>
      </c>
      <c r="F13" s="47" t="s">
        <v>19</v>
      </c>
      <c r="G13" s="39" t="str">
        <f>+G12</f>
        <v>x</v>
      </c>
      <c r="H13" s="41">
        <f>+L13/E13</f>
        <v>1.625</v>
      </c>
      <c r="I13" s="55" t="str">
        <f>+I12</f>
        <v>/</v>
      </c>
      <c r="J13" s="47" t="s">
        <v>19</v>
      </c>
      <c r="K13" s="14" t="str">
        <f>+K12</f>
        <v>=</v>
      </c>
      <c r="L13" s="41">
        <f>+L9+L10+L11+L12</f>
        <v>6.5</v>
      </c>
      <c r="M13" s="6"/>
      <c r="O13" s="5"/>
      <c r="Q13" s="53">
        <f>+Q9+Q10+Q11+Q12</f>
        <v>40000</v>
      </c>
      <c r="R13" s="39" t="str">
        <f>+F13</f>
        <v>L</v>
      </c>
      <c r="S13" s="39" t="str">
        <f>+S12</f>
        <v>x</v>
      </c>
      <c r="T13" s="41">
        <f>+X13/Q13</f>
        <v>1.625</v>
      </c>
      <c r="U13" s="56" t="str">
        <f>+U12</f>
        <v>/</v>
      </c>
      <c r="V13" s="47" t="str">
        <f t="shared" si="0"/>
        <v>L</v>
      </c>
      <c r="W13" s="39" t="str">
        <f t="shared" si="0"/>
        <v>=</v>
      </c>
      <c r="X13" s="41">
        <f>+X9+X10+X11+X12</f>
        <v>65000</v>
      </c>
      <c r="Y13" s="6"/>
      <c r="AA13" s="5"/>
      <c r="AC13" s="53">
        <f>+AC9+AC10+AC11+AC12</f>
        <v>40000</v>
      </c>
      <c r="AD13" s="39" t="str">
        <f>+R13</f>
        <v>L</v>
      </c>
      <c r="AE13" s="39" t="str">
        <f>+AE12</f>
        <v>x</v>
      </c>
      <c r="AF13" s="46">
        <f>+AJ13/AC13</f>
        <v>1.71875</v>
      </c>
      <c r="AG13" s="47" t="str">
        <f>+AG12</f>
        <v>/</v>
      </c>
      <c r="AH13" s="47" t="str">
        <f>+V13</f>
        <v>L</v>
      </c>
      <c r="AI13" s="39" t="str">
        <f>+AI12</f>
        <v>=</v>
      </c>
      <c r="AJ13" s="41">
        <f>+AJ9+AJ10+AJ11+AJ12</f>
        <v>68750</v>
      </c>
      <c r="AK13" s="6"/>
      <c r="AM13" s="5"/>
      <c r="AP13" s="49">
        <f>AJ13-X13</f>
        <v>3750</v>
      </c>
      <c r="AQ13" s="47" t="s">
        <v>2</v>
      </c>
      <c r="AR13" s="39" t="s">
        <v>5</v>
      </c>
      <c r="AS13" s="49">
        <f>+AS9+AS10+AS11+AS12</f>
        <v>-750</v>
      </c>
      <c r="AT13" s="39" t="s">
        <v>6</v>
      </c>
      <c r="AU13" s="39" t="s">
        <v>4</v>
      </c>
      <c r="AV13" s="49">
        <f>+AV9+AV10+AV11+AV12</f>
        <v>4500.0000000000009</v>
      </c>
      <c r="AW13" s="39" t="s">
        <v>2</v>
      </c>
      <c r="AX13" s="39" t="s">
        <v>4</v>
      </c>
      <c r="AY13" s="49">
        <f>+AY9+AY10+AY11+AY12</f>
        <v>-5.6843418860808015E-14</v>
      </c>
      <c r="AZ13" s="39" t="s">
        <v>3</v>
      </c>
      <c r="BA13" s="58"/>
      <c r="BB13" s="2">
        <f>AY13+AV13+AS13</f>
        <v>3750.0000000000009</v>
      </c>
      <c r="BC13" s="20" t="s">
        <v>2</v>
      </c>
      <c r="BQ13" s="5"/>
      <c r="BS13" s="49">
        <f>X15</f>
        <v>65000</v>
      </c>
      <c r="BT13" s="47" t="s">
        <v>3</v>
      </c>
      <c r="BU13" s="39" t="s">
        <v>18</v>
      </c>
      <c r="BV13" s="49">
        <f>AJ15</f>
        <v>68750</v>
      </c>
      <c r="BW13" s="39" t="s">
        <v>3</v>
      </c>
      <c r="BX13" s="39" t="s">
        <v>5</v>
      </c>
      <c r="BY13" s="49">
        <f>BV13-BS13</f>
        <v>3750</v>
      </c>
      <c r="BZ13" s="47" t="s">
        <v>2</v>
      </c>
      <c r="CA13" s="66"/>
    </row>
    <row r="14" spans="1:79" ht="17" thickBot="1">
      <c r="C14" s="5" t="s">
        <v>25</v>
      </c>
      <c r="D14" s="57">
        <v>0.25</v>
      </c>
      <c r="E14" s="14">
        <f>+D14*E13</f>
        <v>1</v>
      </c>
      <c r="F14" s="39" t="s">
        <v>19</v>
      </c>
      <c r="G14" s="39" t="s">
        <v>3</v>
      </c>
      <c r="H14" s="15"/>
      <c r="I14" s="15"/>
      <c r="J14" s="39"/>
      <c r="K14" s="14"/>
      <c r="L14" s="61" t="s">
        <v>28</v>
      </c>
      <c r="M14" s="6"/>
      <c r="O14" s="5" t="str">
        <f>+C14</f>
        <v>Perte selon les standards</v>
      </c>
      <c r="P14" s="57">
        <f>+D14</f>
        <v>0.25</v>
      </c>
      <c r="Q14" s="52">
        <f>+P14*Q13</f>
        <v>10000</v>
      </c>
      <c r="R14" s="39" t="str">
        <f>+R13</f>
        <v>L</v>
      </c>
      <c r="S14" s="39" t="s">
        <v>3</v>
      </c>
      <c r="T14" s="15" t="s">
        <v>3</v>
      </c>
      <c r="U14" s="15"/>
      <c r="V14" s="39" t="s">
        <v>3</v>
      </c>
      <c r="W14" s="14" t="s">
        <v>3</v>
      </c>
      <c r="X14" s="61" t="s">
        <v>28</v>
      </c>
      <c r="Y14" s="6"/>
      <c r="AA14" s="5" t="s">
        <v>24</v>
      </c>
      <c r="AB14" s="31">
        <f>+AC14/AC13</f>
        <v>0.25</v>
      </c>
      <c r="AC14" s="52">
        <f>+AC13-AC15</f>
        <v>10000</v>
      </c>
      <c r="AD14" s="39"/>
      <c r="AE14" s="39"/>
      <c r="AF14" s="15"/>
      <c r="AG14" s="14"/>
      <c r="AH14" s="39"/>
      <c r="AI14" s="39"/>
      <c r="AJ14" s="61" t="s">
        <v>28</v>
      </c>
      <c r="AK14" s="6"/>
      <c r="AM14" s="5"/>
      <c r="AP14" s="49"/>
      <c r="AQ14" s="47"/>
      <c r="AR14" s="39"/>
      <c r="AS14" s="49"/>
      <c r="AT14" s="39"/>
      <c r="AU14" s="39"/>
      <c r="AV14" s="50"/>
      <c r="AW14" s="39"/>
      <c r="AX14" s="39"/>
      <c r="AY14" s="49"/>
      <c r="AZ14" s="39"/>
      <c r="BA14" s="58"/>
      <c r="BB14" s="2"/>
      <c r="BQ14" s="9"/>
      <c r="BR14" s="10"/>
      <c r="BS14" s="37"/>
      <c r="BT14" s="36"/>
      <c r="BU14" s="25"/>
      <c r="BV14" s="37"/>
      <c r="BW14" s="25"/>
      <c r="BX14" s="25"/>
      <c r="BY14" s="38"/>
      <c r="BZ14" s="25"/>
      <c r="CA14" s="67"/>
    </row>
    <row r="15" spans="1:79" ht="17" thickTop="1">
      <c r="C15" s="224" t="s">
        <v>27</v>
      </c>
      <c r="D15" s="218"/>
      <c r="E15" s="54">
        <f>+E13-E14</f>
        <v>3</v>
      </c>
      <c r="F15" s="47" t="s">
        <v>19</v>
      </c>
      <c r="G15" s="39" t="str">
        <f>+G13</f>
        <v>x</v>
      </c>
      <c r="H15" s="41">
        <f>+L15/E15</f>
        <v>2.1666666666666665</v>
      </c>
      <c r="I15" s="46" t="str">
        <f>+I13</f>
        <v>/</v>
      </c>
      <c r="J15" s="47" t="str">
        <f>+J13</f>
        <v>L</v>
      </c>
      <c r="K15" s="14" t="str">
        <f>+K13</f>
        <v>=</v>
      </c>
      <c r="L15" s="41">
        <f>+L13</f>
        <v>6.5</v>
      </c>
      <c r="M15" s="6"/>
      <c r="O15" s="224" t="str">
        <f>+C15</f>
        <v>Production standard après perte</v>
      </c>
      <c r="P15" s="218"/>
      <c r="Q15" s="53">
        <f>+E15*O8</f>
        <v>30000</v>
      </c>
      <c r="R15" s="39" t="str">
        <f>+R14</f>
        <v>L</v>
      </c>
      <c r="S15" s="39" t="str">
        <f>+S13</f>
        <v>x</v>
      </c>
      <c r="T15" s="41">
        <f>+X15/Q15</f>
        <v>2.1666666666666665</v>
      </c>
      <c r="U15" s="46" t="str">
        <f>+U13</f>
        <v>/</v>
      </c>
      <c r="V15" s="47" t="str">
        <f>+J15</f>
        <v>L</v>
      </c>
      <c r="W15" s="14" t="str">
        <f>+K15</f>
        <v>=</v>
      </c>
      <c r="X15" s="41">
        <f>+X13</f>
        <v>65000</v>
      </c>
      <c r="Y15" s="6"/>
      <c r="AA15" s="224" t="s">
        <v>90</v>
      </c>
      <c r="AB15" s="218"/>
      <c r="AC15" s="53">
        <f>+Q15</f>
        <v>30000</v>
      </c>
      <c r="AD15" s="47" t="str">
        <f>+R15</f>
        <v>L</v>
      </c>
      <c r="AE15" s="39" t="str">
        <f>+S15</f>
        <v>x</v>
      </c>
      <c r="AF15" s="41">
        <f>+AJ15/AC15</f>
        <v>2.2916666666666665</v>
      </c>
      <c r="AG15" s="47" t="str">
        <f>+AG13</f>
        <v>/</v>
      </c>
      <c r="AH15" s="47" t="str">
        <f>+AH13</f>
        <v>L</v>
      </c>
      <c r="AI15" s="39" t="str">
        <f>+AI13</f>
        <v>=</v>
      </c>
      <c r="AJ15" s="41">
        <f>+AJ13</f>
        <v>68750</v>
      </c>
      <c r="AK15" s="6"/>
      <c r="AM15" s="5"/>
      <c r="AP15" s="49"/>
      <c r="AQ15" s="47"/>
      <c r="AR15" s="39"/>
      <c r="AS15" s="49"/>
      <c r="AT15" s="39"/>
      <c r="AU15" s="39"/>
      <c r="AV15" s="50"/>
      <c r="AW15" s="39"/>
      <c r="AX15" s="39"/>
      <c r="AY15" s="49"/>
      <c r="AZ15" s="39"/>
      <c r="BA15" s="58"/>
      <c r="BB15" s="2"/>
    </row>
    <row r="16" spans="1:79">
      <c r="C16" s="5"/>
      <c r="E16" s="45"/>
      <c r="F16" s="45"/>
      <c r="G16" s="23"/>
      <c r="H16" s="1"/>
      <c r="I16" s="1"/>
      <c r="L16" s="2"/>
      <c r="M16" s="6"/>
      <c r="O16" s="5"/>
      <c r="T16" s="1"/>
      <c r="U16" s="1"/>
      <c r="X16" s="2"/>
      <c r="Y16" s="6"/>
      <c r="AA16" s="5"/>
      <c r="AE16" s="23"/>
      <c r="AF16" s="1"/>
      <c r="AI16" s="23"/>
      <c r="AJ16" s="2"/>
      <c r="AK16" s="6"/>
      <c r="AM16" s="5"/>
      <c r="AP16" s="49"/>
      <c r="AQ16" s="47"/>
      <c r="AR16" s="39"/>
      <c r="AS16" s="49"/>
      <c r="AT16" s="39"/>
      <c r="AU16" s="39"/>
      <c r="AV16" s="50"/>
      <c r="AW16" s="39"/>
      <c r="AX16" s="39"/>
      <c r="AY16" s="49"/>
      <c r="AZ16" s="39"/>
      <c r="BA16" s="58"/>
      <c r="BB16" s="2"/>
    </row>
    <row r="17" spans="3:55">
      <c r="C17" s="19" t="s">
        <v>21</v>
      </c>
      <c r="H17" s="1"/>
      <c r="I17" s="1"/>
      <c r="L17" s="18">
        <v>5</v>
      </c>
      <c r="M17" s="6"/>
      <c r="O17" s="19" t="s">
        <v>89</v>
      </c>
      <c r="T17" s="1"/>
      <c r="U17" s="1"/>
      <c r="X17" s="18">
        <f>+L17*Q15</f>
        <v>150000</v>
      </c>
      <c r="Y17" s="6"/>
      <c r="AA17" s="19" t="str">
        <f>O17</f>
        <v>Les ventes de la période (30 000 litres à 5 $ le litre)</v>
      </c>
      <c r="AB17" s="20"/>
      <c r="AC17" s="20"/>
      <c r="AD17" s="20"/>
      <c r="AE17" s="20"/>
      <c r="AF17" s="1"/>
      <c r="AJ17" s="18">
        <f>+X17</f>
        <v>150000</v>
      </c>
      <c r="AK17" s="6"/>
      <c r="AM17" s="5"/>
      <c r="AP17" s="49"/>
      <c r="AQ17" s="47"/>
      <c r="AR17" s="39"/>
      <c r="AS17" s="49"/>
      <c r="AT17" s="39"/>
      <c r="AU17" s="39"/>
      <c r="AV17" s="50"/>
      <c r="AW17" s="39"/>
      <c r="AX17" s="39"/>
      <c r="AY17" s="49"/>
      <c r="AZ17" s="39"/>
      <c r="BA17" s="58"/>
      <c r="BB17" s="2"/>
    </row>
    <row r="18" spans="3:55">
      <c r="C18" s="19"/>
      <c r="H18" s="1"/>
      <c r="I18" s="1"/>
      <c r="L18" s="18"/>
      <c r="M18" s="6"/>
      <c r="O18" s="5"/>
      <c r="T18" s="1"/>
      <c r="U18" s="1"/>
      <c r="X18" s="2"/>
      <c r="Y18" s="6"/>
      <c r="AA18" s="5"/>
      <c r="AF18" s="1"/>
      <c r="AJ18" s="2"/>
      <c r="AK18" s="6"/>
      <c r="AM18" s="5"/>
      <c r="AP18" s="49"/>
      <c r="AQ18" s="47"/>
      <c r="AR18" s="39"/>
      <c r="AS18" s="49"/>
      <c r="AT18" s="39"/>
      <c r="AU18" s="39"/>
      <c r="AV18" s="50"/>
      <c r="AW18" s="39"/>
      <c r="AX18" s="39"/>
      <c r="AY18" s="49"/>
      <c r="AZ18" s="39"/>
      <c r="BA18" s="58"/>
      <c r="BB18" s="2"/>
    </row>
    <row r="19" spans="3:55">
      <c r="C19" s="217" t="s">
        <v>20</v>
      </c>
      <c r="D19" s="218"/>
      <c r="E19" s="218"/>
      <c r="F19" s="218"/>
      <c r="G19" s="218"/>
      <c r="H19" s="1"/>
      <c r="I19" s="1"/>
      <c r="L19" s="32">
        <f>+H15/L17</f>
        <v>0.43333333333333329</v>
      </c>
      <c r="M19" s="6"/>
      <c r="O19" s="217" t="s">
        <v>22</v>
      </c>
      <c r="P19" s="219"/>
      <c r="Q19" s="219"/>
      <c r="R19" s="218"/>
      <c r="S19" s="218"/>
      <c r="T19" s="218"/>
      <c r="U19" s="1"/>
      <c r="X19" s="32">
        <f>+X13/X17</f>
        <v>0.43333333333333335</v>
      </c>
      <c r="Y19" s="6"/>
      <c r="AA19" s="217" t="s">
        <v>34</v>
      </c>
      <c r="AB19" s="219"/>
      <c r="AC19" s="219"/>
      <c r="AD19" s="219"/>
      <c r="AE19" s="219"/>
      <c r="AF19" s="219"/>
      <c r="AJ19" s="32">
        <f>+AJ15/AJ17</f>
        <v>0.45833333333333331</v>
      </c>
      <c r="AK19" s="6"/>
      <c r="AM19" s="5"/>
      <c r="AN19" t="s">
        <v>29</v>
      </c>
      <c r="AP19" s="59">
        <f>+AP13/AJ17</f>
        <v>2.5000000000000001E-2</v>
      </c>
      <c r="AQ19" s="47" t="s">
        <v>2</v>
      </c>
      <c r="AR19" s="39" t="s">
        <v>5</v>
      </c>
      <c r="AS19" s="59">
        <f>+AS13/AJ17</f>
        <v>-5.0000000000000001E-3</v>
      </c>
      <c r="AT19" s="47" t="s">
        <v>6</v>
      </c>
      <c r="AU19" s="39" t="s">
        <v>4</v>
      </c>
      <c r="AV19" s="59">
        <f>+AV13/AJ17</f>
        <v>3.0000000000000006E-2</v>
      </c>
      <c r="AW19" s="47" t="s">
        <v>2</v>
      </c>
      <c r="AX19" s="39" t="s">
        <v>4</v>
      </c>
      <c r="AY19" s="59">
        <f>+AY13/AJ17</f>
        <v>-3.789561257387201E-19</v>
      </c>
      <c r="AZ19" s="47" t="s">
        <v>3</v>
      </c>
      <c r="BA19" s="66"/>
      <c r="BB19" s="32">
        <f>+AS19+AV19+AY19</f>
        <v>2.5000000000000005E-2</v>
      </c>
      <c r="BC19" s="23" t="s">
        <v>2</v>
      </c>
    </row>
    <row r="20" spans="3:55">
      <c r="C20" s="19"/>
      <c r="H20" s="1"/>
      <c r="I20" s="1"/>
      <c r="L20" s="31"/>
      <c r="M20" s="6"/>
      <c r="O20" s="5"/>
      <c r="T20" s="1"/>
      <c r="U20" s="1"/>
      <c r="X20" s="32"/>
      <c r="Y20" s="6"/>
      <c r="AA20" s="5"/>
      <c r="AF20" s="1"/>
      <c r="AJ20" s="32"/>
      <c r="AK20" s="6"/>
      <c r="AM20" s="5"/>
      <c r="AP20" s="33"/>
      <c r="AQ20" s="22"/>
      <c r="AR20" s="23"/>
      <c r="AS20" s="33"/>
      <c r="AT20" s="23"/>
      <c r="AU20" s="23"/>
      <c r="AV20" s="33"/>
      <c r="AW20" s="23"/>
      <c r="AX20" s="23"/>
      <c r="AY20" s="33"/>
      <c r="AZ20" s="23"/>
      <c r="BA20" s="24"/>
      <c r="BB20" s="32"/>
      <c r="BC20" s="23"/>
    </row>
    <row r="21" spans="3:55">
      <c r="C21" s="222" t="s">
        <v>12</v>
      </c>
      <c r="D21" s="223"/>
      <c r="E21" s="223"/>
      <c r="F21" s="223"/>
      <c r="G21" s="223"/>
      <c r="H21" s="223"/>
      <c r="I21" s="223"/>
      <c r="J21" s="223"/>
      <c r="K21" s="223"/>
      <c r="L21" s="223"/>
      <c r="M21" s="43"/>
      <c r="O21" s="222" t="s">
        <v>12</v>
      </c>
      <c r="P21" s="223"/>
      <c r="Q21" s="223"/>
      <c r="R21" s="223"/>
      <c r="S21" s="223"/>
      <c r="T21" s="223"/>
      <c r="U21" s="223"/>
      <c r="V21" s="223"/>
      <c r="W21" s="223"/>
      <c r="X21" s="223"/>
      <c r="Y21" s="43"/>
      <c r="AA21" s="222" t="s">
        <v>12</v>
      </c>
      <c r="AB21" s="223"/>
      <c r="AC21" s="223"/>
      <c r="AD21" s="223"/>
      <c r="AE21" s="223"/>
      <c r="AF21" s="223"/>
      <c r="AG21" s="223"/>
      <c r="AH21" s="223"/>
      <c r="AI21" s="223"/>
      <c r="AJ21" s="223"/>
      <c r="AK21" s="43"/>
      <c r="AL21" s="20"/>
      <c r="AM21" s="19"/>
      <c r="AN21" s="20"/>
      <c r="AP21" s="33"/>
      <c r="AQ21" s="20" t="s">
        <v>3</v>
      </c>
      <c r="AR21" s="20"/>
      <c r="AS21" s="210" t="s">
        <v>12</v>
      </c>
      <c r="AT21" s="211"/>
      <c r="AU21" s="211"/>
      <c r="AV21" s="211"/>
      <c r="AW21" s="211"/>
      <c r="AX21" s="211"/>
      <c r="AY21" s="211"/>
      <c r="AZ21" s="211"/>
      <c r="BA21" s="24"/>
      <c r="BB21" s="32"/>
      <c r="BC21" s="23"/>
    </row>
    <row r="22" spans="3:55" ht="17" thickBot="1">
      <c r="C22" s="9"/>
      <c r="D22" s="10"/>
      <c r="E22" s="10"/>
      <c r="F22" s="10"/>
      <c r="G22" s="10"/>
      <c r="H22" s="11"/>
      <c r="I22" s="11"/>
      <c r="J22" s="10"/>
      <c r="K22" s="10"/>
      <c r="L22" s="11"/>
      <c r="M22" s="12"/>
      <c r="O22" s="9"/>
      <c r="P22" s="10"/>
      <c r="Q22" s="10"/>
      <c r="R22" s="10"/>
      <c r="S22" s="10"/>
      <c r="T22" s="11"/>
      <c r="U22" s="11"/>
      <c r="V22" s="10"/>
      <c r="W22" s="10"/>
      <c r="X22" s="11"/>
      <c r="Y22" s="12"/>
      <c r="AA22" s="9"/>
      <c r="AB22" s="10"/>
      <c r="AC22" s="10"/>
      <c r="AD22" s="10"/>
      <c r="AE22" s="10"/>
      <c r="AF22" s="11"/>
      <c r="AG22" s="10"/>
      <c r="AH22" s="10"/>
      <c r="AI22" s="10"/>
      <c r="AJ22" s="11"/>
      <c r="AK22" s="12"/>
      <c r="AM22" s="9"/>
      <c r="AN22" s="10"/>
      <c r="AO22" s="10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6"/>
    </row>
    <row r="23" spans="3:55" ht="17" thickTop="1">
      <c r="H23" s="1"/>
      <c r="I23" s="1"/>
      <c r="L23" s="1"/>
      <c r="AP23" s="1" t="s">
        <v>3</v>
      </c>
    </row>
    <row r="24" spans="3:55"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</row>
    <row r="25" spans="3:55">
      <c r="AX25" s="22"/>
      <c r="AY25" s="22" t="s">
        <v>3</v>
      </c>
      <c r="AZ25" s="23"/>
      <c r="BA25" s="23"/>
    </row>
    <row r="26" spans="3:55">
      <c r="AX26" s="23"/>
      <c r="AY26" s="22" t="s">
        <v>3</v>
      </c>
      <c r="AZ26" s="23"/>
      <c r="BA26" s="23"/>
    </row>
    <row r="27" spans="3:55">
      <c r="AX27" s="23"/>
      <c r="AY27" s="23" t="s">
        <v>3</v>
      </c>
      <c r="AZ27" s="23"/>
      <c r="BA27" s="23"/>
    </row>
    <row r="28" spans="3:55">
      <c r="AX28" s="23" t="s">
        <v>3</v>
      </c>
      <c r="AY28" s="27" t="s">
        <v>3</v>
      </c>
      <c r="AZ28" s="23" t="s">
        <v>3</v>
      </c>
      <c r="BA28" s="23"/>
    </row>
    <row r="29" spans="3:55">
      <c r="AX29" s="23" t="s">
        <v>3</v>
      </c>
      <c r="AY29" s="27" t="s">
        <v>3</v>
      </c>
      <c r="AZ29" s="23" t="s">
        <v>3</v>
      </c>
      <c r="BA29" s="23"/>
    </row>
    <row r="30" spans="3:55">
      <c r="AX30" s="23" t="s">
        <v>3</v>
      </c>
      <c r="AY30" s="28" t="s">
        <v>3</v>
      </c>
      <c r="AZ30" s="23" t="s">
        <v>3</v>
      </c>
      <c r="BA30" s="23"/>
    </row>
    <row r="31" spans="3:55">
      <c r="AX31" s="23"/>
      <c r="AY31" s="28"/>
      <c r="AZ31" s="23"/>
      <c r="BA31" s="23"/>
    </row>
    <row r="32" spans="3:55">
      <c r="AX32" s="23" t="s">
        <v>3</v>
      </c>
      <c r="AY32" s="29" t="s">
        <v>3</v>
      </c>
      <c r="AZ32" s="23" t="s">
        <v>3</v>
      </c>
      <c r="BA32" s="23"/>
    </row>
    <row r="33" spans="42:53">
      <c r="AX33" s="23" t="s">
        <v>3</v>
      </c>
      <c r="AY33" s="29"/>
      <c r="AZ33" s="23" t="s">
        <v>3</v>
      </c>
      <c r="BA33" s="23"/>
    </row>
    <row r="34" spans="42:53">
      <c r="AP34" s="29"/>
      <c r="AQ34" s="22"/>
      <c r="AR34" s="23"/>
      <c r="AS34" s="29"/>
      <c r="AT34" s="23"/>
      <c r="AU34" s="23"/>
      <c r="AV34" s="30"/>
      <c r="AW34" s="23"/>
      <c r="AX34" s="23"/>
      <c r="AY34" s="29"/>
      <c r="AZ34" s="23"/>
      <c r="BA34" s="23"/>
    </row>
    <row r="35" spans="42:53">
      <c r="AP35" s="29"/>
      <c r="AQ35" s="22"/>
      <c r="AR35" s="23"/>
      <c r="AS35" s="29"/>
      <c r="AT35" s="23"/>
      <c r="AU35" s="23"/>
      <c r="AV35" s="30"/>
      <c r="AW35" s="23"/>
      <c r="AX35" s="23"/>
      <c r="AY35" s="29"/>
      <c r="AZ35" s="23"/>
      <c r="BA35" s="23"/>
    </row>
    <row r="36" spans="42:53">
      <c r="AP36" s="33" t="s">
        <v>3</v>
      </c>
      <c r="AQ36" s="22" t="s">
        <v>3</v>
      </c>
      <c r="AR36" s="23" t="s">
        <v>3</v>
      </c>
      <c r="AS36" s="33" t="s">
        <v>3</v>
      </c>
      <c r="AT36" s="22" t="s">
        <v>3</v>
      </c>
      <c r="AU36" s="23" t="s">
        <v>3</v>
      </c>
      <c r="AV36" s="33" t="s">
        <v>3</v>
      </c>
      <c r="AW36" s="23" t="s">
        <v>3</v>
      </c>
      <c r="AX36" s="23" t="s">
        <v>3</v>
      </c>
      <c r="AY36" s="33" t="s">
        <v>3</v>
      </c>
      <c r="AZ36" s="22" t="s">
        <v>3</v>
      </c>
      <c r="BA36" s="22"/>
    </row>
    <row r="37" spans="42:53">
      <c r="AP37" s="33"/>
      <c r="AQ37" s="22"/>
      <c r="AR37" s="23"/>
      <c r="AS37" s="33"/>
      <c r="AT37" s="23"/>
      <c r="AU37" s="23"/>
      <c r="AV37" s="33"/>
      <c r="AW37" s="23"/>
      <c r="AX37" s="23"/>
      <c r="AY37" s="33"/>
      <c r="AZ37" s="23"/>
      <c r="BA37" s="23"/>
    </row>
    <row r="38" spans="42:53">
      <c r="AP38" s="33"/>
      <c r="AQ38" s="20" t="s">
        <v>3</v>
      </c>
      <c r="AR38" s="20"/>
      <c r="AS38" s="210"/>
      <c r="AT38" s="211"/>
      <c r="AU38" s="211"/>
      <c r="AV38" s="211"/>
      <c r="AW38" s="211"/>
      <c r="AX38" s="211"/>
      <c r="AY38" s="211"/>
      <c r="AZ38" s="23"/>
      <c r="BA38" s="23"/>
    </row>
    <row r="39" spans="42:53"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</row>
  </sheetData>
  <mergeCells count="17">
    <mergeCell ref="P6:X6"/>
    <mergeCell ref="AS38:AY38"/>
    <mergeCell ref="AC6:AJ6"/>
    <mergeCell ref="C2:M4"/>
    <mergeCell ref="AA2:AK4"/>
    <mergeCell ref="AS24:BB24"/>
    <mergeCell ref="C19:G19"/>
    <mergeCell ref="O19:T19"/>
    <mergeCell ref="AS21:AZ21"/>
    <mergeCell ref="AA19:AF19"/>
    <mergeCell ref="D6:L6"/>
    <mergeCell ref="C21:L21"/>
    <mergeCell ref="O21:X21"/>
    <mergeCell ref="AA21:AJ21"/>
    <mergeCell ref="C15:D15"/>
    <mergeCell ref="O15:P15"/>
    <mergeCell ref="AA15:AB15"/>
  </mergeCells>
  <pageMargins left="0.75" right="0.75" top="1" bottom="1" header="0.5" footer="0.5"/>
  <pageSetup orientation="portrait" horizontalDpi="4294967292" verticalDpi="4294967292"/>
  <ignoredErrors>
    <ignoredError sqref="BK10:BK11 BN10:BN11 S10:S12 U10:U12 H13 T12:T13 T10:T11 T15 H15 AF13 AP12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01F29-C476-7F47-8041-AA92CB6765FB}">
  <sheetPr>
    <tabColor rgb="FF002060"/>
  </sheetPr>
  <dimension ref="B1:AZ245"/>
  <sheetViews>
    <sheetView zoomScale="150" zoomScaleNormal="150" zoomScalePageLayoutView="150" workbookViewId="0">
      <pane xSplit="3" ySplit="9" topLeftCell="D11" activePane="bottomRight" state="frozen"/>
      <selection pane="topRight" activeCell="C1" sqref="C1"/>
      <selection pane="bottomLeft" activeCell="A10" sqref="A10"/>
      <selection pane="bottomRight" activeCell="K33" sqref="K33"/>
    </sheetView>
  </sheetViews>
  <sheetFormatPr baseColWidth="10" defaultRowHeight="13"/>
  <cols>
    <col min="1" max="1" width="3.6640625" style="71" customWidth="1"/>
    <col min="2" max="2" width="1.5" style="71" customWidth="1"/>
    <col min="3" max="3" width="50.83203125" style="71" customWidth="1"/>
    <col min="4" max="4" width="2.33203125" style="71" customWidth="1"/>
    <col min="5" max="5" width="15.83203125" style="71" customWidth="1"/>
    <col min="6" max="6" width="10.83203125" style="71" customWidth="1"/>
    <col min="7" max="7" width="1.5" style="71" customWidth="1"/>
    <col min="8" max="8" width="15.83203125" style="72" customWidth="1"/>
    <col min="9" max="9" width="10.83203125" style="71" customWidth="1"/>
    <col min="10" max="10" width="13.33203125" style="71" customWidth="1"/>
    <col min="11" max="11" width="18.6640625" style="71" bestFit="1" customWidth="1"/>
    <col min="12" max="12" width="2.5" style="71" bestFit="1" customWidth="1"/>
    <col min="13" max="13" width="18.6640625" style="71" bestFit="1" customWidth="1"/>
    <col min="14" max="14" width="2.5" style="71" bestFit="1" customWidth="1"/>
    <col min="15" max="15" width="18.6640625" style="71" bestFit="1" customWidth="1"/>
    <col min="16" max="16" width="2.5" style="71" bestFit="1" customWidth="1"/>
    <col min="17" max="17" width="18.33203125" style="71" customWidth="1"/>
    <col min="18" max="18" width="9.1640625" style="71" customWidth="1"/>
    <col min="19" max="19" width="17.33203125" style="71" customWidth="1"/>
    <col min="20" max="20" width="1.83203125" style="71" customWidth="1"/>
    <col min="21" max="21" width="9.1640625" style="71" customWidth="1"/>
    <col min="22" max="22" width="0.83203125" style="71" customWidth="1"/>
    <col min="23" max="23" width="12.5" style="71" customWidth="1"/>
    <col min="24" max="24" width="9.6640625" style="71" customWidth="1"/>
    <col min="25" max="25" width="0.83203125" style="71" customWidth="1"/>
    <col min="26" max="26" width="14.6640625" style="71" customWidth="1"/>
    <col min="27" max="27" width="9.1640625" style="71" customWidth="1"/>
    <col min="28" max="28" width="0.83203125" style="71" customWidth="1"/>
    <col min="29" max="29" width="14.6640625" style="71" customWidth="1"/>
    <col min="30" max="30" width="9.1640625" style="71" customWidth="1"/>
    <col min="31" max="31" width="0.83203125" style="71" customWidth="1"/>
    <col min="32" max="32" width="14.6640625" style="71" customWidth="1"/>
    <col min="33" max="33" width="9.1640625" style="71" customWidth="1"/>
    <col min="34" max="34" width="0.83203125" style="71" customWidth="1"/>
    <col min="35" max="35" width="14.6640625" style="71" customWidth="1"/>
    <col min="36" max="36" width="9.1640625" style="71" customWidth="1"/>
    <col min="37" max="37" width="0.83203125" style="71" customWidth="1"/>
    <col min="38" max="38" width="14.6640625" style="71" customWidth="1"/>
    <col min="39" max="39" width="9.1640625" style="71" customWidth="1"/>
    <col min="40" max="41" width="0.83203125" style="71" customWidth="1"/>
    <col min="42" max="42" width="14.6640625" style="71" customWidth="1"/>
    <col min="43" max="43" width="9.1640625" style="71" customWidth="1"/>
    <col min="44" max="44" width="0.83203125" style="71" customWidth="1"/>
    <col min="45" max="46" width="14.6640625" style="71" customWidth="1"/>
    <col min="47" max="47" width="0.83203125" style="71" customWidth="1"/>
    <col min="48" max="49" width="14.6640625" style="71" customWidth="1"/>
    <col min="50" max="50" width="0.83203125" style="71" customWidth="1"/>
    <col min="51" max="52" width="14.6640625" style="71" customWidth="1"/>
    <col min="53" max="16384" width="10.83203125" style="71"/>
  </cols>
  <sheetData>
    <row r="1" spans="3:52" ht="14" thickBot="1">
      <c r="C1" s="70" t="s">
        <v>3</v>
      </c>
    </row>
    <row r="2" spans="3:52" ht="14" thickTop="1">
      <c r="C2" s="73" t="s">
        <v>35</v>
      </c>
      <c r="D2" s="74"/>
      <c r="E2" s="75"/>
      <c r="F2" s="76"/>
      <c r="G2" s="76"/>
      <c r="H2" s="76"/>
      <c r="K2" s="75"/>
      <c r="AL2" s="71" t="s">
        <v>3</v>
      </c>
    </row>
    <row r="3" spans="3:52">
      <c r="C3" s="77" t="s">
        <v>36</v>
      </c>
      <c r="D3" s="74"/>
      <c r="E3" s="76"/>
      <c r="F3" s="76"/>
      <c r="G3" s="76"/>
      <c r="H3" s="76"/>
      <c r="AL3" s="71" t="s">
        <v>3</v>
      </c>
    </row>
    <row r="4" spans="3:52" ht="17" thickBot="1">
      <c r="C4" s="78" t="s">
        <v>37</v>
      </c>
      <c r="D4" s="74"/>
      <c r="E4" s="229" t="s">
        <v>83</v>
      </c>
      <c r="F4" s="229"/>
      <c r="G4" s="229"/>
      <c r="H4" s="229"/>
      <c r="I4" s="229"/>
      <c r="J4" s="229"/>
      <c r="K4" s="229"/>
    </row>
    <row r="5" spans="3:52" ht="15" thickTop="1" thickBot="1">
      <c r="C5" s="79"/>
      <c r="E5" s="70"/>
    </row>
    <row r="6" spans="3:52" ht="17" thickTop="1">
      <c r="C6" s="80" t="s">
        <v>38</v>
      </c>
      <c r="D6" s="81"/>
      <c r="E6" s="82" t="s">
        <v>39</v>
      </c>
      <c r="F6" s="83">
        <f>+E15/$C$7/364</f>
        <v>4.1208791208791204</v>
      </c>
      <c r="G6" s="84"/>
      <c r="H6" s="230" t="s">
        <v>40</v>
      </c>
      <c r="I6" s="231"/>
      <c r="J6" s="85"/>
      <c r="AR6" s="84"/>
      <c r="AU6" s="84"/>
      <c r="AV6" s="84"/>
      <c r="AW6" s="84"/>
      <c r="AX6" s="84"/>
      <c r="AY6" s="84"/>
      <c r="AZ6" s="84"/>
    </row>
    <row r="7" spans="3:52">
      <c r="C7" s="86">
        <v>100</v>
      </c>
      <c r="D7" s="81"/>
      <c r="E7" s="87" t="s">
        <v>41</v>
      </c>
      <c r="F7" s="88">
        <v>30000</v>
      </c>
      <c r="G7" s="84"/>
      <c r="H7" s="232"/>
      <c r="I7" s="233"/>
      <c r="J7" s="85"/>
      <c r="AR7" s="84"/>
      <c r="AU7" s="84"/>
      <c r="AV7" s="84"/>
      <c r="AW7" s="84"/>
      <c r="AX7" s="84"/>
      <c r="AY7" s="84"/>
      <c r="AZ7" s="84"/>
    </row>
    <row r="8" spans="3:52">
      <c r="C8" s="89" t="s">
        <v>42</v>
      </c>
      <c r="D8" s="81"/>
      <c r="E8" s="90" t="s">
        <v>43</v>
      </c>
      <c r="F8" s="91">
        <v>50000</v>
      </c>
      <c r="G8" s="92"/>
      <c r="H8" s="232"/>
      <c r="I8" s="233"/>
      <c r="J8" s="85"/>
    </row>
    <row r="9" spans="3:52" ht="14" thickBot="1">
      <c r="C9" s="93">
        <f>+E15/C7</f>
        <v>1500</v>
      </c>
      <c r="D9" s="81"/>
      <c r="E9" s="94" t="s">
        <v>44</v>
      </c>
      <c r="F9" s="95" t="s">
        <v>45</v>
      </c>
      <c r="G9" s="96"/>
      <c r="H9" s="234"/>
      <c r="I9" s="235"/>
      <c r="J9" s="85"/>
    </row>
    <row r="10" spans="3:52" ht="14" customHeight="1" thickTop="1">
      <c r="C10" s="97" t="s">
        <v>46</v>
      </c>
      <c r="D10" s="81"/>
      <c r="E10" s="98"/>
      <c r="F10" s="99"/>
      <c r="H10" s="100"/>
      <c r="I10" s="101"/>
      <c r="J10" s="85"/>
      <c r="K10" s="236" t="s">
        <v>47</v>
      </c>
      <c r="L10" s="237"/>
      <c r="M10" s="237"/>
      <c r="N10" s="237"/>
      <c r="O10" s="237"/>
      <c r="P10" s="237"/>
      <c r="Q10" s="237"/>
      <c r="R10" s="237"/>
      <c r="S10" s="237"/>
      <c r="T10" s="102"/>
    </row>
    <row r="11" spans="3:52" ht="14" customHeight="1">
      <c r="C11" s="103" t="s">
        <v>48</v>
      </c>
      <c r="D11" s="81"/>
      <c r="E11" s="104">
        <v>0</v>
      </c>
      <c r="F11" s="105">
        <f>+E11/E15</f>
        <v>0</v>
      </c>
      <c r="H11" s="106">
        <v>0</v>
      </c>
      <c r="I11" s="107">
        <f>H11/H15</f>
        <v>0</v>
      </c>
      <c r="J11" s="85"/>
      <c r="K11" s="238"/>
      <c r="L11" s="239"/>
      <c r="M11" s="239"/>
      <c r="N11" s="239"/>
      <c r="O11" s="239"/>
      <c r="P11" s="239"/>
      <c r="Q11" s="239"/>
      <c r="R11" s="239"/>
      <c r="S11" s="239"/>
      <c r="T11" s="108"/>
    </row>
    <row r="12" spans="3:52" ht="14" customHeight="1" thickBot="1">
      <c r="C12" s="109" t="s">
        <v>49</v>
      </c>
      <c r="D12" s="81"/>
      <c r="E12" s="104">
        <f>Analyse!AJ17</f>
        <v>150000</v>
      </c>
      <c r="F12" s="110">
        <f>E12/E15</f>
        <v>1</v>
      </c>
      <c r="H12" s="106">
        <f>E12/F7</f>
        <v>5</v>
      </c>
      <c r="I12" s="111">
        <f>H12/H15</f>
        <v>1</v>
      </c>
      <c r="J12" s="85"/>
      <c r="K12" s="240"/>
      <c r="L12" s="241"/>
      <c r="M12" s="241"/>
      <c r="N12" s="241"/>
      <c r="O12" s="241"/>
      <c r="P12" s="241"/>
      <c r="Q12" s="241"/>
      <c r="R12" s="241"/>
      <c r="S12" s="241"/>
      <c r="T12" s="112"/>
    </row>
    <row r="13" spans="3:52" ht="15" thickTop="1" thickBot="1">
      <c r="C13" s="113" t="s">
        <v>50</v>
      </c>
      <c r="D13" s="81"/>
      <c r="E13" s="104">
        <v>0</v>
      </c>
      <c r="F13" s="110">
        <f>+E13/E15</f>
        <v>0</v>
      </c>
      <c r="H13" s="106">
        <v>0</v>
      </c>
      <c r="I13" s="111">
        <f>+H13/H15</f>
        <v>0</v>
      </c>
      <c r="J13" s="85"/>
      <c r="K13" s="114"/>
      <c r="L13" s="114"/>
      <c r="M13" s="114"/>
      <c r="N13" s="114"/>
      <c r="O13" s="114"/>
      <c r="P13" s="114"/>
      <c r="Q13" s="115"/>
      <c r="R13" s="115"/>
      <c r="S13" s="115"/>
      <c r="T13" s="115"/>
    </row>
    <row r="14" spans="3:52" ht="15" customHeight="1" thickTop="1" thickBot="1">
      <c r="C14" s="116" t="s">
        <v>51</v>
      </c>
      <c r="D14" s="81"/>
      <c r="E14" s="117">
        <v>0</v>
      </c>
      <c r="F14" s="118">
        <f>+E14/E15</f>
        <v>0</v>
      </c>
      <c r="H14" s="106">
        <v>0</v>
      </c>
      <c r="I14" s="119">
        <f>+H14/H15</f>
        <v>0</v>
      </c>
      <c r="J14" s="85"/>
      <c r="K14" s="242" t="s">
        <v>52</v>
      </c>
      <c r="L14" s="120"/>
      <c r="M14" s="244" t="s">
        <v>53</v>
      </c>
      <c r="N14" s="120"/>
      <c r="O14" s="244" t="s">
        <v>54</v>
      </c>
      <c r="P14" s="120"/>
      <c r="Q14" s="244" t="s">
        <v>55</v>
      </c>
      <c r="R14" s="121"/>
      <c r="S14" s="244" t="s">
        <v>56</v>
      </c>
      <c r="T14" s="225"/>
    </row>
    <row r="15" spans="3:52" ht="18" thickTop="1" thickBot="1">
      <c r="C15" s="122" t="s">
        <v>57</v>
      </c>
      <c r="D15" s="123"/>
      <c r="E15" s="124">
        <f>+SUM(E11:E14)</f>
        <v>150000</v>
      </c>
      <c r="F15" s="125">
        <f>+SUM(F11:F14)</f>
        <v>1</v>
      </c>
      <c r="H15" s="126">
        <f>+SUM(H11:H14)</f>
        <v>5</v>
      </c>
      <c r="I15" s="127">
        <f>+SUM(I11:I14)</f>
        <v>1</v>
      </c>
      <c r="J15" s="85"/>
      <c r="K15" s="243"/>
      <c r="L15" s="128"/>
      <c r="M15" s="245"/>
      <c r="N15" s="128"/>
      <c r="O15" s="245"/>
      <c r="P15" s="128"/>
      <c r="Q15" s="245"/>
      <c r="R15" s="129"/>
      <c r="S15" s="245"/>
      <c r="T15" s="226"/>
      <c r="AR15" s="130"/>
      <c r="AS15" s="130"/>
      <c r="AT15" s="130"/>
      <c r="AU15" s="130"/>
      <c r="AV15" s="130"/>
      <c r="AW15" s="130"/>
      <c r="AX15" s="130"/>
      <c r="AY15" s="130"/>
      <c r="AZ15" s="130"/>
    </row>
    <row r="16" spans="3:52" ht="17" thickTop="1">
      <c r="C16" s="131"/>
      <c r="D16" s="81"/>
      <c r="E16" s="132"/>
      <c r="F16" s="99"/>
      <c r="H16" s="133"/>
      <c r="I16" s="107"/>
      <c r="J16" s="85"/>
      <c r="K16" s="243"/>
      <c r="L16" s="129"/>
      <c r="M16" s="245"/>
      <c r="N16" s="129"/>
      <c r="O16" s="245"/>
      <c r="P16" s="129"/>
      <c r="Q16" s="245"/>
      <c r="R16" s="129"/>
      <c r="S16" s="245"/>
      <c r="T16" s="226"/>
    </row>
    <row r="17" spans="2:52" ht="18">
      <c r="B17" s="134"/>
      <c r="C17" s="135" t="s">
        <v>58</v>
      </c>
      <c r="D17" s="136"/>
      <c r="E17" s="137">
        <f>Analyse!AJ15</f>
        <v>68750</v>
      </c>
      <c r="F17" s="138">
        <f>+E17/E15</f>
        <v>0.45833333333333331</v>
      </c>
      <c r="H17" s="106">
        <f>E17/F7</f>
        <v>2.2916666666666665</v>
      </c>
      <c r="I17" s="139">
        <f>+H17/H15</f>
        <v>0.45833333333333331</v>
      </c>
      <c r="J17" s="85">
        <f>+H17</f>
        <v>2.2916666666666665</v>
      </c>
      <c r="K17" s="140">
        <f>E43</f>
        <v>10750</v>
      </c>
      <c r="L17" s="141"/>
      <c r="M17" s="142">
        <f>K19</f>
        <v>150000</v>
      </c>
      <c r="N17" s="141"/>
      <c r="O17" s="141">
        <f>M19</f>
        <v>50000</v>
      </c>
      <c r="P17" s="141"/>
      <c r="Q17" s="141">
        <f>+K17</f>
        <v>10750</v>
      </c>
      <c r="R17" s="141"/>
      <c r="S17" s="143" t="s">
        <v>3</v>
      </c>
      <c r="T17" s="144"/>
      <c r="AT17" s="145" t="s">
        <v>3</v>
      </c>
    </row>
    <row r="18" spans="2:52" ht="18">
      <c r="C18" s="109"/>
      <c r="D18" s="81"/>
      <c r="E18" s="146"/>
      <c r="F18" s="147"/>
      <c r="H18" s="133"/>
      <c r="I18" s="148"/>
      <c r="J18" s="85"/>
      <c r="K18" s="149" t="s">
        <v>59</v>
      </c>
      <c r="L18" s="141" t="s">
        <v>15</v>
      </c>
      <c r="M18" s="150" t="s">
        <v>59</v>
      </c>
      <c r="N18" s="141" t="s">
        <v>15</v>
      </c>
      <c r="O18" s="150" t="s">
        <v>59</v>
      </c>
      <c r="P18" s="141" t="s">
        <v>5</v>
      </c>
      <c r="Q18" s="150" t="s">
        <v>59</v>
      </c>
      <c r="R18" s="141" t="s">
        <v>3</v>
      </c>
      <c r="S18" s="143" t="s">
        <v>3</v>
      </c>
      <c r="T18" s="144"/>
    </row>
    <row r="19" spans="2:52" ht="18">
      <c r="C19" s="151" t="s">
        <v>60</v>
      </c>
      <c r="D19" s="81"/>
      <c r="E19" s="146"/>
      <c r="F19" s="147"/>
      <c r="H19" s="133"/>
      <c r="I19" s="148"/>
      <c r="J19" s="85"/>
      <c r="K19" s="140">
        <f>E15</f>
        <v>150000</v>
      </c>
      <c r="L19" s="141"/>
      <c r="M19" s="141">
        <f>F8</f>
        <v>50000</v>
      </c>
      <c r="N19" s="141"/>
      <c r="O19" s="141">
        <v>25000</v>
      </c>
      <c r="P19" s="141"/>
      <c r="Q19" s="141">
        <f>O19</f>
        <v>25000</v>
      </c>
      <c r="R19" s="141"/>
      <c r="S19" s="141"/>
      <c r="T19" s="144"/>
    </row>
    <row r="20" spans="2:52">
      <c r="C20" s="109" t="s">
        <v>61</v>
      </c>
      <c r="D20" s="81"/>
      <c r="E20" s="152">
        <f>+F7*H20</f>
        <v>26086.956521739132</v>
      </c>
      <c r="F20" s="147">
        <f>+E20/E15</f>
        <v>0.17391304347826089</v>
      </c>
      <c r="H20" s="153">
        <f>H22/1.15</f>
        <v>0.86956521739130443</v>
      </c>
      <c r="I20" s="148">
        <f>+H20/H15</f>
        <v>0.17391304347826089</v>
      </c>
      <c r="J20" s="85"/>
      <c r="K20" s="154"/>
      <c r="L20" s="129"/>
      <c r="M20" s="129"/>
      <c r="N20" s="129"/>
      <c r="O20" s="129"/>
      <c r="P20" s="129"/>
      <c r="Q20" s="129"/>
      <c r="R20" s="129"/>
      <c r="S20" s="129"/>
      <c r="T20" s="144"/>
    </row>
    <row r="21" spans="2:52" ht="14" customHeight="1">
      <c r="C21" s="109" t="s">
        <v>62</v>
      </c>
      <c r="D21" s="81"/>
      <c r="E21" s="152">
        <f>0.15*E20</f>
        <v>3913.0434782608695</v>
      </c>
      <c r="F21" s="147">
        <f>E21/E$15</f>
        <v>2.6086956521739129E-2</v>
      </c>
      <c r="H21" s="153">
        <f>0.15*H20</f>
        <v>0.13043478260869565</v>
      </c>
      <c r="I21" s="148">
        <f>H21/H15</f>
        <v>2.6086956521739129E-2</v>
      </c>
      <c r="J21" s="85"/>
      <c r="K21" s="155">
        <f>+K17/K19</f>
        <v>7.166666666666667E-2</v>
      </c>
      <c r="L21" s="156" t="s">
        <v>15</v>
      </c>
      <c r="M21" s="156">
        <f>+M17/M19</f>
        <v>3</v>
      </c>
      <c r="N21" s="156" t="s">
        <v>15</v>
      </c>
      <c r="O21" s="156">
        <f>+O17/O19</f>
        <v>2</v>
      </c>
      <c r="P21" s="156" t="s">
        <v>5</v>
      </c>
      <c r="Q21" s="157">
        <f>K21*M21*O21</f>
        <v>0.43000000000000005</v>
      </c>
      <c r="R21" s="156" t="s">
        <v>5</v>
      </c>
      <c r="S21" s="158">
        <f>+Q17/Q19</f>
        <v>0.43</v>
      </c>
      <c r="T21" s="144"/>
    </row>
    <row r="22" spans="2:52" ht="14" customHeight="1" thickBot="1">
      <c r="C22" s="151" t="s">
        <v>63</v>
      </c>
      <c r="D22" s="159"/>
      <c r="E22" s="137">
        <f>+H22*F7</f>
        <v>30000</v>
      </c>
      <c r="F22" s="110">
        <f>E22/E$15</f>
        <v>0.2</v>
      </c>
      <c r="H22" s="106">
        <v>1</v>
      </c>
      <c r="I22" s="111">
        <f>H22/H15</f>
        <v>0.2</v>
      </c>
      <c r="J22" s="85">
        <f>+H22</f>
        <v>1</v>
      </c>
      <c r="K22" s="160"/>
      <c r="L22" s="161"/>
      <c r="M22" s="161"/>
      <c r="N22" s="161"/>
      <c r="O22" s="161"/>
      <c r="P22" s="161"/>
      <c r="Q22" s="161"/>
      <c r="R22" s="161"/>
      <c r="S22" s="161"/>
      <c r="T22" s="162"/>
      <c r="AS22" s="145" t="s">
        <v>3</v>
      </c>
    </row>
    <row r="23" spans="2:52" ht="17" thickTop="1">
      <c r="C23" s="109"/>
      <c r="D23" s="81"/>
      <c r="E23" s="146"/>
      <c r="F23" s="147"/>
      <c r="H23" s="133"/>
      <c r="I23" s="148"/>
      <c r="J23" s="85"/>
    </row>
    <row r="24" spans="2:52">
      <c r="C24" s="151" t="s">
        <v>64</v>
      </c>
      <c r="D24" s="159"/>
      <c r="E24" s="163">
        <f>E17+E22</f>
        <v>98750</v>
      </c>
      <c r="F24" s="110">
        <f>E24/E$15</f>
        <v>0.65833333333333333</v>
      </c>
      <c r="H24" s="106">
        <f>+H17+H22</f>
        <v>3.2916666666666665</v>
      </c>
      <c r="I24" s="111">
        <f>H24/H15</f>
        <v>0.65833333333333333</v>
      </c>
      <c r="J24" s="85"/>
      <c r="AR24" s="164"/>
    </row>
    <row r="25" spans="2:52" ht="17" thickBot="1">
      <c r="C25" s="116"/>
      <c r="D25" s="81"/>
      <c r="E25" s="165"/>
      <c r="F25" s="166"/>
      <c r="H25" s="133"/>
      <c r="I25" s="167"/>
      <c r="J25" s="85"/>
    </row>
    <row r="26" spans="2:52" ht="15" thickTop="1" thickBot="1">
      <c r="C26" s="122" t="s">
        <v>65</v>
      </c>
      <c r="D26" s="123"/>
      <c r="E26" s="168">
        <f>E15-E24</f>
        <v>51250</v>
      </c>
      <c r="F26" s="169">
        <f>E26/E$15</f>
        <v>0.34166666666666667</v>
      </c>
      <c r="H26" s="170">
        <f>+H15-H24</f>
        <v>1.7083333333333335</v>
      </c>
      <c r="I26" s="171">
        <f>H26/H15</f>
        <v>0.34166666666666667</v>
      </c>
      <c r="J26" s="85"/>
      <c r="AR26" s="172"/>
      <c r="AS26" s="130"/>
      <c r="AT26" s="130"/>
      <c r="AU26" s="130"/>
      <c r="AV26" s="130"/>
      <c r="AW26" s="130"/>
      <c r="AX26" s="130"/>
      <c r="AY26" s="130"/>
      <c r="AZ26" s="130"/>
    </row>
    <row r="27" spans="2:52" ht="17" thickTop="1">
      <c r="C27" s="131"/>
      <c r="D27" s="81"/>
      <c r="E27" s="132"/>
      <c r="F27" s="99"/>
      <c r="H27" s="133"/>
      <c r="I27" s="107"/>
      <c r="J27" s="85"/>
    </row>
    <row r="28" spans="2:52">
      <c r="C28" s="109" t="s">
        <v>66</v>
      </c>
      <c r="D28" s="81"/>
      <c r="E28" s="173">
        <v>0</v>
      </c>
      <c r="F28" s="147">
        <f>E28/$E$15</f>
        <v>0</v>
      </c>
      <c r="H28" s="133">
        <v>0</v>
      </c>
      <c r="I28" s="148">
        <f>+H28/H15</f>
        <v>0</v>
      </c>
      <c r="J28" s="85"/>
    </row>
    <row r="29" spans="2:52">
      <c r="C29" s="174" t="s">
        <v>67</v>
      </c>
      <c r="D29" s="175"/>
      <c r="E29" s="173">
        <v>0</v>
      </c>
      <c r="F29" s="147">
        <f t="shared" ref="F29:F36" si="0">E29/E$15</f>
        <v>0</v>
      </c>
      <c r="H29" s="133">
        <v>0</v>
      </c>
      <c r="I29" s="148">
        <f>H29/H15</f>
        <v>0</v>
      </c>
      <c r="J29" s="85"/>
    </row>
    <row r="30" spans="2:52">
      <c r="C30" s="174" t="s">
        <v>68</v>
      </c>
      <c r="D30" s="175"/>
      <c r="E30" s="173">
        <v>0</v>
      </c>
      <c r="F30" s="147">
        <f t="shared" si="0"/>
        <v>0</v>
      </c>
      <c r="H30" s="133">
        <v>0</v>
      </c>
      <c r="I30" s="176">
        <f>+H30/H15</f>
        <v>0</v>
      </c>
      <c r="J30" s="85"/>
    </row>
    <row r="31" spans="2:52">
      <c r="C31" s="174" t="s">
        <v>69</v>
      </c>
      <c r="D31" s="175"/>
      <c r="E31" s="173">
        <v>0</v>
      </c>
      <c r="F31" s="147">
        <f t="shared" si="0"/>
        <v>0</v>
      </c>
      <c r="H31" s="133">
        <v>0</v>
      </c>
      <c r="I31" s="148">
        <f>+I29/H15</f>
        <v>0</v>
      </c>
      <c r="J31" s="85"/>
    </row>
    <row r="32" spans="2:52">
      <c r="C32" s="109" t="s">
        <v>70</v>
      </c>
      <c r="D32" s="81"/>
      <c r="E32" s="173">
        <v>0</v>
      </c>
      <c r="F32" s="147">
        <f t="shared" si="0"/>
        <v>0</v>
      </c>
      <c r="H32" s="133">
        <v>0</v>
      </c>
      <c r="I32" s="148">
        <f>+H32/H15</f>
        <v>0</v>
      </c>
      <c r="J32" s="85"/>
    </row>
    <row r="33" spans="3:52">
      <c r="C33" s="109" t="s">
        <v>71</v>
      </c>
      <c r="D33" s="81"/>
      <c r="E33" s="173">
        <v>0</v>
      </c>
      <c r="F33" s="147">
        <f t="shared" si="0"/>
        <v>0</v>
      </c>
      <c r="H33" s="133">
        <v>0</v>
      </c>
      <c r="I33" s="148">
        <f>+H33/H15</f>
        <v>0</v>
      </c>
      <c r="J33" s="85"/>
    </row>
    <row r="34" spans="3:52">
      <c r="C34" s="109" t="s">
        <v>72</v>
      </c>
      <c r="D34" s="81"/>
      <c r="E34" s="173">
        <v>0</v>
      </c>
      <c r="F34" s="147">
        <f t="shared" si="0"/>
        <v>0</v>
      </c>
      <c r="H34" s="133">
        <v>0</v>
      </c>
      <c r="I34" s="148">
        <f>H34/H15</f>
        <v>0</v>
      </c>
      <c r="J34" s="85"/>
    </row>
    <row r="35" spans="3:52">
      <c r="C35" s="109" t="s">
        <v>73</v>
      </c>
      <c r="D35" s="81"/>
      <c r="E35" s="137">
        <f>+H35*F7</f>
        <v>30000</v>
      </c>
      <c r="F35" s="147">
        <f t="shared" si="0"/>
        <v>0.2</v>
      </c>
      <c r="H35" s="106">
        <v>1</v>
      </c>
      <c r="I35" s="148">
        <f>H35/H15</f>
        <v>0.2</v>
      </c>
      <c r="J35" s="85">
        <f>+H35</f>
        <v>1</v>
      </c>
    </row>
    <row r="36" spans="3:52" ht="16">
      <c r="C36" s="177" t="s">
        <v>74</v>
      </c>
      <c r="D36" s="81"/>
      <c r="E36" s="178">
        <f>SUM(E28:E35)</f>
        <v>30000</v>
      </c>
      <c r="F36" s="179">
        <f t="shared" si="0"/>
        <v>0.2</v>
      </c>
      <c r="H36" s="180">
        <f>SUM(H28:H35)</f>
        <v>1</v>
      </c>
      <c r="I36" s="181">
        <f t="shared" ref="I36" si="1">H36/H$15</f>
        <v>0.2</v>
      </c>
      <c r="J36" s="85"/>
      <c r="AS36" s="145" t="s">
        <v>3</v>
      </c>
    </row>
    <row r="37" spans="3:52" ht="17" thickBot="1">
      <c r="C37" s="116"/>
      <c r="D37" s="81"/>
      <c r="E37" s="165"/>
      <c r="F37" s="166"/>
      <c r="H37" s="133"/>
      <c r="I37" s="167"/>
      <c r="J37" s="85"/>
    </row>
    <row r="38" spans="3:52" ht="15" thickTop="1" thickBot="1">
      <c r="C38" s="122" t="s">
        <v>75</v>
      </c>
      <c r="D38" s="123"/>
      <c r="E38" s="168">
        <f>E26-E36</f>
        <v>21250</v>
      </c>
      <c r="F38" s="169">
        <f>E38/E$15</f>
        <v>0.14166666666666666</v>
      </c>
      <c r="H38" s="170">
        <f>+H26-H36</f>
        <v>0.70833333333333348</v>
      </c>
      <c r="I38" s="171">
        <f>H38/H$15</f>
        <v>0.14166666666666669</v>
      </c>
      <c r="J38" s="85"/>
      <c r="AR38" s="172"/>
      <c r="AS38" s="130"/>
      <c r="AT38" s="130"/>
      <c r="AU38" s="130"/>
      <c r="AV38" s="130"/>
      <c r="AW38" s="130"/>
      <c r="AX38" s="130"/>
      <c r="AY38" s="130"/>
      <c r="AZ38" s="130"/>
    </row>
    <row r="39" spans="3:52" ht="17" thickTop="1">
      <c r="C39" s="131"/>
      <c r="D39" s="81"/>
      <c r="E39" s="132"/>
      <c r="F39" s="99"/>
      <c r="H39" s="133"/>
      <c r="I39" s="107"/>
      <c r="J39" s="85"/>
    </row>
    <row r="40" spans="3:52">
      <c r="C40" s="182" t="s">
        <v>76</v>
      </c>
      <c r="D40" s="81"/>
      <c r="E40" s="137">
        <f>+H40*F7</f>
        <v>4500</v>
      </c>
      <c r="F40" s="147">
        <f>E40/E$15</f>
        <v>0.03</v>
      </c>
      <c r="H40" s="106">
        <v>0.15</v>
      </c>
      <c r="I40" s="148">
        <f>H40/H$15</f>
        <v>0.03</v>
      </c>
      <c r="J40" s="85">
        <f>+H40</f>
        <v>0.15</v>
      </c>
      <c r="AS40" s="145" t="s">
        <v>3</v>
      </c>
    </row>
    <row r="41" spans="3:52">
      <c r="C41" s="182" t="s">
        <v>77</v>
      </c>
      <c r="D41" s="81"/>
      <c r="E41" s="137">
        <f>+H41*F7</f>
        <v>6000</v>
      </c>
      <c r="F41" s="147">
        <f>E41/E$15</f>
        <v>0.04</v>
      </c>
      <c r="H41" s="106">
        <v>0.2</v>
      </c>
      <c r="I41" s="148">
        <f>H41/H$15</f>
        <v>0.04</v>
      </c>
      <c r="J41" s="85">
        <f>+H41</f>
        <v>0.2</v>
      </c>
      <c r="AS41" s="145"/>
    </row>
    <row r="42" spans="3:52" ht="14" thickBot="1">
      <c r="C42" s="183"/>
      <c r="D42" s="81"/>
      <c r="E42" s="184" t="s">
        <v>3</v>
      </c>
      <c r="F42" s="166"/>
      <c r="H42" s="133"/>
      <c r="I42" s="167"/>
      <c r="J42" s="85"/>
    </row>
    <row r="43" spans="3:52" ht="18" thickTop="1" thickBot="1">
      <c r="C43" s="185" t="s">
        <v>78</v>
      </c>
      <c r="D43" s="130"/>
      <c r="E43" s="186">
        <f>E38-(E40+E41)</f>
        <v>10750</v>
      </c>
      <c r="F43" s="187">
        <f>E43/E$15</f>
        <v>7.166666666666667E-2</v>
      </c>
      <c r="H43" s="188">
        <f>H38-H40-H41</f>
        <v>0.35833333333333345</v>
      </c>
      <c r="I43" s="189">
        <f>H43/H$15</f>
        <v>7.1666666666666684E-2</v>
      </c>
      <c r="J43" s="190">
        <f>+SUM(J16:J42)</f>
        <v>4.6416666666666666</v>
      </c>
      <c r="K43" s="191">
        <f>E43/F7</f>
        <v>0.35833333333333334</v>
      </c>
      <c r="L43" s="227" t="s">
        <v>79</v>
      </c>
      <c r="M43" s="228"/>
      <c r="AR43" s="172"/>
      <c r="AS43" s="130"/>
      <c r="AT43" s="130"/>
      <c r="AU43" s="130"/>
      <c r="AV43" s="130"/>
      <c r="AW43" s="130"/>
      <c r="AX43" s="130"/>
      <c r="AY43" s="130"/>
      <c r="AZ43" s="130"/>
    </row>
    <row r="44" spans="3:52" ht="17" thickTop="1">
      <c r="C44" s="192">
        <f>+E17+E22+E35+E40+E41</f>
        <v>139250</v>
      </c>
      <c r="D44" s="81"/>
      <c r="E44" s="193"/>
      <c r="F44" s="99"/>
      <c r="H44" s="133"/>
      <c r="I44" s="107"/>
      <c r="J44" s="85"/>
      <c r="K44" s="71" t="s">
        <v>3</v>
      </c>
    </row>
    <row r="45" spans="3:52" ht="16">
      <c r="C45" s="194" t="s">
        <v>80</v>
      </c>
      <c r="D45" s="81"/>
      <c r="E45" s="195">
        <f>+$F$49*E43</f>
        <v>1935</v>
      </c>
      <c r="F45" s="147">
        <f>E45/E$15</f>
        <v>1.29E-2</v>
      </c>
      <c r="H45" s="196">
        <f>+H43*F49</f>
        <v>6.4500000000000016E-2</v>
      </c>
      <c r="I45" s="148">
        <f>H45/H$15</f>
        <v>1.2900000000000003E-2</v>
      </c>
      <c r="J45" s="85"/>
      <c r="K45" s="71" t="s">
        <v>3</v>
      </c>
      <c r="AS45" s="145" t="s">
        <v>3</v>
      </c>
    </row>
    <row r="46" spans="3:52" ht="17" thickBot="1">
      <c r="C46" s="74"/>
      <c r="D46" s="81"/>
      <c r="E46" s="165"/>
      <c r="F46" s="166"/>
      <c r="H46" s="133"/>
      <c r="I46" s="167"/>
      <c r="J46" s="85"/>
      <c r="K46" s="71" t="s">
        <v>3</v>
      </c>
    </row>
    <row r="47" spans="3:52" ht="18" thickTop="1" thickBot="1">
      <c r="C47" s="197" t="s">
        <v>81</v>
      </c>
      <c r="D47" s="123"/>
      <c r="E47" s="198">
        <f>E43-E45</f>
        <v>8815</v>
      </c>
      <c r="F47" s="199">
        <f>E47/E$15</f>
        <v>5.8766666666666668E-2</v>
      </c>
      <c r="H47" s="188">
        <f>+H43-H45</f>
        <v>0.29383333333333345</v>
      </c>
      <c r="I47" s="127">
        <f>H47/H$15</f>
        <v>5.8766666666666689E-2</v>
      </c>
      <c r="J47" s="85"/>
      <c r="K47" s="71" t="s">
        <v>3</v>
      </c>
      <c r="AR47" s="172"/>
      <c r="AS47" s="200" t="s">
        <v>3</v>
      </c>
      <c r="AT47" s="200" t="s">
        <v>3</v>
      </c>
      <c r="AU47" s="130"/>
      <c r="AV47" s="130"/>
      <c r="AW47" s="130"/>
      <c r="AX47" s="130"/>
      <c r="AY47" s="130"/>
      <c r="AZ47" s="130"/>
    </row>
    <row r="48" spans="3:52" ht="15" thickTop="1" thickBot="1">
      <c r="C48" s="201"/>
      <c r="E48" s="202"/>
      <c r="K48" s="71" t="s">
        <v>3</v>
      </c>
      <c r="P48" s="203"/>
    </row>
    <row r="49" spans="3:42" ht="15" thickTop="1" thickBot="1">
      <c r="D49" s="204"/>
      <c r="E49" s="205" t="s">
        <v>82</v>
      </c>
      <c r="F49" s="206">
        <v>0.18</v>
      </c>
      <c r="AP49" s="207" t="s">
        <v>3</v>
      </c>
    </row>
    <row r="50" spans="3:42" ht="14" thickTop="1">
      <c r="I50" s="208"/>
    </row>
    <row r="51" spans="3:42">
      <c r="I51" s="208"/>
    </row>
    <row r="52" spans="3:42" ht="24">
      <c r="C52" s="209"/>
      <c r="H52" s="71"/>
    </row>
    <row r="53" spans="3:42">
      <c r="H53" s="71"/>
    </row>
    <row r="54" spans="3:42" ht="24">
      <c r="C54" s="209"/>
      <c r="H54" s="71"/>
    </row>
    <row r="55" spans="3:42">
      <c r="H55" s="71"/>
    </row>
    <row r="56" spans="3:42" ht="24">
      <c r="C56" s="209"/>
      <c r="H56" s="71"/>
    </row>
    <row r="57" spans="3:42">
      <c r="H57" s="71"/>
    </row>
    <row r="58" spans="3:42" ht="24">
      <c r="C58" s="209"/>
      <c r="H58" s="71"/>
    </row>
    <row r="59" spans="3:42" ht="24">
      <c r="C59" s="209"/>
      <c r="H59" s="71"/>
    </row>
    <row r="60" spans="3:42">
      <c r="H60" s="71"/>
    </row>
    <row r="61" spans="3:42">
      <c r="H61" s="71"/>
    </row>
    <row r="62" spans="3:42">
      <c r="H62" s="71"/>
    </row>
    <row r="63" spans="3:42">
      <c r="H63" s="71"/>
    </row>
    <row r="64" spans="3:42">
      <c r="H64" s="71"/>
    </row>
    <row r="65" spans="8:8">
      <c r="H65" s="71"/>
    </row>
    <row r="66" spans="8:8">
      <c r="H66" s="71"/>
    </row>
    <row r="67" spans="8:8">
      <c r="H67" s="71"/>
    </row>
    <row r="68" spans="8:8">
      <c r="H68" s="71"/>
    </row>
    <row r="69" spans="8:8">
      <c r="H69" s="71"/>
    </row>
    <row r="70" spans="8:8">
      <c r="H70" s="71"/>
    </row>
    <row r="71" spans="8:8">
      <c r="H71" s="71"/>
    </row>
    <row r="72" spans="8:8">
      <c r="H72" s="71"/>
    </row>
    <row r="73" spans="8:8">
      <c r="H73" s="71"/>
    </row>
    <row r="74" spans="8:8">
      <c r="H74" s="71"/>
    </row>
    <row r="75" spans="8:8">
      <c r="H75" s="71"/>
    </row>
    <row r="76" spans="8:8">
      <c r="H76" s="71"/>
    </row>
    <row r="77" spans="8:8">
      <c r="H77" s="71"/>
    </row>
    <row r="78" spans="8:8">
      <c r="H78" s="71"/>
    </row>
    <row r="79" spans="8:8">
      <c r="H79" s="71"/>
    </row>
    <row r="80" spans="8:8">
      <c r="H80" s="71"/>
    </row>
    <row r="81" spans="8:8">
      <c r="H81" s="71"/>
    </row>
    <row r="82" spans="8:8">
      <c r="H82" s="71"/>
    </row>
    <row r="83" spans="8:8">
      <c r="H83" s="71"/>
    </row>
    <row r="84" spans="8:8">
      <c r="H84" s="71"/>
    </row>
    <row r="85" spans="8:8">
      <c r="H85" s="71"/>
    </row>
    <row r="86" spans="8:8">
      <c r="H86" s="71"/>
    </row>
    <row r="87" spans="8:8">
      <c r="H87" s="71"/>
    </row>
    <row r="88" spans="8:8">
      <c r="H88" s="71"/>
    </row>
    <row r="89" spans="8:8">
      <c r="H89" s="71"/>
    </row>
    <row r="90" spans="8:8">
      <c r="H90" s="71"/>
    </row>
    <row r="91" spans="8:8">
      <c r="H91" s="71"/>
    </row>
    <row r="92" spans="8:8">
      <c r="H92" s="71"/>
    </row>
    <row r="93" spans="8:8">
      <c r="H93" s="71"/>
    </row>
    <row r="94" spans="8:8">
      <c r="H94" s="71"/>
    </row>
    <row r="95" spans="8:8">
      <c r="H95" s="71"/>
    </row>
    <row r="96" spans="8:8">
      <c r="H96" s="71"/>
    </row>
    <row r="97" spans="8:8">
      <c r="H97" s="71"/>
    </row>
    <row r="98" spans="8:8">
      <c r="H98" s="71"/>
    </row>
    <row r="99" spans="8:8">
      <c r="H99" s="71"/>
    </row>
    <row r="100" spans="8:8">
      <c r="H100" s="71"/>
    </row>
    <row r="101" spans="8:8">
      <c r="H101" s="71"/>
    </row>
    <row r="102" spans="8:8">
      <c r="H102" s="71"/>
    </row>
    <row r="103" spans="8:8">
      <c r="H103" s="71"/>
    </row>
    <row r="104" spans="8:8">
      <c r="H104" s="71"/>
    </row>
    <row r="105" spans="8:8">
      <c r="H105" s="71"/>
    </row>
    <row r="106" spans="8:8">
      <c r="H106" s="71"/>
    </row>
    <row r="107" spans="8:8">
      <c r="H107" s="71"/>
    </row>
    <row r="108" spans="8:8">
      <c r="H108" s="71"/>
    </row>
    <row r="109" spans="8:8">
      <c r="H109" s="71"/>
    </row>
    <row r="110" spans="8:8">
      <c r="H110" s="71"/>
    </row>
    <row r="111" spans="8:8">
      <c r="H111" s="71"/>
    </row>
    <row r="112" spans="8:8">
      <c r="H112" s="71"/>
    </row>
    <row r="113" spans="8:8">
      <c r="H113" s="71"/>
    </row>
    <row r="114" spans="8:8">
      <c r="H114" s="71"/>
    </row>
    <row r="115" spans="8:8">
      <c r="H115" s="71"/>
    </row>
    <row r="116" spans="8:8">
      <c r="H116" s="71"/>
    </row>
    <row r="117" spans="8:8">
      <c r="H117" s="71"/>
    </row>
    <row r="118" spans="8:8">
      <c r="H118" s="71"/>
    </row>
    <row r="119" spans="8:8">
      <c r="H119" s="71"/>
    </row>
    <row r="120" spans="8:8">
      <c r="H120" s="71"/>
    </row>
    <row r="121" spans="8:8">
      <c r="H121" s="71"/>
    </row>
    <row r="122" spans="8:8">
      <c r="H122" s="71"/>
    </row>
    <row r="123" spans="8:8">
      <c r="H123" s="71"/>
    </row>
    <row r="124" spans="8:8">
      <c r="H124" s="71"/>
    </row>
    <row r="125" spans="8:8">
      <c r="H125" s="71"/>
    </row>
    <row r="126" spans="8:8">
      <c r="H126" s="71"/>
    </row>
    <row r="127" spans="8:8">
      <c r="H127" s="71"/>
    </row>
    <row r="128" spans="8:8">
      <c r="H128" s="71"/>
    </row>
    <row r="129" spans="8:8">
      <c r="H129" s="71"/>
    </row>
    <row r="130" spans="8:8">
      <c r="H130" s="71"/>
    </row>
    <row r="131" spans="8:8">
      <c r="H131" s="71"/>
    </row>
    <row r="132" spans="8:8">
      <c r="H132" s="71"/>
    </row>
    <row r="133" spans="8:8">
      <c r="H133" s="71"/>
    </row>
    <row r="134" spans="8:8">
      <c r="H134" s="71"/>
    </row>
    <row r="135" spans="8:8">
      <c r="H135" s="71"/>
    </row>
    <row r="136" spans="8:8">
      <c r="H136" s="71"/>
    </row>
    <row r="137" spans="8:8">
      <c r="H137" s="71"/>
    </row>
    <row r="138" spans="8:8">
      <c r="H138" s="71"/>
    </row>
    <row r="139" spans="8:8">
      <c r="H139" s="71"/>
    </row>
    <row r="140" spans="8:8">
      <c r="H140" s="71"/>
    </row>
    <row r="141" spans="8:8">
      <c r="H141" s="71"/>
    </row>
    <row r="142" spans="8:8">
      <c r="H142" s="71"/>
    </row>
    <row r="143" spans="8:8">
      <c r="H143" s="71"/>
    </row>
    <row r="144" spans="8:8">
      <c r="H144" s="71"/>
    </row>
    <row r="145" spans="8:8">
      <c r="H145" s="71"/>
    </row>
    <row r="146" spans="8:8">
      <c r="H146" s="71"/>
    </row>
    <row r="147" spans="8:8">
      <c r="H147" s="71"/>
    </row>
    <row r="148" spans="8:8">
      <c r="H148" s="71"/>
    </row>
    <row r="149" spans="8:8">
      <c r="H149" s="71"/>
    </row>
    <row r="150" spans="8:8">
      <c r="H150" s="71"/>
    </row>
    <row r="151" spans="8:8">
      <c r="H151" s="71"/>
    </row>
    <row r="152" spans="8:8">
      <c r="H152" s="71"/>
    </row>
    <row r="153" spans="8:8">
      <c r="H153" s="71"/>
    </row>
    <row r="154" spans="8:8">
      <c r="H154" s="71"/>
    </row>
    <row r="155" spans="8:8">
      <c r="H155" s="71"/>
    </row>
    <row r="156" spans="8:8">
      <c r="H156" s="71"/>
    </row>
    <row r="157" spans="8:8">
      <c r="H157" s="71"/>
    </row>
    <row r="158" spans="8:8">
      <c r="H158" s="71"/>
    </row>
    <row r="159" spans="8:8">
      <c r="H159" s="71"/>
    </row>
    <row r="160" spans="8:8">
      <c r="H160" s="71"/>
    </row>
    <row r="161" spans="8:8">
      <c r="H161" s="71"/>
    </row>
    <row r="162" spans="8:8">
      <c r="H162" s="71"/>
    </row>
    <row r="163" spans="8:8">
      <c r="H163" s="71"/>
    </row>
    <row r="164" spans="8:8">
      <c r="H164" s="71"/>
    </row>
    <row r="165" spans="8:8">
      <c r="H165" s="71"/>
    </row>
    <row r="166" spans="8:8">
      <c r="H166" s="71"/>
    </row>
    <row r="167" spans="8:8">
      <c r="H167" s="71"/>
    </row>
    <row r="168" spans="8:8">
      <c r="H168" s="71"/>
    </row>
    <row r="169" spans="8:8">
      <c r="H169" s="71"/>
    </row>
    <row r="170" spans="8:8">
      <c r="H170" s="71"/>
    </row>
    <row r="171" spans="8:8">
      <c r="H171" s="71"/>
    </row>
    <row r="172" spans="8:8">
      <c r="H172" s="71"/>
    </row>
    <row r="173" spans="8:8">
      <c r="H173" s="71"/>
    </row>
    <row r="174" spans="8:8">
      <c r="H174" s="71"/>
    </row>
    <row r="175" spans="8:8">
      <c r="H175" s="71"/>
    </row>
    <row r="176" spans="8:8">
      <c r="H176" s="71"/>
    </row>
    <row r="177" spans="8:8">
      <c r="H177" s="71"/>
    </row>
    <row r="178" spans="8:8">
      <c r="H178" s="71"/>
    </row>
    <row r="179" spans="8:8">
      <c r="H179" s="71"/>
    </row>
    <row r="180" spans="8:8">
      <c r="H180" s="71"/>
    </row>
    <row r="181" spans="8:8">
      <c r="H181" s="71"/>
    </row>
    <row r="182" spans="8:8">
      <c r="H182" s="71"/>
    </row>
    <row r="183" spans="8:8">
      <c r="H183" s="71"/>
    </row>
    <row r="184" spans="8:8">
      <c r="H184" s="71"/>
    </row>
    <row r="185" spans="8:8">
      <c r="H185" s="71"/>
    </row>
    <row r="186" spans="8:8">
      <c r="H186" s="71"/>
    </row>
    <row r="187" spans="8:8">
      <c r="H187" s="71"/>
    </row>
    <row r="188" spans="8:8">
      <c r="H188" s="71"/>
    </row>
    <row r="189" spans="8:8">
      <c r="H189" s="71"/>
    </row>
    <row r="190" spans="8:8">
      <c r="H190" s="71"/>
    </row>
    <row r="191" spans="8:8">
      <c r="H191" s="71"/>
    </row>
    <row r="192" spans="8:8">
      <c r="H192" s="71"/>
    </row>
    <row r="193" spans="8:8">
      <c r="H193" s="71"/>
    </row>
    <row r="194" spans="8:8">
      <c r="H194" s="71"/>
    </row>
    <row r="195" spans="8:8">
      <c r="H195" s="71"/>
    </row>
    <row r="196" spans="8:8">
      <c r="H196" s="71"/>
    </row>
    <row r="197" spans="8:8" ht="20" customHeight="1">
      <c r="H197" s="71"/>
    </row>
    <row r="198" spans="8:8" ht="20" customHeight="1">
      <c r="H198" s="71"/>
    </row>
    <row r="199" spans="8:8" ht="20" customHeight="1">
      <c r="H199" s="71"/>
    </row>
    <row r="200" spans="8:8">
      <c r="H200" s="71"/>
    </row>
    <row r="201" spans="8:8" ht="20" customHeight="1">
      <c r="H201" s="71"/>
    </row>
    <row r="202" spans="8:8" ht="20" customHeight="1">
      <c r="H202" s="71"/>
    </row>
    <row r="203" spans="8:8" ht="20" customHeight="1">
      <c r="H203" s="71"/>
    </row>
    <row r="204" spans="8:8" ht="20" customHeight="1">
      <c r="H204" s="71"/>
    </row>
    <row r="205" spans="8:8" ht="20" customHeight="1">
      <c r="H205" s="71"/>
    </row>
    <row r="206" spans="8:8" ht="20" customHeight="1">
      <c r="H206" s="71"/>
    </row>
    <row r="207" spans="8:8" ht="20" customHeight="1">
      <c r="H207" s="71"/>
    </row>
    <row r="208" spans="8:8" ht="20" customHeight="1">
      <c r="H208" s="71"/>
    </row>
    <row r="209" spans="8:8" ht="20" customHeight="1">
      <c r="H209" s="71"/>
    </row>
    <row r="210" spans="8:8" ht="10" customHeight="1">
      <c r="H210" s="71"/>
    </row>
    <row r="211" spans="8:8" ht="20" customHeight="1">
      <c r="H211" s="71"/>
    </row>
    <row r="212" spans="8:8" ht="10" customHeight="1">
      <c r="H212" s="71"/>
    </row>
    <row r="213" spans="8:8" ht="20" customHeight="1">
      <c r="H213" s="71"/>
    </row>
    <row r="214" spans="8:8" ht="20" customHeight="1">
      <c r="H214" s="71"/>
    </row>
    <row r="215" spans="8:8" ht="20" customHeight="1">
      <c r="H215" s="71"/>
    </row>
    <row r="216" spans="8:8" ht="20" customHeight="1">
      <c r="H216" s="71"/>
    </row>
    <row r="217" spans="8:8" ht="10" customHeight="1">
      <c r="H217" s="71"/>
    </row>
    <row r="218" spans="8:8" ht="20" customHeight="1">
      <c r="H218" s="71"/>
    </row>
    <row r="219" spans="8:8" ht="10" customHeight="1">
      <c r="H219" s="71"/>
    </row>
    <row r="220" spans="8:8" ht="20" customHeight="1">
      <c r="H220" s="71"/>
    </row>
    <row r="221" spans="8:8" ht="10" customHeight="1">
      <c r="H221" s="71"/>
    </row>
    <row r="222" spans="8:8" ht="20" customHeight="1">
      <c r="H222" s="71"/>
    </row>
    <row r="223" spans="8:8" ht="20" customHeight="1">
      <c r="H223" s="71"/>
    </row>
    <row r="224" spans="8:8" ht="20" customHeight="1">
      <c r="H224" s="71"/>
    </row>
    <row r="225" spans="8:8" ht="20" customHeight="1">
      <c r="H225" s="71"/>
    </row>
    <row r="226" spans="8:8" ht="20" customHeight="1">
      <c r="H226" s="71"/>
    </row>
    <row r="227" spans="8:8" ht="20" customHeight="1">
      <c r="H227" s="71"/>
    </row>
    <row r="228" spans="8:8" ht="20" customHeight="1">
      <c r="H228" s="71"/>
    </row>
    <row r="229" spans="8:8" ht="20" customHeight="1">
      <c r="H229" s="71"/>
    </row>
    <row r="230" spans="8:8" ht="20" customHeight="1">
      <c r="H230" s="71"/>
    </row>
    <row r="231" spans="8:8" ht="10" customHeight="1">
      <c r="H231" s="71"/>
    </row>
    <row r="232" spans="8:8" ht="20" customHeight="1">
      <c r="H232" s="71"/>
    </row>
    <row r="233" spans="8:8" ht="10" customHeight="1">
      <c r="H233" s="71"/>
    </row>
    <row r="234" spans="8:8" ht="20" customHeight="1">
      <c r="H234" s="71"/>
    </row>
    <row r="235" spans="8:8" ht="20" customHeight="1">
      <c r="H235" s="71"/>
    </row>
    <row r="236" spans="8:8" ht="10" customHeight="1">
      <c r="H236" s="71"/>
    </row>
    <row r="237" spans="8:8" ht="20" customHeight="1">
      <c r="H237" s="71"/>
    </row>
    <row r="238" spans="8:8" ht="10" customHeight="1">
      <c r="H238" s="71"/>
    </row>
    <row r="239" spans="8:8" ht="20" customHeight="1">
      <c r="H239" s="71"/>
    </row>
    <row r="240" spans="8:8" ht="10" customHeight="1">
      <c r="H240" s="71"/>
    </row>
    <row r="241" spans="8:8" ht="20" customHeight="1">
      <c r="H241" s="71"/>
    </row>
    <row r="242" spans="8:8" ht="20" customHeight="1">
      <c r="H242" s="71"/>
    </row>
    <row r="243" spans="8:8" ht="20" customHeight="1">
      <c r="H243" s="71"/>
    </row>
    <row r="244" spans="8:8">
      <c r="H244" s="71"/>
    </row>
    <row r="245" spans="8:8">
      <c r="H245" s="71"/>
    </row>
  </sheetData>
  <mergeCells count="10">
    <mergeCell ref="T14:T16"/>
    <mergeCell ref="L43:M43"/>
    <mergeCell ref="E4:K4"/>
    <mergeCell ref="H6:I9"/>
    <mergeCell ref="K10:S12"/>
    <mergeCell ref="K14:K16"/>
    <mergeCell ref="M14:M16"/>
    <mergeCell ref="O14:O16"/>
    <mergeCell ref="Q14:Q16"/>
    <mergeCell ref="S14:S16"/>
  </mergeCells>
  <hyperlinks>
    <hyperlink ref="E4:K4" r:id="rId1" display=" S — Le Druide inc. (le solutionnaire)" xr:uid="{C3390C80-670C-D844-BD3F-0D7F99B0403A}"/>
  </hyperlinks>
  <pageMargins left="0.75000000000000011" right="0.75000000000000011" top="1" bottom="1" header="0.49" footer="0.49"/>
  <pageSetup paperSize="5" orientation="landscape"/>
  <headerFooter>
    <oddFooter>&amp;C&amp;K000000Budget et indicateurs de performance (430-763-Me)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Analyse</vt:lpstr>
      <vt:lpstr>État des Résultats</vt:lpstr>
      <vt:lpstr>'État des Résultats'!Zone_d_impression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Latour</dc:creator>
  <cp:lastModifiedBy>Christian Latour</cp:lastModifiedBy>
  <dcterms:created xsi:type="dcterms:W3CDTF">2016-09-24T15:28:22Z</dcterms:created>
  <dcterms:modified xsi:type="dcterms:W3CDTF">2024-04-28T21:21:32Z</dcterms:modified>
</cp:coreProperties>
</file>