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workbookPr/>
  <mc:AlternateContent xmlns:mc="http://schemas.openxmlformats.org/markup-compatibility/2006">
    <mc:Choice Requires="x15">
      <x15ac:absPath xmlns:x15ac="http://schemas.microsoft.com/office/spreadsheetml/2010/11/ac" url="/Users/christianlatour/Library/Mobile Documents/com~apple~CloudDocs/COURS MÉRICI/Hiver 2022/Finance gaganante (430-853-ME)/Les Multiples Plaisirs Gourmands/Facturation et encaissement/"/>
    </mc:Choice>
  </mc:AlternateContent>
  <xr:revisionPtr revIDLastSave="0" documentId="8_{6B083C99-9D17-3346-BB09-CBF206E0982B}" xr6:coauthVersionLast="47" xr6:coauthVersionMax="47" xr10:uidLastSave="{00000000-0000-0000-0000-000000000000}"/>
  <bookViews>
    <workbookView xWindow="0" yWindow="500" windowWidth="51200" windowHeight="21840" activeTab="1" xr2:uid="{00000000-000D-0000-FFFF-FFFF00000000}"/>
  </bookViews>
  <sheets>
    <sheet name="À faire" sheetId="3" r:id="rId1"/>
    <sheet name="Factures" sheetId="6" r:id="rId2"/>
    <sheet name="Calcul CmO et PmO" sheetId="7" r:id="rId3"/>
  </sheets>
  <definedNames>
    <definedName name="image1">#REF!</definedName>
    <definedName name="_xlnm.Print_Area" localSheetId="0">#N/A</definedName>
    <definedName name="_xlnm.Print_Area" localSheetId="1">#N/A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1" i="6" l="1"/>
  <c r="E40" i="6"/>
  <c r="AF8" i="6"/>
  <c r="AF9" i="6"/>
  <c r="E37" i="6"/>
  <c r="E45" i="6" s="1"/>
  <c r="AF7" i="6"/>
  <c r="AF6" i="6"/>
  <c r="AD9" i="6"/>
  <c r="AD7" i="6"/>
  <c r="AD6" i="6"/>
  <c r="AB9" i="6"/>
  <c r="AB8" i="6"/>
  <c r="AB7" i="6"/>
  <c r="AB6" i="6"/>
  <c r="Y8" i="6"/>
  <c r="Y7" i="6"/>
  <c r="Y6" i="6"/>
  <c r="W9" i="6"/>
  <c r="W8" i="6"/>
  <c r="W7" i="6"/>
  <c r="W6" i="6"/>
  <c r="U9" i="6"/>
  <c r="U8" i="6"/>
  <c r="U7" i="6"/>
  <c r="U6" i="6"/>
  <c r="S9" i="6"/>
  <c r="S8" i="6"/>
  <c r="S7" i="6"/>
  <c r="S6" i="6"/>
  <c r="Q9" i="6"/>
  <c r="Q7" i="6"/>
  <c r="Q6" i="6"/>
  <c r="O9" i="6"/>
  <c r="O8" i="6"/>
  <c r="O7" i="6"/>
  <c r="O6" i="6"/>
  <c r="M8" i="6"/>
  <c r="M7" i="6"/>
  <c r="M6" i="6"/>
  <c r="K9" i="6"/>
  <c r="K8" i="6"/>
  <c r="K7" i="6"/>
  <c r="K6" i="6"/>
  <c r="I9" i="6"/>
  <c r="I8" i="6"/>
  <c r="I7" i="6"/>
  <c r="I6" i="6"/>
  <c r="E39" i="6"/>
  <c r="E47" i="6"/>
  <c r="E36" i="6"/>
  <c r="E44" i="6" s="1"/>
  <c r="J550" i="7"/>
  <c r="J543" i="7"/>
  <c r="J540" i="7"/>
  <c r="J535" i="7"/>
  <c r="J528" i="7"/>
  <c r="J525" i="7"/>
  <c r="J507" i="7"/>
  <c r="J500" i="7"/>
  <c r="J497" i="7"/>
  <c r="J492" i="7"/>
  <c r="J485" i="7"/>
  <c r="J482" i="7"/>
  <c r="J464" i="7"/>
  <c r="J457" i="7"/>
  <c r="J454" i="7"/>
  <c r="J449" i="7"/>
  <c r="J442" i="7"/>
  <c r="J439" i="7"/>
  <c r="J421" i="7"/>
  <c r="J414" i="7"/>
  <c r="J411" i="7"/>
  <c r="J406" i="7"/>
  <c r="J399" i="7"/>
  <c r="J396" i="7"/>
  <c r="J378" i="7"/>
  <c r="J371" i="7"/>
  <c r="J368" i="7"/>
  <c r="J363" i="7"/>
  <c r="J356" i="7"/>
  <c r="J353" i="7"/>
  <c r="J335" i="7"/>
  <c r="J328" i="7"/>
  <c r="J325" i="7"/>
  <c r="J320" i="7"/>
  <c r="J313" i="7"/>
  <c r="J310" i="7"/>
  <c r="J292" i="7"/>
  <c r="J285" i="7"/>
  <c r="J282" i="7"/>
  <c r="J277" i="7"/>
  <c r="J270" i="7"/>
  <c r="J267" i="7"/>
  <c r="J249" i="7"/>
  <c r="J242" i="7"/>
  <c r="J239" i="7"/>
  <c r="J234" i="7"/>
  <c r="J227" i="7"/>
  <c r="J224" i="7"/>
  <c r="F224" i="7"/>
  <c r="J206" i="7"/>
  <c r="J199" i="7"/>
  <c r="J196" i="7"/>
  <c r="J191" i="7"/>
  <c r="J184" i="7"/>
  <c r="J181" i="7"/>
  <c r="I181" i="7"/>
  <c r="I183" i="7" s="1"/>
  <c r="I190" i="7" s="1"/>
  <c r="I191" i="7" s="1"/>
  <c r="F181" i="7"/>
  <c r="J163" i="7"/>
  <c r="J156" i="7"/>
  <c r="J153" i="7"/>
  <c r="J148" i="7"/>
  <c r="I147" i="7"/>
  <c r="I148" i="7" s="1"/>
  <c r="J141" i="7"/>
  <c r="I140" i="7"/>
  <c r="I141" i="7" s="1"/>
  <c r="J138" i="7"/>
  <c r="I138" i="7"/>
  <c r="D126" i="7"/>
  <c r="D169" i="7" s="1"/>
  <c r="D212" i="7" s="1"/>
  <c r="D255" i="7" s="1"/>
  <c r="D298" i="7" s="1"/>
  <c r="D341" i="7" s="1"/>
  <c r="D384" i="7" s="1"/>
  <c r="D427" i="7" s="1"/>
  <c r="D470" i="7" s="1"/>
  <c r="D513" i="7" s="1"/>
  <c r="D556" i="7" s="1"/>
  <c r="H125" i="7"/>
  <c r="H168" i="7" s="1"/>
  <c r="H211" i="7" s="1"/>
  <c r="H254" i="7" s="1"/>
  <c r="H297" i="7" s="1"/>
  <c r="H340" i="7" s="1"/>
  <c r="H383" i="7" s="1"/>
  <c r="H426" i="7" s="1"/>
  <c r="H469" i="7" s="1"/>
  <c r="H512" i="7" s="1"/>
  <c r="H555" i="7" s="1"/>
  <c r="J120" i="7"/>
  <c r="C120" i="7"/>
  <c r="C163" i="7" s="1"/>
  <c r="C206" i="7" s="1"/>
  <c r="C249" i="7" s="1"/>
  <c r="C292" i="7" s="1"/>
  <c r="C335" i="7" s="1"/>
  <c r="C378" i="7" s="1"/>
  <c r="C421" i="7" s="1"/>
  <c r="C464" i="7" s="1"/>
  <c r="C507" i="7" s="1"/>
  <c r="C550" i="7" s="1"/>
  <c r="B117" i="7"/>
  <c r="B160" i="7" s="1"/>
  <c r="B203" i="7" s="1"/>
  <c r="B246" i="7" s="1"/>
  <c r="B289" i="7" s="1"/>
  <c r="B332" i="7" s="1"/>
  <c r="B375" i="7" s="1"/>
  <c r="B418" i="7" s="1"/>
  <c r="B461" i="7" s="1"/>
  <c r="B504" i="7" s="1"/>
  <c r="B547" i="7" s="1"/>
  <c r="C115" i="7"/>
  <c r="C158" i="7" s="1"/>
  <c r="C201" i="7" s="1"/>
  <c r="C244" i="7" s="1"/>
  <c r="C287" i="7" s="1"/>
  <c r="C330" i="7" s="1"/>
  <c r="C373" i="7" s="1"/>
  <c r="C416" i="7" s="1"/>
  <c r="C459" i="7" s="1"/>
  <c r="C502" i="7" s="1"/>
  <c r="C545" i="7" s="1"/>
  <c r="J113" i="7"/>
  <c r="J110" i="7"/>
  <c r="D107" i="7"/>
  <c r="D150" i="7" s="1"/>
  <c r="D193" i="7" s="1"/>
  <c r="D236" i="7" s="1"/>
  <c r="D279" i="7" s="1"/>
  <c r="D322" i="7" s="1"/>
  <c r="D365" i="7" s="1"/>
  <c r="D408" i="7" s="1"/>
  <c r="D451" i="7" s="1"/>
  <c r="D494" i="7" s="1"/>
  <c r="D537" i="7" s="1"/>
  <c r="J105" i="7"/>
  <c r="F105" i="7"/>
  <c r="F148" i="7" s="1"/>
  <c r="C104" i="7"/>
  <c r="C147" i="7" s="1"/>
  <c r="C190" i="7" s="1"/>
  <c r="C233" i="7" s="1"/>
  <c r="C276" i="7" s="1"/>
  <c r="C319" i="7" s="1"/>
  <c r="C362" i="7" s="1"/>
  <c r="C405" i="7" s="1"/>
  <c r="C448" i="7" s="1"/>
  <c r="C491" i="7" s="1"/>
  <c r="C534" i="7" s="1"/>
  <c r="B104" i="7"/>
  <c r="B147" i="7" s="1"/>
  <c r="B190" i="7" s="1"/>
  <c r="B233" i="7" s="1"/>
  <c r="B276" i="7" s="1"/>
  <c r="B319" i="7" s="1"/>
  <c r="B362" i="7" s="1"/>
  <c r="B405" i="7" s="1"/>
  <c r="B448" i="7" s="1"/>
  <c r="B491" i="7" s="1"/>
  <c r="B534" i="7" s="1"/>
  <c r="E102" i="7"/>
  <c r="E145" i="7" s="1"/>
  <c r="E188" i="7" s="1"/>
  <c r="E231" i="7" s="1"/>
  <c r="D102" i="7"/>
  <c r="D145" i="7" s="1"/>
  <c r="D188" i="7" s="1"/>
  <c r="D231" i="7" s="1"/>
  <c r="D274" i="7" s="1"/>
  <c r="D317" i="7" s="1"/>
  <c r="D360" i="7" s="1"/>
  <c r="D403" i="7" s="1"/>
  <c r="D446" i="7" s="1"/>
  <c r="D489" i="7" s="1"/>
  <c r="D532" i="7" s="1"/>
  <c r="F100" i="7"/>
  <c r="F143" i="7" s="1"/>
  <c r="F186" i="7" s="1"/>
  <c r="B99" i="7"/>
  <c r="B142" i="7" s="1"/>
  <c r="B185" i="7" s="1"/>
  <c r="B228" i="7" s="1"/>
  <c r="B271" i="7" s="1"/>
  <c r="B314" i="7" s="1"/>
  <c r="B357" i="7" s="1"/>
  <c r="B400" i="7" s="1"/>
  <c r="B443" i="7" s="1"/>
  <c r="B486" i="7" s="1"/>
  <c r="B529" i="7" s="1"/>
  <c r="J98" i="7"/>
  <c r="F97" i="7"/>
  <c r="F140" i="7" s="1"/>
  <c r="F183" i="7" s="1"/>
  <c r="B96" i="7"/>
  <c r="B139" i="7" s="1"/>
  <c r="B182" i="7" s="1"/>
  <c r="B225" i="7" s="1"/>
  <c r="B268" i="7" s="1"/>
  <c r="B311" i="7" s="1"/>
  <c r="B354" i="7" s="1"/>
  <c r="B397" i="7" s="1"/>
  <c r="B440" i="7" s="1"/>
  <c r="B483" i="7" s="1"/>
  <c r="B526" i="7" s="1"/>
  <c r="J95" i="7"/>
  <c r="G90" i="7"/>
  <c r="G133" i="7" s="1"/>
  <c r="G176" i="7" s="1"/>
  <c r="G219" i="7" s="1"/>
  <c r="G262" i="7" s="1"/>
  <c r="G305" i="7" s="1"/>
  <c r="G348" i="7" s="1"/>
  <c r="G391" i="7" s="1"/>
  <c r="G434" i="7" s="1"/>
  <c r="G477" i="7" s="1"/>
  <c r="G520" i="7" s="1"/>
  <c r="F90" i="7"/>
  <c r="F133" i="7" s="1"/>
  <c r="F176" i="7" s="1"/>
  <c r="F219" i="7" s="1"/>
  <c r="F262" i="7" s="1"/>
  <c r="F305" i="7" s="1"/>
  <c r="F348" i="7" s="1"/>
  <c r="F391" i="7" s="1"/>
  <c r="F434" i="7" s="1"/>
  <c r="F477" i="7" s="1"/>
  <c r="F520" i="7" s="1"/>
  <c r="D84" i="7"/>
  <c r="D127" i="7" s="1"/>
  <c r="D170" i="7" s="1"/>
  <c r="D213" i="7" s="1"/>
  <c r="D256" i="7" s="1"/>
  <c r="D299" i="7" s="1"/>
  <c r="D342" i="7" s="1"/>
  <c r="D385" i="7" s="1"/>
  <c r="D428" i="7" s="1"/>
  <c r="D471" i="7" s="1"/>
  <c r="D514" i="7" s="1"/>
  <c r="D557" i="7" s="1"/>
  <c r="D83" i="7"/>
  <c r="H82" i="7"/>
  <c r="G82" i="7"/>
  <c r="G125" i="7" s="1"/>
  <c r="G168" i="7" s="1"/>
  <c r="G211" i="7" s="1"/>
  <c r="G254" i="7" s="1"/>
  <c r="G297" i="7" s="1"/>
  <c r="G340" i="7" s="1"/>
  <c r="G383" i="7" s="1"/>
  <c r="G426" i="7" s="1"/>
  <c r="G469" i="7" s="1"/>
  <c r="G512" i="7" s="1"/>
  <c r="G555" i="7" s="1"/>
  <c r="F82" i="7"/>
  <c r="F125" i="7" s="1"/>
  <c r="F168" i="7" s="1"/>
  <c r="F211" i="7" s="1"/>
  <c r="F254" i="7" s="1"/>
  <c r="F297" i="7" s="1"/>
  <c r="F340" i="7" s="1"/>
  <c r="F383" i="7" s="1"/>
  <c r="F426" i="7" s="1"/>
  <c r="F469" i="7" s="1"/>
  <c r="F512" i="7" s="1"/>
  <c r="F555" i="7" s="1"/>
  <c r="E82" i="7"/>
  <c r="E125" i="7" s="1"/>
  <c r="E168" i="7" s="1"/>
  <c r="E211" i="7" s="1"/>
  <c r="E254" i="7" s="1"/>
  <c r="E297" i="7" s="1"/>
  <c r="E340" i="7" s="1"/>
  <c r="E383" i="7" s="1"/>
  <c r="E426" i="7" s="1"/>
  <c r="E469" i="7" s="1"/>
  <c r="E512" i="7" s="1"/>
  <c r="E555" i="7" s="1"/>
  <c r="D79" i="7"/>
  <c r="D122" i="7" s="1"/>
  <c r="D165" i="7" s="1"/>
  <c r="D208" i="7" s="1"/>
  <c r="D251" i="7" s="1"/>
  <c r="D294" i="7" s="1"/>
  <c r="D337" i="7" s="1"/>
  <c r="D380" i="7" s="1"/>
  <c r="D423" i="7" s="1"/>
  <c r="D466" i="7" s="1"/>
  <c r="D509" i="7" s="1"/>
  <c r="D552" i="7" s="1"/>
  <c r="D78" i="7"/>
  <c r="D121" i="7" s="1"/>
  <c r="D164" i="7" s="1"/>
  <c r="D207" i="7" s="1"/>
  <c r="D250" i="7" s="1"/>
  <c r="D293" i="7" s="1"/>
  <c r="D336" i="7" s="1"/>
  <c r="D379" i="7" s="1"/>
  <c r="D422" i="7" s="1"/>
  <c r="D465" i="7" s="1"/>
  <c r="D508" i="7" s="1"/>
  <c r="D551" i="7" s="1"/>
  <c r="C78" i="7"/>
  <c r="C121" i="7" s="1"/>
  <c r="B78" i="7"/>
  <c r="B121" i="7" s="1"/>
  <c r="B164" i="7" s="1"/>
  <c r="B207" i="7" s="1"/>
  <c r="B250" i="7" s="1"/>
  <c r="B293" i="7" s="1"/>
  <c r="B336" i="7" s="1"/>
  <c r="B379" i="7" s="1"/>
  <c r="B422" i="7" s="1"/>
  <c r="B465" i="7" s="1"/>
  <c r="B508" i="7" s="1"/>
  <c r="B551" i="7" s="1"/>
  <c r="J77" i="7"/>
  <c r="D77" i="7"/>
  <c r="D120" i="7" s="1"/>
  <c r="D163" i="7" s="1"/>
  <c r="D206" i="7" s="1"/>
  <c r="D249" i="7" s="1"/>
  <c r="D292" i="7" s="1"/>
  <c r="D335" i="7" s="1"/>
  <c r="D378" i="7" s="1"/>
  <c r="D421" i="7" s="1"/>
  <c r="D464" i="7" s="1"/>
  <c r="D507" i="7" s="1"/>
  <c r="D550" i="7" s="1"/>
  <c r="C77" i="7"/>
  <c r="B77" i="7"/>
  <c r="B120" i="7" s="1"/>
  <c r="B163" i="7" s="1"/>
  <c r="B206" i="7" s="1"/>
  <c r="B249" i="7" s="1"/>
  <c r="B292" i="7" s="1"/>
  <c r="B335" i="7" s="1"/>
  <c r="B378" i="7" s="1"/>
  <c r="B421" i="7" s="1"/>
  <c r="B464" i="7" s="1"/>
  <c r="B507" i="7" s="1"/>
  <c r="B550" i="7" s="1"/>
  <c r="F76" i="7"/>
  <c r="F119" i="7" s="1"/>
  <c r="D76" i="7"/>
  <c r="D119" i="7" s="1"/>
  <c r="D162" i="7" s="1"/>
  <c r="D205" i="7" s="1"/>
  <c r="D248" i="7" s="1"/>
  <c r="D291" i="7" s="1"/>
  <c r="D334" i="7" s="1"/>
  <c r="D377" i="7" s="1"/>
  <c r="D420" i="7" s="1"/>
  <c r="D463" i="7" s="1"/>
  <c r="D506" i="7" s="1"/>
  <c r="D549" i="7" s="1"/>
  <c r="C76" i="7"/>
  <c r="C119" i="7" s="1"/>
  <c r="C162" i="7" s="1"/>
  <c r="C205" i="7" s="1"/>
  <c r="C248" i="7" s="1"/>
  <c r="C291" i="7" s="1"/>
  <c r="C334" i="7" s="1"/>
  <c r="C377" i="7" s="1"/>
  <c r="C420" i="7" s="1"/>
  <c r="C463" i="7" s="1"/>
  <c r="C506" i="7" s="1"/>
  <c r="C549" i="7" s="1"/>
  <c r="B76" i="7"/>
  <c r="B119" i="7" s="1"/>
  <c r="B162" i="7" s="1"/>
  <c r="B205" i="7" s="1"/>
  <c r="B248" i="7" s="1"/>
  <c r="B291" i="7" s="1"/>
  <c r="B334" i="7" s="1"/>
  <c r="B377" i="7" s="1"/>
  <c r="B420" i="7" s="1"/>
  <c r="B463" i="7" s="1"/>
  <c r="B506" i="7" s="1"/>
  <c r="B549" i="7" s="1"/>
  <c r="D75" i="7"/>
  <c r="D118" i="7" s="1"/>
  <c r="D161" i="7" s="1"/>
  <c r="D204" i="7" s="1"/>
  <c r="D247" i="7" s="1"/>
  <c r="D290" i="7" s="1"/>
  <c r="D333" i="7" s="1"/>
  <c r="D376" i="7" s="1"/>
  <c r="D419" i="7" s="1"/>
  <c r="D462" i="7" s="1"/>
  <c r="D505" i="7" s="1"/>
  <c r="D548" i="7" s="1"/>
  <c r="C75" i="7"/>
  <c r="C118" i="7" s="1"/>
  <c r="C161" i="7" s="1"/>
  <c r="C204" i="7" s="1"/>
  <c r="C247" i="7" s="1"/>
  <c r="C290" i="7" s="1"/>
  <c r="C333" i="7" s="1"/>
  <c r="C376" i="7" s="1"/>
  <c r="C419" i="7" s="1"/>
  <c r="C462" i="7" s="1"/>
  <c r="C505" i="7" s="1"/>
  <c r="C548" i="7" s="1"/>
  <c r="B75" i="7"/>
  <c r="B118" i="7" s="1"/>
  <c r="B161" i="7" s="1"/>
  <c r="B204" i="7" s="1"/>
  <c r="B247" i="7" s="1"/>
  <c r="B290" i="7" s="1"/>
  <c r="B333" i="7" s="1"/>
  <c r="B376" i="7" s="1"/>
  <c r="B419" i="7" s="1"/>
  <c r="B462" i="7" s="1"/>
  <c r="B505" i="7" s="1"/>
  <c r="B548" i="7" s="1"/>
  <c r="D74" i="7"/>
  <c r="D117" i="7" s="1"/>
  <c r="D160" i="7" s="1"/>
  <c r="D203" i="7" s="1"/>
  <c r="D246" i="7" s="1"/>
  <c r="D289" i="7" s="1"/>
  <c r="D332" i="7" s="1"/>
  <c r="D375" i="7" s="1"/>
  <c r="D418" i="7" s="1"/>
  <c r="D461" i="7" s="1"/>
  <c r="D504" i="7" s="1"/>
  <c r="D547" i="7" s="1"/>
  <c r="C74" i="7"/>
  <c r="C117" i="7" s="1"/>
  <c r="C160" i="7" s="1"/>
  <c r="C203" i="7" s="1"/>
  <c r="C246" i="7" s="1"/>
  <c r="C289" i="7" s="1"/>
  <c r="C332" i="7" s="1"/>
  <c r="C375" i="7" s="1"/>
  <c r="C418" i="7" s="1"/>
  <c r="C461" i="7" s="1"/>
  <c r="C504" i="7" s="1"/>
  <c r="C547" i="7" s="1"/>
  <c r="B74" i="7"/>
  <c r="F73" i="7"/>
  <c r="H73" i="7" s="1"/>
  <c r="E73" i="7"/>
  <c r="G73" i="7" s="1"/>
  <c r="D73" i="7"/>
  <c r="D116" i="7" s="1"/>
  <c r="D159" i="7" s="1"/>
  <c r="D202" i="7" s="1"/>
  <c r="D245" i="7" s="1"/>
  <c r="D288" i="7" s="1"/>
  <c r="D331" i="7" s="1"/>
  <c r="D374" i="7" s="1"/>
  <c r="D417" i="7" s="1"/>
  <c r="D460" i="7" s="1"/>
  <c r="D503" i="7" s="1"/>
  <c r="D546" i="7" s="1"/>
  <c r="C73" i="7"/>
  <c r="C116" i="7" s="1"/>
  <c r="C159" i="7" s="1"/>
  <c r="C202" i="7" s="1"/>
  <c r="C245" i="7" s="1"/>
  <c r="C288" i="7" s="1"/>
  <c r="C331" i="7" s="1"/>
  <c r="C374" i="7" s="1"/>
  <c r="C417" i="7" s="1"/>
  <c r="C460" i="7" s="1"/>
  <c r="C503" i="7" s="1"/>
  <c r="C546" i="7" s="1"/>
  <c r="B73" i="7"/>
  <c r="B116" i="7" s="1"/>
  <c r="B159" i="7" s="1"/>
  <c r="B202" i="7" s="1"/>
  <c r="B245" i="7" s="1"/>
  <c r="B288" i="7" s="1"/>
  <c r="B331" i="7" s="1"/>
  <c r="B374" i="7" s="1"/>
  <c r="B417" i="7" s="1"/>
  <c r="B460" i="7" s="1"/>
  <c r="B503" i="7" s="1"/>
  <c r="B546" i="7" s="1"/>
  <c r="D72" i="7"/>
  <c r="D115" i="7" s="1"/>
  <c r="D158" i="7" s="1"/>
  <c r="D201" i="7" s="1"/>
  <c r="D244" i="7" s="1"/>
  <c r="D287" i="7" s="1"/>
  <c r="D330" i="7" s="1"/>
  <c r="D373" i="7" s="1"/>
  <c r="D416" i="7" s="1"/>
  <c r="D459" i="7" s="1"/>
  <c r="D502" i="7" s="1"/>
  <c r="C72" i="7"/>
  <c r="B72" i="7"/>
  <c r="B115" i="7" s="1"/>
  <c r="B158" i="7" s="1"/>
  <c r="B201" i="7" s="1"/>
  <c r="B244" i="7" s="1"/>
  <c r="B287" i="7" s="1"/>
  <c r="B330" i="7" s="1"/>
  <c r="B373" i="7" s="1"/>
  <c r="B416" i="7" s="1"/>
  <c r="B459" i="7" s="1"/>
  <c r="B502" i="7" s="1"/>
  <c r="B545" i="7" s="1"/>
  <c r="F71" i="7"/>
  <c r="F114" i="7" s="1"/>
  <c r="F157" i="7" s="1"/>
  <c r="D71" i="7"/>
  <c r="D114" i="7" s="1"/>
  <c r="D157" i="7" s="1"/>
  <c r="D200" i="7" s="1"/>
  <c r="D243" i="7" s="1"/>
  <c r="D286" i="7" s="1"/>
  <c r="D329" i="7" s="1"/>
  <c r="D372" i="7" s="1"/>
  <c r="D415" i="7" s="1"/>
  <c r="D458" i="7" s="1"/>
  <c r="D501" i="7" s="1"/>
  <c r="D544" i="7" s="1"/>
  <c r="C71" i="7"/>
  <c r="C114" i="7" s="1"/>
  <c r="C157" i="7" s="1"/>
  <c r="C200" i="7" s="1"/>
  <c r="C243" i="7" s="1"/>
  <c r="C286" i="7" s="1"/>
  <c r="C329" i="7" s="1"/>
  <c r="C372" i="7" s="1"/>
  <c r="C415" i="7" s="1"/>
  <c r="C458" i="7" s="1"/>
  <c r="C501" i="7" s="1"/>
  <c r="C544" i="7" s="1"/>
  <c r="B71" i="7"/>
  <c r="B114" i="7" s="1"/>
  <c r="B157" i="7" s="1"/>
  <c r="B200" i="7" s="1"/>
  <c r="B243" i="7" s="1"/>
  <c r="B286" i="7" s="1"/>
  <c r="B329" i="7" s="1"/>
  <c r="B372" i="7" s="1"/>
  <c r="B415" i="7" s="1"/>
  <c r="B458" i="7" s="1"/>
  <c r="B501" i="7" s="1"/>
  <c r="B544" i="7" s="1"/>
  <c r="J70" i="7"/>
  <c r="D70" i="7"/>
  <c r="D113" i="7" s="1"/>
  <c r="D156" i="7" s="1"/>
  <c r="D199" i="7" s="1"/>
  <c r="D242" i="7" s="1"/>
  <c r="D285" i="7" s="1"/>
  <c r="D328" i="7" s="1"/>
  <c r="D371" i="7" s="1"/>
  <c r="D414" i="7" s="1"/>
  <c r="D457" i="7" s="1"/>
  <c r="D500" i="7" s="1"/>
  <c r="D543" i="7" s="1"/>
  <c r="C70" i="7"/>
  <c r="C113" i="7" s="1"/>
  <c r="C156" i="7" s="1"/>
  <c r="C199" i="7" s="1"/>
  <c r="C242" i="7" s="1"/>
  <c r="C285" i="7" s="1"/>
  <c r="C328" i="7" s="1"/>
  <c r="C371" i="7" s="1"/>
  <c r="C414" i="7" s="1"/>
  <c r="C457" i="7" s="1"/>
  <c r="C500" i="7" s="1"/>
  <c r="C543" i="7" s="1"/>
  <c r="B70" i="7"/>
  <c r="B113" i="7" s="1"/>
  <c r="B156" i="7" s="1"/>
  <c r="B199" i="7" s="1"/>
  <c r="B242" i="7" s="1"/>
  <c r="B285" i="7" s="1"/>
  <c r="B328" i="7" s="1"/>
  <c r="B371" i="7" s="1"/>
  <c r="B414" i="7" s="1"/>
  <c r="B457" i="7" s="1"/>
  <c r="B500" i="7" s="1"/>
  <c r="B543" i="7" s="1"/>
  <c r="D69" i="7"/>
  <c r="D112" i="7" s="1"/>
  <c r="D155" i="7" s="1"/>
  <c r="D198" i="7" s="1"/>
  <c r="D241" i="7" s="1"/>
  <c r="D284" i="7" s="1"/>
  <c r="D327" i="7" s="1"/>
  <c r="D370" i="7" s="1"/>
  <c r="D413" i="7" s="1"/>
  <c r="D456" i="7" s="1"/>
  <c r="D499" i="7" s="1"/>
  <c r="D542" i="7" s="1"/>
  <c r="C69" i="7"/>
  <c r="C112" i="7" s="1"/>
  <c r="C155" i="7" s="1"/>
  <c r="C198" i="7" s="1"/>
  <c r="C241" i="7" s="1"/>
  <c r="C284" i="7" s="1"/>
  <c r="C327" i="7" s="1"/>
  <c r="C370" i="7" s="1"/>
  <c r="C413" i="7" s="1"/>
  <c r="C456" i="7" s="1"/>
  <c r="C499" i="7" s="1"/>
  <c r="C542" i="7" s="1"/>
  <c r="B69" i="7"/>
  <c r="B112" i="7" s="1"/>
  <c r="B155" i="7" s="1"/>
  <c r="B198" i="7" s="1"/>
  <c r="B241" i="7" s="1"/>
  <c r="B284" i="7" s="1"/>
  <c r="B327" i="7" s="1"/>
  <c r="B370" i="7" s="1"/>
  <c r="B413" i="7" s="1"/>
  <c r="B456" i="7" s="1"/>
  <c r="B499" i="7" s="1"/>
  <c r="B542" i="7" s="1"/>
  <c r="F68" i="7"/>
  <c r="F111" i="7" s="1"/>
  <c r="H111" i="7" s="1"/>
  <c r="E68" i="7"/>
  <c r="E111" i="7" s="1"/>
  <c r="D68" i="7"/>
  <c r="D111" i="7" s="1"/>
  <c r="D154" i="7" s="1"/>
  <c r="D197" i="7" s="1"/>
  <c r="D240" i="7" s="1"/>
  <c r="D283" i="7" s="1"/>
  <c r="D326" i="7" s="1"/>
  <c r="D369" i="7" s="1"/>
  <c r="D412" i="7" s="1"/>
  <c r="D455" i="7" s="1"/>
  <c r="D498" i="7" s="1"/>
  <c r="D541" i="7" s="1"/>
  <c r="C68" i="7"/>
  <c r="C111" i="7" s="1"/>
  <c r="C154" i="7" s="1"/>
  <c r="C197" i="7" s="1"/>
  <c r="C240" i="7" s="1"/>
  <c r="C283" i="7" s="1"/>
  <c r="C326" i="7" s="1"/>
  <c r="C369" i="7" s="1"/>
  <c r="C412" i="7" s="1"/>
  <c r="C455" i="7" s="1"/>
  <c r="C498" i="7" s="1"/>
  <c r="C541" i="7" s="1"/>
  <c r="B68" i="7"/>
  <c r="B111" i="7" s="1"/>
  <c r="B154" i="7" s="1"/>
  <c r="B197" i="7" s="1"/>
  <c r="B240" i="7" s="1"/>
  <c r="B283" i="7" s="1"/>
  <c r="B326" i="7" s="1"/>
  <c r="B369" i="7" s="1"/>
  <c r="B412" i="7" s="1"/>
  <c r="B455" i="7" s="1"/>
  <c r="B498" i="7" s="1"/>
  <c r="B541" i="7" s="1"/>
  <c r="J67" i="7"/>
  <c r="D67" i="7"/>
  <c r="D110" i="7" s="1"/>
  <c r="D153" i="7" s="1"/>
  <c r="D196" i="7" s="1"/>
  <c r="D239" i="7" s="1"/>
  <c r="D282" i="7" s="1"/>
  <c r="D325" i="7" s="1"/>
  <c r="D368" i="7" s="1"/>
  <c r="D411" i="7" s="1"/>
  <c r="D454" i="7" s="1"/>
  <c r="D497" i="7" s="1"/>
  <c r="D540" i="7" s="1"/>
  <c r="C67" i="7"/>
  <c r="C110" i="7" s="1"/>
  <c r="C153" i="7" s="1"/>
  <c r="C196" i="7" s="1"/>
  <c r="C239" i="7" s="1"/>
  <c r="C282" i="7" s="1"/>
  <c r="C325" i="7" s="1"/>
  <c r="C368" i="7" s="1"/>
  <c r="C411" i="7" s="1"/>
  <c r="C454" i="7" s="1"/>
  <c r="C497" i="7" s="1"/>
  <c r="C540" i="7" s="1"/>
  <c r="B67" i="7"/>
  <c r="B110" i="7" s="1"/>
  <c r="B153" i="7" s="1"/>
  <c r="B196" i="7" s="1"/>
  <c r="B239" i="7" s="1"/>
  <c r="B282" i="7" s="1"/>
  <c r="B325" i="7" s="1"/>
  <c r="B368" i="7" s="1"/>
  <c r="B411" i="7" s="1"/>
  <c r="B454" i="7" s="1"/>
  <c r="B497" i="7" s="1"/>
  <c r="B540" i="7" s="1"/>
  <c r="D66" i="7"/>
  <c r="D109" i="7" s="1"/>
  <c r="D152" i="7" s="1"/>
  <c r="D195" i="7" s="1"/>
  <c r="D238" i="7" s="1"/>
  <c r="D281" i="7" s="1"/>
  <c r="D324" i="7" s="1"/>
  <c r="D367" i="7" s="1"/>
  <c r="D410" i="7" s="1"/>
  <c r="D453" i="7" s="1"/>
  <c r="D496" i="7" s="1"/>
  <c r="D539" i="7" s="1"/>
  <c r="D64" i="7"/>
  <c r="F63" i="7"/>
  <c r="I63" i="7" s="1"/>
  <c r="E63" i="7"/>
  <c r="D63" i="7"/>
  <c r="D106" i="7" s="1"/>
  <c r="D149" i="7" s="1"/>
  <c r="D192" i="7" s="1"/>
  <c r="D235" i="7" s="1"/>
  <c r="D278" i="7" s="1"/>
  <c r="D321" i="7" s="1"/>
  <c r="D364" i="7" s="1"/>
  <c r="D407" i="7" s="1"/>
  <c r="D450" i="7" s="1"/>
  <c r="D493" i="7" s="1"/>
  <c r="D536" i="7" s="1"/>
  <c r="C63" i="7"/>
  <c r="C106" i="7" s="1"/>
  <c r="C149" i="7" s="1"/>
  <c r="B63" i="7"/>
  <c r="B106" i="7" s="1"/>
  <c r="B149" i="7" s="1"/>
  <c r="B192" i="7" s="1"/>
  <c r="B235" i="7" s="1"/>
  <c r="B278" i="7" s="1"/>
  <c r="B321" i="7" s="1"/>
  <c r="B364" i="7" s="1"/>
  <c r="B407" i="7" s="1"/>
  <c r="B450" i="7" s="1"/>
  <c r="B493" i="7" s="1"/>
  <c r="B536" i="7" s="1"/>
  <c r="J62" i="7"/>
  <c r="F62" i="7"/>
  <c r="E62" i="7"/>
  <c r="E105" i="7" s="1"/>
  <c r="D62" i="7"/>
  <c r="D105" i="7" s="1"/>
  <c r="D148" i="7" s="1"/>
  <c r="D191" i="7" s="1"/>
  <c r="D234" i="7" s="1"/>
  <c r="D277" i="7" s="1"/>
  <c r="D320" i="7" s="1"/>
  <c r="D363" i="7" s="1"/>
  <c r="D406" i="7" s="1"/>
  <c r="D449" i="7" s="1"/>
  <c r="D492" i="7" s="1"/>
  <c r="D535" i="7" s="1"/>
  <c r="C62" i="7"/>
  <c r="C105" i="7" s="1"/>
  <c r="C148" i="7" s="1"/>
  <c r="C191" i="7" s="1"/>
  <c r="C234" i="7" s="1"/>
  <c r="C277" i="7" s="1"/>
  <c r="C320" i="7" s="1"/>
  <c r="C363" i="7" s="1"/>
  <c r="C406" i="7" s="1"/>
  <c r="C449" i="7" s="1"/>
  <c r="C492" i="7" s="1"/>
  <c r="C535" i="7" s="1"/>
  <c r="B62" i="7"/>
  <c r="B105" i="7" s="1"/>
  <c r="B148" i="7" s="1"/>
  <c r="B191" i="7" s="1"/>
  <c r="B234" i="7" s="1"/>
  <c r="B277" i="7" s="1"/>
  <c r="B320" i="7" s="1"/>
  <c r="B363" i="7" s="1"/>
  <c r="B406" i="7" s="1"/>
  <c r="B449" i="7" s="1"/>
  <c r="B492" i="7" s="1"/>
  <c r="B535" i="7" s="1"/>
  <c r="H61" i="7"/>
  <c r="G61" i="7"/>
  <c r="F61" i="7"/>
  <c r="E61" i="7"/>
  <c r="D61" i="7"/>
  <c r="D104" i="7" s="1"/>
  <c r="D147" i="7" s="1"/>
  <c r="D190" i="7" s="1"/>
  <c r="D233" i="7" s="1"/>
  <c r="D276" i="7" s="1"/>
  <c r="D319" i="7" s="1"/>
  <c r="D362" i="7" s="1"/>
  <c r="D405" i="7" s="1"/>
  <c r="D448" i="7" s="1"/>
  <c r="D491" i="7" s="1"/>
  <c r="D534" i="7" s="1"/>
  <c r="C61" i="7"/>
  <c r="B61" i="7"/>
  <c r="F60" i="7"/>
  <c r="H60" i="7" s="1"/>
  <c r="E60" i="7"/>
  <c r="E103" i="7" s="1"/>
  <c r="D60" i="7"/>
  <c r="D103" i="7" s="1"/>
  <c r="D146" i="7" s="1"/>
  <c r="D189" i="7" s="1"/>
  <c r="D232" i="7" s="1"/>
  <c r="D275" i="7" s="1"/>
  <c r="D318" i="7" s="1"/>
  <c r="D361" i="7" s="1"/>
  <c r="D404" i="7" s="1"/>
  <c r="D447" i="7" s="1"/>
  <c r="D490" i="7" s="1"/>
  <c r="D533" i="7" s="1"/>
  <c r="C60" i="7"/>
  <c r="C103" i="7" s="1"/>
  <c r="C146" i="7" s="1"/>
  <c r="C189" i="7" s="1"/>
  <c r="C232" i="7" s="1"/>
  <c r="C275" i="7" s="1"/>
  <c r="C318" i="7" s="1"/>
  <c r="C361" i="7" s="1"/>
  <c r="C404" i="7" s="1"/>
  <c r="C447" i="7" s="1"/>
  <c r="C490" i="7" s="1"/>
  <c r="C533" i="7" s="1"/>
  <c r="B60" i="7"/>
  <c r="B103" i="7" s="1"/>
  <c r="B146" i="7" s="1"/>
  <c r="B189" i="7" s="1"/>
  <c r="B232" i="7" s="1"/>
  <c r="B275" i="7" s="1"/>
  <c r="B318" i="7" s="1"/>
  <c r="B361" i="7" s="1"/>
  <c r="B404" i="7" s="1"/>
  <c r="B447" i="7" s="1"/>
  <c r="B490" i="7" s="1"/>
  <c r="B533" i="7" s="1"/>
  <c r="F59" i="7"/>
  <c r="F102" i="7" s="1"/>
  <c r="E59" i="7"/>
  <c r="D59" i="7"/>
  <c r="C59" i="7"/>
  <c r="C102" i="7" s="1"/>
  <c r="C145" i="7" s="1"/>
  <c r="C188" i="7" s="1"/>
  <c r="C231" i="7" s="1"/>
  <c r="C274" i="7" s="1"/>
  <c r="C317" i="7" s="1"/>
  <c r="C360" i="7" s="1"/>
  <c r="C403" i="7" s="1"/>
  <c r="C446" i="7" s="1"/>
  <c r="C489" i="7" s="1"/>
  <c r="C532" i="7" s="1"/>
  <c r="B59" i="7"/>
  <c r="B102" i="7" s="1"/>
  <c r="B145" i="7" s="1"/>
  <c r="B188" i="7" s="1"/>
  <c r="B231" i="7" s="1"/>
  <c r="B274" i="7" s="1"/>
  <c r="B317" i="7" s="1"/>
  <c r="B360" i="7" s="1"/>
  <c r="B403" i="7" s="1"/>
  <c r="B446" i="7" s="1"/>
  <c r="B489" i="7" s="1"/>
  <c r="B532" i="7" s="1"/>
  <c r="H58" i="7"/>
  <c r="G58" i="7"/>
  <c r="F58" i="7"/>
  <c r="F101" i="7" s="1"/>
  <c r="E58" i="7"/>
  <c r="D58" i="7"/>
  <c r="D101" i="7" s="1"/>
  <c r="D144" i="7" s="1"/>
  <c r="D187" i="7" s="1"/>
  <c r="D230" i="7" s="1"/>
  <c r="D273" i="7" s="1"/>
  <c r="D316" i="7" s="1"/>
  <c r="D359" i="7" s="1"/>
  <c r="D402" i="7" s="1"/>
  <c r="D445" i="7" s="1"/>
  <c r="D488" i="7" s="1"/>
  <c r="D531" i="7" s="1"/>
  <c r="C58" i="7"/>
  <c r="C101" i="7" s="1"/>
  <c r="C144" i="7" s="1"/>
  <c r="C187" i="7" s="1"/>
  <c r="C230" i="7" s="1"/>
  <c r="C273" i="7" s="1"/>
  <c r="C316" i="7" s="1"/>
  <c r="C359" i="7" s="1"/>
  <c r="C402" i="7" s="1"/>
  <c r="C445" i="7" s="1"/>
  <c r="C488" i="7" s="1"/>
  <c r="C531" i="7" s="1"/>
  <c r="B58" i="7"/>
  <c r="B101" i="7" s="1"/>
  <c r="B144" i="7" s="1"/>
  <c r="B187" i="7" s="1"/>
  <c r="B230" i="7" s="1"/>
  <c r="B273" i="7" s="1"/>
  <c r="B316" i="7" s="1"/>
  <c r="B359" i="7" s="1"/>
  <c r="B402" i="7" s="1"/>
  <c r="B445" i="7" s="1"/>
  <c r="B488" i="7" s="1"/>
  <c r="B531" i="7" s="1"/>
  <c r="H57" i="7"/>
  <c r="F57" i="7"/>
  <c r="E57" i="7"/>
  <c r="E100" i="7" s="1"/>
  <c r="D57" i="7"/>
  <c r="D100" i="7" s="1"/>
  <c r="D143" i="7" s="1"/>
  <c r="D186" i="7" s="1"/>
  <c r="D229" i="7" s="1"/>
  <c r="D272" i="7" s="1"/>
  <c r="D315" i="7" s="1"/>
  <c r="D358" i="7" s="1"/>
  <c r="D401" i="7" s="1"/>
  <c r="D444" i="7" s="1"/>
  <c r="D487" i="7" s="1"/>
  <c r="D530" i="7" s="1"/>
  <c r="C57" i="7"/>
  <c r="C100" i="7" s="1"/>
  <c r="C143" i="7" s="1"/>
  <c r="C186" i="7" s="1"/>
  <c r="C229" i="7" s="1"/>
  <c r="C272" i="7" s="1"/>
  <c r="C315" i="7" s="1"/>
  <c r="C358" i="7" s="1"/>
  <c r="C401" i="7" s="1"/>
  <c r="C444" i="7" s="1"/>
  <c r="C487" i="7" s="1"/>
  <c r="C530" i="7" s="1"/>
  <c r="B57" i="7"/>
  <c r="B100" i="7" s="1"/>
  <c r="B143" i="7" s="1"/>
  <c r="B186" i="7" s="1"/>
  <c r="B229" i="7" s="1"/>
  <c r="B272" i="7" s="1"/>
  <c r="B315" i="7" s="1"/>
  <c r="B358" i="7" s="1"/>
  <c r="B401" i="7" s="1"/>
  <c r="B444" i="7" s="1"/>
  <c r="B487" i="7" s="1"/>
  <c r="B530" i="7" s="1"/>
  <c r="H56" i="7"/>
  <c r="G56" i="7"/>
  <c r="F56" i="7"/>
  <c r="E56" i="7"/>
  <c r="D56" i="7"/>
  <c r="D99" i="7" s="1"/>
  <c r="D142" i="7" s="1"/>
  <c r="D185" i="7" s="1"/>
  <c r="D228" i="7" s="1"/>
  <c r="D271" i="7" s="1"/>
  <c r="D314" i="7" s="1"/>
  <c r="D357" i="7" s="1"/>
  <c r="D400" i="7" s="1"/>
  <c r="D443" i="7" s="1"/>
  <c r="D486" i="7" s="1"/>
  <c r="D529" i="7" s="1"/>
  <c r="C56" i="7"/>
  <c r="C99" i="7" s="1"/>
  <c r="C142" i="7" s="1"/>
  <c r="C185" i="7" s="1"/>
  <c r="C228" i="7" s="1"/>
  <c r="C271" i="7" s="1"/>
  <c r="C314" i="7" s="1"/>
  <c r="C357" i="7" s="1"/>
  <c r="C400" i="7" s="1"/>
  <c r="C443" i="7" s="1"/>
  <c r="C486" i="7" s="1"/>
  <c r="C529" i="7" s="1"/>
  <c r="B56" i="7"/>
  <c r="J55" i="7"/>
  <c r="F55" i="7"/>
  <c r="G55" i="7" s="1"/>
  <c r="E55" i="7"/>
  <c r="E98" i="7" s="1"/>
  <c r="D55" i="7"/>
  <c r="D98" i="7" s="1"/>
  <c r="D141" i="7" s="1"/>
  <c r="D184" i="7" s="1"/>
  <c r="D227" i="7" s="1"/>
  <c r="D270" i="7" s="1"/>
  <c r="D313" i="7" s="1"/>
  <c r="D356" i="7" s="1"/>
  <c r="D399" i="7" s="1"/>
  <c r="D442" i="7" s="1"/>
  <c r="D485" i="7" s="1"/>
  <c r="D528" i="7" s="1"/>
  <c r="C55" i="7"/>
  <c r="C98" i="7" s="1"/>
  <c r="C141" i="7" s="1"/>
  <c r="C184" i="7" s="1"/>
  <c r="C227" i="7" s="1"/>
  <c r="C270" i="7" s="1"/>
  <c r="C313" i="7" s="1"/>
  <c r="C356" i="7" s="1"/>
  <c r="C399" i="7" s="1"/>
  <c r="C442" i="7" s="1"/>
  <c r="C485" i="7" s="1"/>
  <c r="C528" i="7" s="1"/>
  <c r="B55" i="7"/>
  <c r="B98" i="7" s="1"/>
  <c r="B141" i="7" s="1"/>
  <c r="B184" i="7" s="1"/>
  <c r="B227" i="7" s="1"/>
  <c r="B270" i="7" s="1"/>
  <c r="B313" i="7" s="1"/>
  <c r="B356" i="7" s="1"/>
  <c r="B399" i="7" s="1"/>
  <c r="B442" i="7" s="1"/>
  <c r="B485" i="7" s="1"/>
  <c r="B528" i="7" s="1"/>
  <c r="H54" i="7"/>
  <c r="F54" i="7"/>
  <c r="E54" i="7"/>
  <c r="E97" i="7" s="1"/>
  <c r="D54" i="7"/>
  <c r="D97" i="7" s="1"/>
  <c r="D140" i="7" s="1"/>
  <c r="D183" i="7" s="1"/>
  <c r="D226" i="7" s="1"/>
  <c r="D269" i="7" s="1"/>
  <c r="D312" i="7" s="1"/>
  <c r="D355" i="7" s="1"/>
  <c r="D398" i="7" s="1"/>
  <c r="D441" i="7" s="1"/>
  <c r="D484" i="7" s="1"/>
  <c r="D527" i="7" s="1"/>
  <c r="C54" i="7"/>
  <c r="C97" i="7" s="1"/>
  <c r="C140" i="7" s="1"/>
  <c r="C183" i="7" s="1"/>
  <c r="C226" i="7" s="1"/>
  <c r="C269" i="7" s="1"/>
  <c r="C312" i="7" s="1"/>
  <c r="C355" i="7" s="1"/>
  <c r="C398" i="7" s="1"/>
  <c r="C441" i="7" s="1"/>
  <c r="C484" i="7" s="1"/>
  <c r="C527" i="7" s="1"/>
  <c r="B54" i="7"/>
  <c r="B97" i="7" s="1"/>
  <c r="B140" i="7" s="1"/>
  <c r="B183" i="7" s="1"/>
  <c r="B226" i="7" s="1"/>
  <c r="B269" i="7" s="1"/>
  <c r="B312" i="7" s="1"/>
  <c r="B355" i="7" s="1"/>
  <c r="B398" i="7" s="1"/>
  <c r="B441" i="7" s="1"/>
  <c r="B484" i="7" s="1"/>
  <c r="B527" i="7" s="1"/>
  <c r="H53" i="7"/>
  <c r="G53" i="7"/>
  <c r="F53" i="7"/>
  <c r="E53" i="7"/>
  <c r="D53" i="7"/>
  <c r="D96" i="7" s="1"/>
  <c r="D139" i="7" s="1"/>
  <c r="D182" i="7" s="1"/>
  <c r="D225" i="7" s="1"/>
  <c r="D268" i="7" s="1"/>
  <c r="D311" i="7" s="1"/>
  <c r="D354" i="7" s="1"/>
  <c r="D397" i="7" s="1"/>
  <c r="D440" i="7" s="1"/>
  <c r="D483" i="7" s="1"/>
  <c r="D526" i="7" s="1"/>
  <c r="C53" i="7"/>
  <c r="C96" i="7" s="1"/>
  <c r="C139" i="7" s="1"/>
  <c r="C182" i="7" s="1"/>
  <c r="C225" i="7" s="1"/>
  <c r="C268" i="7" s="1"/>
  <c r="C311" i="7" s="1"/>
  <c r="C354" i="7" s="1"/>
  <c r="C397" i="7" s="1"/>
  <c r="C440" i="7" s="1"/>
  <c r="C483" i="7" s="1"/>
  <c r="C526" i="7" s="1"/>
  <c r="B53" i="7"/>
  <c r="J52" i="7"/>
  <c r="F52" i="7"/>
  <c r="G52" i="7" s="1"/>
  <c r="E52" i="7"/>
  <c r="E95" i="7" s="1"/>
  <c r="D52" i="7"/>
  <c r="D95" i="7" s="1"/>
  <c r="D138" i="7" s="1"/>
  <c r="D181" i="7" s="1"/>
  <c r="D224" i="7" s="1"/>
  <c r="D267" i="7" s="1"/>
  <c r="D310" i="7" s="1"/>
  <c r="D353" i="7" s="1"/>
  <c r="D396" i="7" s="1"/>
  <c r="D439" i="7" s="1"/>
  <c r="D482" i="7" s="1"/>
  <c r="D525" i="7" s="1"/>
  <c r="C52" i="7"/>
  <c r="C95" i="7" s="1"/>
  <c r="C138" i="7" s="1"/>
  <c r="C181" i="7" s="1"/>
  <c r="C224" i="7" s="1"/>
  <c r="C267" i="7" s="1"/>
  <c r="C310" i="7" s="1"/>
  <c r="C353" i="7" s="1"/>
  <c r="C396" i="7" s="1"/>
  <c r="C439" i="7" s="1"/>
  <c r="C482" i="7" s="1"/>
  <c r="C525" i="7" s="1"/>
  <c r="B52" i="7"/>
  <c r="B95" i="7" s="1"/>
  <c r="B138" i="7" s="1"/>
  <c r="B181" i="7" s="1"/>
  <c r="B224" i="7" s="1"/>
  <c r="B267" i="7" s="1"/>
  <c r="B310" i="7" s="1"/>
  <c r="B353" i="7" s="1"/>
  <c r="B396" i="7" s="1"/>
  <c r="B439" i="7" s="1"/>
  <c r="B482" i="7" s="1"/>
  <c r="B525" i="7" s="1"/>
  <c r="D51" i="7"/>
  <c r="D94" i="7" s="1"/>
  <c r="D137" i="7" s="1"/>
  <c r="D180" i="7" s="1"/>
  <c r="D223" i="7" s="1"/>
  <c r="D266" i="7" s="1"/>
  <c r="D309" i="7" s="1"/>
  <c r="D352" i="7" s="1"/>
  <c r="D395" i="7" s="1"/>
  <c r="D438" i="7" s="1"/>
  <c r="D481" i="7" s="1"/>
  <c r="D524" i="7" s="1"/>
  <c r="H47" i="7"/>
  <c r="H90" i="7" s="1"/>
  <c r="H133" i="7" s="1"/>
  <c r="H176" i="7" s="1"/>
  <c r="H219" i="7" s="1"/>
  <c r="H262" i="7" s="1"/>
  <c r="H305" i="7" s="1"/>
  <c r="H348" i="7" s="1"/>
  <c r="H391" i="7" s="1"/>
  <c r="H434" i="7" s="1"/>
  <c r="H477" i="7" s="1"/>
  <c r="H520" i="7" s="1"/>
  <c r="G47" i="7"/>
  <c r="F47" i="7"/>
  <c r="E47" i="7"/>
  <c r="E90" i="7" s="1"/>
  <c r="E133" i="7" s="1"/>
  <c r="E176" i="7" s="1"/>
  <c r="E219" i="7" s="1"/>
  <c r="E262" i="7" s="1"/>
  <c r="E305" i="7" s="1"/>
  <c r="E348" i="7" s="1"/>
  <c r="E391" i="7" s="1"/>
  <c r="E434" i="7" s="1"/>
  <c r="E477" i="7" s="1"/>
  <c r="E520" i="7" s="1"/>
  <c r="F36" i="7"/>
  <c r="H36" i="7" s="1"/>
  <c r="E36" i="7"/>
  <c r="G36" i="7" s="1"/>
  <c r="I35" i="7"/>
  <c r="F35" i="7"/>
  <c r="F78" i="7" s="1"/>
  <c r="E35" i="7"/>
  <c r="J34" i="7"/>
  <c r="F34" i="7"/>
  <c r="F77" i="7" s="1"/>
  <c r="E34" i="7"/>
  <c r="H33" i="7"/>
  <c r="F33" i="7"/>
  <c r="E33" i="7"/>
  <c r="E76" i="7" s="1"/>
  <c r="F32" i="7"/>
  <c r="E32" i="7"/>
  <c r="F31" i="7"/>
  <c r="E31" i="7"/>
  <c r="E74" i="7" s="1"/>
  <c r="H30" i="7"/>
  <c r="F30" i="7"/>
  <c r="E30" i="7"/>
  <c r="F29" i="7"/>
  <c r="F72" i="7" s="1"/>
  <c r="E29" i="7"/>
  <c r="F28" i="7"/>
  <c r="E28" i="7"/>
  <c r="G28" i="7" s="1"/>
  <c r="J27" i="7"/>
  <c r="F27" i="7"/>
  <c r="E27" i="7"/>
  <c r="G27" i="7" s="1"/>
  <c r="F26" i="7"/>
  <c r="F69" i="7" s="1"/>
  <c r="E26" i="7"/>
  <c r="H25" i="7"/>
  <c r="G25" i="7"/>
  <c r="F25" i="7"/>
  <c r="E25" i="7"/>
  <c r="J24" i="7"/>
  <c r="H24" i="7"/>
  <c r="G24" i="7"/>
  <c r="F24" i="7"/>
  <c r="E24" i="7"/>
  <c r="F21" i="7"/>
  <c r="H21" i="7" s="1"/>
  <c r="E21" i="7"/>
  <c r="G21" i="7" s="1"/>
  <c r="I20" i="7"/>
  <c r="H20" i="7"/>
  <c r="G20" i="7"/>
  <c r="J19" i="7"/>
  <c r="H19" i="7"/>
  <c r="G19" i="7"/>
  <c r="H18" i="7"/>
  <c r="G18" i="7"/>
  <c r="H17" i="7"/>
  <c r="G17" i="7"/>
  <c r="H16" i="7"/>
  <c r="G16" i="7"/>
  <c r="H15" i="7"/>
  <c r="G15" i="7"/>
  <c r="H14" i="7"/>
  <c r="G14" i="7"/>
  <c r="H13" i="7"/>
  <c r="G13" i="7"/>
  <c r="J12" i="7"/>
  <c r="H12" i="7"/>
  <c r="G12" i="7"/>
  <c r="H11" i="7"/>
  <c r="G11" i="7"/>
  <c r="H10" i="7"/>
  <c r="G10" i="7"/>
  <c r="J9" i="7"/>
  <c r="I9" i="7"/>
  <c r="I11" i="7" s="1"/>
  <c r="H9" i="7"/>
  <c r="G9" i="7"/>
  <c r="E25" i="6"/>
  <c r="E53" i="6" s="1"/>
  <c r="I154" i="6"/>
  <c r="AB111" i="6"/>
  <c r="S135" i="6" s="1"/>
  <c r="I91" i="6"/>
  <c r="AB91" i="6" s="1"/>
  <c r="M10" i="6"/>
  <c r="Q10" i="6" s="1"/>
  <c r="U10" i="6" s="1"/>
  <c r="Y10" i="6" s="1"/>
  <c r="AD10" i="6" s="1"/>
  <c r="I111" i="6"/>
  <c r="I135" i="6" s="1"/>
  <c r="AF10" i="6"/>
  <c r="AB10" i="6"/>
  <c r="W10" i="6"/>
  <c r="S10" i="6"/>
  <c r="O10" i="6"/>
  <c r="N15" i="6"/>
  <c r="R15" i="6" s="1"/>
  <c r="V15" i="6" s="1"/>
  <c r="AA15" i="6" s="1"/>
  <c r="AE15" i="6" s="1"/>
  <c r="Y11" i="6"/>
  <c r="M12" i="6"/>
  <c r="Q12" i="6" s="1"/>
  <c r="U12" i="6" s="1"/>
  <c r="Y12" i="6" s="1"/>
  <c r="AD12" i="6" s="1"/>
  <c r="N13" i="6"/>
  <c r="R13" i="6" s="1"/>
  <c r="K10" i="6"/>
  <c r="K13" i="6" s="1"/>
  <c r="I16" i="6"/>
  <c r="M16" i="6" s="1"/>
  <c r="Q16" i="6" s="1"/>
  <c r="AB117" i="6"/>
  <c r="S141" i="6" s="1"/>
  <c r="I94" i="6"/>
  <c r="I114" i="6" s="1"/>
  <c r="I138" i="6" s="1"/>
  <c r="I157" i="6" s="1"/>
  <c r="M18" i="6"/>
  <c r="Q18" i="6" s="1"/>
  <c r="M15" i="6"/>
  <c r="Q15" i="6" s="1"/>
  <c r="U15" i="6" s="1"/>
  <c r="Y15" i="6" s="1"/>
  <c r="AD15" i="6" s="1"/>
  <c r="M14" i="6"/>
  <c r="Q14" i="6" s="1"/>
  <c r="U14" i="6" s="1"/>
  <c r="Y14" i="6" s="1"/>
  <c r="AD14" i="6" s="1"/>
  <c r="M13" i="6"/>
  <c r="Q13" i="6" s="1"/>
  <c r="M11" i="6"/>
  <c r="Q11" i="6" s="1"/>
  <c r="M22" i="6"/>
  <c r="Q22" i="6" s="1"/>
  <c r="U22" i="6" s="1"/>
  <c r="Y22" i="6" s="1"/>
  <c r="AD22" i="6" s="1"/>
  <c r="M21" i="6"/>
  <c r="Q21" i="6" s="1"/>
  <c r="U21" i="6" s="1"/>
  <c r="Y21" i="6" s="1"/>
  <c r="M20" i="6"/>
  <c r="Q20" i="6" s="1"/>
  <c r="U20" i="6" s="1"/>
  <c r="Y20" i="6" s="1"/>
  <c r="M4" i="6"/>
  <c r="Q4" i="6" s="1"/>
  <c r="U4" i="6" s="1"/>
  <c r="Y4" i="6" s="1"/>
  <c r="AD4" i="6" s="1"/>
  <c r="I97" i="6"/>
  <c r="I117" i="6" s="1"/>
  <c r="I141" i="6" s="1"/>
  <c r="I160" i="6" s="1"/>
  <c r="O133" i="6"/>
  <c r="W133" i="6" s="1"/>
  <c r="N11" i="6"/>
  <c r="R11" i="6" s="1"/>
  <c r="V11" i="6" s="1"/>
  <c r="AA11" i="6" s="1"/>
  <c r="AE11" i="6" s="1"/>
  <c r="Q110" i="6"/>
  <c r="Q134" i="6" s="1"/>
  <c r="Q112" i="6"/>
  <c r="Q136" i="6" s="1"/>
  <c r="Q113" i="6"/>
  <c r="Q137" i="6" s="1"/>
  <c r="Q114" i="6"/>
  <c r="Q138" i="6" s="1"/>
  <c r="O115" i="6"/>
  <c r="O139" i="6" s="1"/>
  <c r="O117" i="6"/>
  <c r="O141" i="6" s="1"/>
  <c r="I96" i="6"/>
  <c r="I116" i="6" s="1"/>
  <c r="I140" i="6" s="1"/>
  <c r="I159" i="6" s="1"/>
  <c r="I95" i="6"/>
  <c r="I115" i="6" s="1"/>
  <c r="I139" i="6" s="1"/>
  <c r="I158" i="6" s="1"/>
  <c r="I93" i="6"/>
  <c r="I113" i="6" s="1"/>
  <c r="I137" i="6" s="1"/>
  <c r="I156" i="6" s="1"/>
  <c r="I92" i="6"/>
  <c r="I112" i="6" s="1"/>
  <c r="I136" i="6" s="1"/>
  <c r="I155" i="6" s="1"/>
  <c r="I90" i="6"/>
  <c r="I110" i="6" s="1"/>
  <c r="I134" i="6" s="1"/>
  <c r="I153" i="6" s="1"/>
  <c r="I89" i="6"/>
  <c r="I109" i="6" s="1"/>
  <c r="I133" i="6" s="1"/>
  <c r="I152" i="6" s="1"/>
  <c r="O116" i="6"/>
  <c r="AB116" i="6"/>
  <c r="S140" i="6" s="1"/>
  <c r="AB115" i="6"/>
  <c r="S139" i="6" s="1"/>
  <c r="AB114" i="6"/>
  <c r="S138" i="6" s="1"/>
  <c r="AB113" i="6"/>
  <c r="S137" i="6" s="1"/>
  <c r="AB112" i="6"/>
  <c r="S136" i="6" s="1"/>
  <c r="AB110" i="6"/>
  <c r="S134" i="6" s="1"/>
  <c r="AB109" i="6"/>
  <c r="S133" i="6" s="1"/>
  <c r="AB96" i="6"/>
  <c r="AB95" i="6"/>
  <c r="AB94" i="6"/>
  <c r="AB93" i="6"/>
  <c r="AB92" i="6"/>
  <c r="AB90" i="6"/>
  <c r="AB89" i="6"/>
  <c r="AD8" i="6" l="1"/>
  <c r="D545" i="7"/>
  <c r="Y9" i="6"/>
  <c r="Q8" i="6"/>
  <c r="M9" i="6"/>
  <c r="E35" i="6"/>
  <c r="E43" i="6" s="1"/>
  <c r="E51" i="6"/>
  <c r="E52" i="6"/>
  <c r="F229" i="7"/>
  <c r="F162" i="7"/>
  <c r="E146" i="7"/>
  <c r="E148" i="7"/>
  <c r="H105" i="7"/>
  <c r="G105" i="7"/>
  <c r="I18" i="7"/>
  <c r="I19" i="7" s="1"/>
  <c r="I12" i="7"/>
  <c r="H78" i="7"/>
  <c r="F121" i="7"/>
  <c r="I78" i="7"/>
  <c r="E138" i="7"/>
  <c r="G95" i="7"/>
  <c r="E117" i="7"/>
  <c r="G74" i="7"/>
  <c r="F144" i="7"/>
  <c r="H101" i="7"/>
  <c r="E141" i="7"/>
  <c r="G98" i="7"/>
  <c r="E154" i="7"/>
  <c r="G111" i="7"/>
  <c r="F200" i="7"/>
  <c r="C164" i="7"/>
  <c r="F226" i="7"/>
  <c r="C192" i="7"/>
  <c r="F115" i="7"/>
  <c r="F120" i="7"/>
  <c r="E140" i="7"/>
  <c r="G97" i="7"/>
  <c r="H69" i="7"/>
  <c r="F112" i="7"/>
  <c r="E119" i="7"/>
  <c r="G76" i="7"/>
  <c r="H76" i="7"/>
  <c r="E143" i="7"/>
  <c r="G100" i="7"/>
  <c r="F145" i="7"/>
  <c r="H102" i="7"/>
  <c r="G59" i="7"/>
  <c r="F64" i="7"/>
  <c r="E116" i="7"/>
  <c r="F154" i="7"/>
  <c r="H59" i="7"/>
  <c r="F95" i="7"/>
  <c r="F98" i="7"/>
  <c r="F116" i="7"/>
  <c r="G31" i="7"/>
  <c r="F74" i="7"/>
  <c r="F103" i="7"/>
  <c r="G103" i="7" s="1"/>
  <c r="I224" i="7"/>
  <c r="I226" i="7" s="1"/>
  <c r="F267" i="7"/>
  <c r="G26" i="7"/>
  <c r="H28" i="7"/>
  <c r="H31" i="7"/>
  <c r="G34" i="7"/>
  <c r="H148" i="7"/>
  <c r="H26" i="7"/>
  <c r="H34" i="7"/>
  <c r="E41" i="7"/>
  <c r="G41" i="7" s="1"/>
  <c r="E71" i="7"/>
  <c r="H71" i="7" s="1"/>
  <c r="E106" i="7"/>
  <c r="H140" i="7"/>
  <c r="H143" i="7"/>
  <c r="E274" i="7"/>
  <c r="I184" i="7"/>
  <c r="G68" i="7"/>
  <c r="H55" i="7"/>
  <c r="G60" i="7"/>
  <c r="G63" i="7"/>
  <c r="E67" i="7"/>
  <c r="E84" i="7" s="1"/>
  <c r="H68" i="7"/>
  <c r="E70" i="7"/>
  <c r="H97" i="7"/>
  <c r="H100" i="7"/>
  <c r="G32" i="7"/>
  <c r="I52" i="7"/>
  <c r="I54" i="7" s="1"/>
  <c r="H63" i="7"/>
  <c r="F67" i="7"/>
  <c r="F70" i="7"/>
  <c r="E75" i="7"/>
  <c r="E78" i="7"/>
  <c r="G102" i="7"/>
  <c r="E104" i="7"/>
  <c r="G29" i="7"/>
  <c r="I24" i="7"/>
  <c r="I26" i="7" s="1"/>
  <c r="H32" i="7"/>
  <c r="H52" i="7"/>
  <c r="H27" i="7"/>
  <c r="G35" i="7"/>
  <c r="F75" i="7"/>
  <c r="E96" i="7"/>
  <c r="E99" i="7"/>
  <c r="F104" i="7"/>
  <c r="F191" i="7"/>
  <c r="F41" i="7"/>
  <c r="H29" i="7"/>
  <c r="G30" i="7"/>
  <c r="G33" i="7"/>
  <c r="H35" i="7"/>
  <c r="G54" i="7"/>
  <c r="G57" i="7"/>
  <c r="G62" i="7"/>
  <c r="F96" i="7"/>
  <c r="F99" i="7"/>
  <c r="F106" i="7"/>
  <c r="H62" i="7"/>
  <c r="E64" i="7"/>
  <c r="G64" i="7" s="1"/>
  <c r="E69" i="7"/>
  <c r="E72" i="7"/>
  <c r="E77" i="7"/>
  <c r="H77" i="7" s="1"/>
  <c r="E101" i="7"/>
  <c r="G145" i="7"/>
  <c r="N67" i="6"/>
  <c r="E29" i="6" s="1"/>
  <c r="N53" i="6"/>
  <c r="E28" i="6" s="1"/>
  <c r="E32" i="6" s="1"/>
  <c r="K15" i="6"/>
  <c r="AF15" i="6"/>
  <c r="Y16" i="6"/>
  <c r="AD16" i="6" s="1"/>
  <c r="U18" i="6"/>
  <c r="Y18" i="6" s="1"/>
  <c r="AD18" i="6" s="1"/>
  <c r="O13" i="6"/>
  <c r="S13" i="6"/>
  <c r="W11" i="6"/>
  <c r="AD20" i="6"/>
  <c r="K11" i="6"/>
  <c r="AF11" i="6"/>
  <c r="AF12" i="6" s="1"/>
  <c r="AB15" i="6"/>
  <c r="AB11" i="6"/>
  <c r="W15" i="6"/>
  <c r="S15" i="6"/>
  <c r="S11" i="6"/>
  <c r="O11" i="6"/>
  <c r="O15" i="6"/>
  <c r="U16" i="6"/>
  <c r="U11" i="6"/>
  <c r="AD11" i="6" s="1"/>
  <c r="U13" i="6"/>
  <c r="Y13" i="6" s="1"/>
  <c r="AD13" i="6" s="1"/>
  <c r="O140" i="6"/>
  <c r="AB97" i="6"/>
  <c r="O152" i="6"/>
  <c r="V13" i="6"/>
  <c r="AA13" i="6" s="1"/>
  <c r="AE13" i="6" s="1"/>
  <c r="AF13" i="6" s="1"/>
  <c r="E33" i="6" l="1"/>
  <c r="E27" i="6"/>
  <c r="E31" i="6" s="1"/>
  <c r="AF90" i="6"/>
  <c r="F139" i="7"/>
  <c r="H96" i="7"/>
  <c r="I227" i="7"/>
  <c r="I233" i="7"/>
  <c r="I234" i="7" s="1"/>
  <c r="E112" i="7"/>
  <c r="H112" i="7" s="1"/>
  <c r="G69" i="7"/>
  <c r="H104" i="7"/>
  <c r="F147" i="7"/>
  <c r="I67" i="7"/>
  <c r="I69" i="7" s="1"/>
  <c r="F110" i="7"/>
  <c r="H67" i="7"/>
  <c r="E317" i="7"/>
  <c r="F158" i="7"/>
  <c r="E197" i="7"/>
  <c r="G154" i="7"/>
  <c r="G99" i="7"/>
  <c r="E142" i="7"/>
  <c r="E110" i="7"/>
  <c r="G67" i="7"/>
  <c r="G143" i="7"/>
  <c r="E186" i="7"/>
  <c r="G96" i="7"/>
  <c r="E139" i="7"/>
  <c r="I27" i="7"/>
  <c r="I33" i="7"/>
  <c r="I34" i="7" s="1"/>
  <c r="C235" i="7"/>
  <c r="E184" i="7"/>
  <c r="G141" i="7"/>
  <c r="H75" i="7"/>
  <c r="F118" i="7"/>
  <c r="G106" i="7"/>
  <c r="E149" i="7"/>
  <c r="F149" i="7"/>
  <c r="I106" i="7"/>
  <c r="H106" i="7"/>
  <c r="I55" i="7"/>
  <c r="I61" i="7"/>
  <c r="I62" i="7" s="1"/>
  <c r="F197" i="7"/>
  <c r="H154" i="7"/>
  <c r="G119" i="7"/>
  <c r="E162" i="7"/>
  <c r="F187" i="7"/>
  <c r="H144" i="7"/>
  <c r="F142" i="7"/>
  <c r="H99" i="7"/>
  <c r="F310" i="7"/>
  <c r="I267" i="7"/>
  <c r="I269" i="7" s="1"/>
  <c r="G116" i="7"/>
  <c r="E159" i="7"/>
  <c r="F155" i="7"/>
  <c r="F269" i="7"/>
  <c r="G148" i="7"/>
  <c r="E191" i="7"/>
  <c r="F107" i="7"/>
  <c r="G117" i="7"/>
  <c r="E160" i="7"/>
  <c r="E107" i="7"/>
  <c r="G107" i="7" s="1"/>
  <c r="F146" i="7"/>
  <c r="H103" i="7"/>
  <c r="H64" i="7"/>
  <c r="C207" i="7"/>
  <c r="E189" i="7"/>
  <c r="G146" i="7"/>
  <c r="E181" i="7"/>
  <c r="H138" i="7"/>
  <c r="G138" i="7"/>
  <c r="F205" i="7"/>
  <c r="H162" i="7"/>
  <c r="F79" i="7"/>
  <c r="F117" i="7"/>
  <c r="H74" i="7"/>
  <c r="F141" i="7"/>
  <c r="H98" i="7"/>
  <c r="H119" i="7"/>
  <c r="E79" i="7"/>
  <c r="G79" i="7" s="1"/>
  <c r="H116" i="7"/>
  <c r="F159" i="7"/>
  <c r="G140" i="7"/>
  <c r="E183" i="7"/>
  <c r="E144" i="7"/>
  <c r="G101" i="7"/>
  <c r="H41" i="7"/>
  <c r="G78" i="7"/>
  <c r="E121" i="7"/>
  <c r="E120" i="7"/>
  <c r="G77" i="7"/>
  <c r="F234" i="7"/>
  <c r="G75" i="7"/>
  <c r="E118" i="7"/>
  <c r="I95" i="7"/>
  <c r="I97" i="7" s="1"/>
  <c r="H95" i="7"/>
  <c r="F163" i="7"/>
  <c r="H120" i="7"/>
  <c r="F243" i="7"/>
  <c r="G104" i="7"/>
  <c r="E147" i="7"/>
  <c r="G71" i="7"/>
  <c r="E114" i="7"/>
  <c r="E115" i="7"/>
  <c r="H115" i="7" s="1"/>
  <c r="G72" i="7"/>
  <c r="H70" i="7"/>
  <c r="F113" i="7"/>
  <c r="G70" i="7"/>
  <c r="E113" i="7"/>
  <c r="F84" i="7"/>
  <c r="H84" i="7" s="1"/>
  <c r="F188" i="7"/>
  <c r="H145" i="7"/>
  <c r="H72" i="7"/>
  <c r="F164" i="7"/>
  <c r="I121" i="7"/>
  <c r="F272" i="7"/>
  <c r="Q91" i="6"/>
  <c r="O111" i="6" s="1"/>
  <c r="AF91" i="6"/>
  <c r="W12" i="6"/>
  <c r="AF14" i="6"/>
  <c r="AF16" i="6" s="1"/>
  <c r="AF17" i="6" s="1"/>
  <c r="W13" i="6"/>
  <c r="AB12" i="6"/>
  <c r="O12" i="6"/>
  <c r="O14" i="6" s="1"/>
  <c r="O16" i="6" s="1"/>
  <c r="K12" i="6"/>
  <c r="K14" i="6" s="1"/>
  <c r="K16" i="6" s="1"/>
  <c r="K17" i="6" s="1"/>
  <c r="S12" i="6"/>
  <c r="S14" i="6" s="1"/>
  <c r="S16" i="6" s="1"/>
  <c r="S17" i="6" s="1"/>
  <c r="AB13" i="6"/>
  <c r="Q90" i="6"/>
  <c r="O110" i="6" s="1"/>
  <c r="M53" i="6" s="1"/>
  <c r="M54" i="6" s="1"/>
  <c r="AF110" i="6" s="1"/>
  <c r="W14" i="6" l="1"/>
  <c r="W16" i="6" s="1"/>
  <c r="W17" i="6" s="1"/>
  <c r="E163" i="7"/>
  <c r="G120" i="7"/>
  <c r="E227" i="7"/>
  <c r="G184" i="7"/>
  <c r="G110" i="7"/>
  <c r="E153" i="7"/>
  <c r="E122" i="7"/>
  <c r="G122" i="7" s="1"/>
  <c r="I70" i="7"/>
  <c r="I76" i="7"/>
  <c r="I77" i="7" s="1"/>
  <c r="F153" i="7"/>
  <c r="I110" i="7"/>
  <c r="I112" i="7" s="1"/>
  <c r="H110" i="7"/>
  <c r="F122" i="7"/>
  <c r="E185" i="7"/>
  <c r="G142" i="7"/>
  <c r="H147" i="7"/>
  <c r="F190" i="7"/>
  <c r="I104" i="7"/>
  <c r="I105" i="7" s="1"/>
  <c r="I98" i="7"/>
  <c r="E164" i="7"/>
  <c r="G121" i="7"/>
  <c r="E127" i="7"/>
  <c r="F156" i="7"/>
  <c r="H113" i="7"/>
  <c r="H163" i="7"/>
  <c r="F206" i="7"/>
  <c r="H107" i="7"/>
  <c r="F185" i="7"/>
  <c r="H142" i="7"/>
  <c r="G197" i="7"/>
  <c r="E240" i="7"/>
  <c r="F231" i="7"/>
  <c r="H188" i="7"/>
  <c r="G188" i="7"/>
  <c r="F201" i="7"/>
  <c r="H158" i="7"/>
  <c r="E190" i="7"/>
  <c r="G147" i="7"/>
  <c r="E161" i="7"/>
  <c r="G118" i="7"/>
  <c r="H117" i="7"/>
  <c r="F160" i="7"/>
  <c r="C250" i="7"/>
  <c r="H187" i="7"/>
  <c r="F230" i="7"/>
  <c r="H121" i="7"/>
  <c r="E232" i="7"/>
  <c r="F184" i="7"/>
  <c r="H141" i="7"/>
  <c r="E155" i="7"/>
  <c r="G112" i="7"/>
  <c r="F312" i="7"/>
  <c r="I149" i="7"/>
  <c r="H149" i="7"/>
  <c r="F192" i="7"/>
  <c r="G144" i="7"/>
  <c r="E187" i="7"/>
  <c r="H79" i="7"/>
  <c r="H155" i="7"/>
  <c r="F198" i="7"/>
  <c r="E205" i="7"/>
  <c r="H205" i="7" s="1"/>
  <c r="G162" i="7"/>
  <c r="E192" i="7"/>
  <c r="G149" i="7"/>
  <c r="E182" i="7"/>
  <c r="G139" i="7"/>
  <c r="E150" i="7"/>
  <c r="F315" i="7"/>
  <c r="I310" i="7"/>
  <c r="I312" i="7" s="1"/>
  <c r="F353" i="7"/>
  <c r="E158" i="7"/>
  <c r="G115" i="7"/>
  <c r="E234" i="7"/>
  <c r="G191" i="7"/>
  <c r="C278" i="7"/>
  <c r="E157" i="7"/>
  <c r="G114" i="7"/>
  <c r="H114" i="7"/>
  <c r="E156" i="7"/>
  <c r="G113" i="7"/>
  <c r="H191" i="7"/>
  <c r="E226" i="7"/>
  <c r="G183" i="7"/>
  <c r="H183" i="7"/>
  <c r="G159" i="7"/>
  <c r="E202" i="7"/>
  <c r="E360" i="7"/>
  <c r="F170" i="7"/>
  <c r="F182" i="7"/>
  <c r="H139" i="7"/>
  <c r="F150" i="7"/>
  <c r="H150" i="7" s="1"/>
  <c r="E203" i="7"/>
  <c r="I164" i="7"/>
  <c r="F207" i="7"/>
  <c r="H181" i="7"/>
  <c r="G181" i="7"/>
  <c r="E224" i="7"/>
  <c r="F127" i="7"/>
  <c r="H127" i="7" s="1"/>
  <c r="F286" i="7"/>
  <c r="F277" i="7"/>
  <c r="F248" i="7"/>
  <c r="H146" i="7"/>
  <c r="F189" i="7"/>
  <c r="G189" i="7" s="1"/>
  <c r="F161" i="7"/>
  <c r="H118" i="7"/>
  <c r="E229" i="7"/>
  <c r="G186" i="7"/>
  <c r="H186" i="7"/>
  <c r="G84" i="7"/>
  <c r="H159" i="7"/>
  <c r="F202" i="7"/>
  <c r="I276" i="7"/>
  <c r="I277" i="7" s="1"/>
  <c r="I270" i="7"/>
  <c r="H197" i="7"/>
  <c r="F240" i="7"/>
  <c r="M67" i="6"/>
  <c r="M68" i="6" s="1"/>
  <c r="AF111" i="6" s="1"/>
  <c r="O135" i="6"/>
  <c r="O17" i="6"/>
  <c r="O18" i="6" s="1"/>
  <c r="S18" i="6"/>
  <c r="AF18" i="6"/>
  <c r="W18" i="6"/>
  <c r="Q72" i="6"/>
  <c r="AB14" i="6"/>
  <c r="AB16" i="6" s="1"/>
  <c r="AB17" i="6" s="1"/>
  <c r="R43" i="6"/>
  <c r="K18" i="6"/>
  <c r="O134" i="6"/>
  <c r="W134" i="6" s="1"/>
  <c r="W135" i="6" l="1"/>
  <c r="Q154" i="6"/>
  <c r="E207" i="7"/>
  <c r="G164" i="7"/>
  <c r="F358" i="7"/>
  <c r="G153" i="7"/>
  <c r="E196" i="7"/>
  <c r="E165" i="7"/>
  <c r="G165" i="7" s="1"/>
  <c r="E170" i="7"/>
  <c r="G170" i="7" s="1"/>
  <c r="E269" i="7"/>
  <c r="G226" i="7"/>
  <c r="H226" i="7"/>
  <c r="F291" i="7"/>
  <c r="H248" i="7"/>
  <c r="G187" i="7"/>
  <c r="E230" i="7"/>
  <c r="F244" i="7"/>
  <c r="H201" i="7"/>
  <c r="F355" i="7"/>
  <c r="G155" i="7"/>
  <c r="E198" i="7"/>
  <c r="C293" i="7"/>
  <c r="G185" i="7"/>
  <c r="E228" i="7"/>
  <c r="G227" i="7"/>
  <c r="E270" i="7"/>
  <c r="E267" i="7"/>
  <c r="G224" i="7"/>
  <c r="H224" i="7"/>
  <c r="G234" i="7"/>
  <c r="E277" i="7"/>
  <c r="G150" i="7"/>
  <c r="E403" i="7"/>
  <c r="H277" i="7"/>
  <c r="F320" i="7"/>
  <c r="H164" i="7"/>
  <c r="E225" i="7"/>
  <c r="G182" i="7"/>
  <c r="F227" i="7"/>
  <c r="H184" i="7"/>
  <c r="E193" i="7"/>
  <c r="F241" i="7"/>
  <c r="H198" i="7"/>
  <c r="F245" i="7"/>
  <c r="H202" i="7"/>
  <c r="F250" i="7"/>
  <c r="I207" i="7"/>
  <c r="H207" i="7"/>
  <c r="I353" i="7"/>
  <c r="I355" i="7" s="1"/>
  <c r="F396" i="7"/>
  <c r="F235" i="7"/>
  <c r="I192" i="7"/>
  <c r="H192" i="7"/>
  <c r="F203" i="7"/>
  <c r="H160" i="7"/>
  <c r="F199" i="7"/>
  <c r="H156" i="7"/>
  <c r="H122" i="7"/>
  <c r="G205" i="7"/>
  <c r="E248" i="7"/>
  <c r="H182" i="7"/>
  <c r="F225" i="7"/>
  <c r="F193" i="7"/>
  <c r="H193" i="7" s="1"/>
  <c r="F274" i="7"/>
  <c r="H231" i="7"/>
  <c r="G231" i="7"/>
  <c r="G127" i="7"/>
  <c r="G163" i="7"/>
  <c r="E206" i="7"/>
  <c r="E246" i="7"/>
  <c r="G161" i="7"/>
  <c r="E204" i="7"/>
  <c r="H185" i="7"/>
  <c r="F228" i="7"/>
  <c r="H230" i="7"/>
  <c r="F273" i="7"/>
  <c r="F233" i="7"/>
  <c r="H190" i="7"/>
  <c r="E201" i="7"/>
  <c r="G158" i="7"/>
  <c r="H234" i="7"/>
  <c r="E200" i="7"/>
  <c r="G157" i="7"/>
  <c r="H157" i="7"/>
  <c r="E236" i="7"/>
  <c r="I319" i="7"/>
  <c r="I320" i="7" s="1"/>
  <c r="I313" i="7"/>
  <c r="E275" i="7"/>
  <c r="E283" i="7"/>
  <c r="G240" i="7"/>
  <c r="I119" i="7"/>
  <c r="I120" i="7" s="1"/>
  <c r="I113" i="7"/>
  <c r="H189" i="7"/>
  <c r="F232" i="7"/>
  <c r="E233" i="7"/>
  <c r="G190" i="7"/>
  <c r="H206" i="7"/>
  <c r="F249" i="7"/>
  <c r="E199" i="7"/>
  <c r="G156" i="7"/>
  <c r="E245" i="7"/>
  <c r="G202" i="7"/>
  <c r="E272" i="7"/>
  <c r="G229" i="7"/>
  <c r="H229" i="7"/>
  <c r="C321" i="7"/>
  <c r="E235" i="7"/>
  <c r="G192" i="7"/>
  <c r="F329" i="7"/>
  <c r="F283" i="7"/>
  <c r="H240" i="7"/>
  <c r="H161" i="7"/>
  <c r="F204" i="7"/>
  <c r="G160" i="7"/>
  <c r="I153" i="7"/>
  <c r="I155" i="7" s="1"/>
  <c r="H153" i="7"/>
  <c r="F196" i="7"/>
  <c r="F165" i="7"/>
  <c r="AB18" i="6"/>
  <c r="AF94" i="6"/>
  <c r="Q94" i="6"/>
  <c r="O114" i="6" s="1"/>
  <c r="U43" i="6"/>
  <c r="Q153" i="6"/>
  <c r="H232" i="7" l="1"/>
  <c r="F275" i="7"/>
  <c r="F276" i="7"/>
  <c r="H233" i="7"/>
  <c r="F398" i="7"/>
  <c r="E315" i="7"/>
  <c r="G272" i="7"/>
  <c r="H272" i="7"/>
  <c r="F316" i="7"/>
  <c r="F242" i="7"/>
  <c r="H199" i="7"/>
  <c r="F293" i="7"/>
  <c r="I250" i="7"/>
  <c r="H250" i="7"/>
  <c r="E313" i="7"/>
  <c r="G270" i="7"/>
  <c r="E239" i="7"/>
  <c r="G196" i="7"/>
  <c r="E208" i="7"/>
  <c r="G208" i="7" s="1"/>
  <c r="F287" i="7"/>
  <c r="H244" i="7"/>
  <c r="E446" i="7"/>
  <c r="G230" i="7"/>
  <c r="E273" i="7"/>
  <c r="F401" i="7"/>
  <c r="F247" i="7"/>
  <c r="H204" i="7"/>
  <c r="H165" i="7"/>
  <c r="H274" i="7"/>
  <c r="F317" i="7"/>
  <c r="G274" i="7"/>
  <c r="H203" i="7"/>
  <c r="F246" i="7"/>
  <c r="H245" i="7"/>
  <c r="F288" i="7"/>
  <c r="I235" i="7"/>
  <c r="H235" i="7"/>
  <c r="F278" i="7"/>
  <c r="E250" i="7"/>
  <c r="G207" i="7"/>
  <c r="G245" i="7"/>
  <c r="E288" i="7"/>
  <c r="F239" i="7"/>
  <c r="F256" i="7" s="1"/>
  <c r="I196" i="7"/>
  <c r="I198" i="7" s="1"/>
  <c r="H196" i="7"/>
  <c r="F208" i="7"/>
  <c r="G199" i="7"/>
  <c r="E242" i="7"/>
  <c r="F284" i="7"/>
  <c r="H241" i="7"/>
  <c r="C336" i="7"/>
  <c r="F213" i="7"/>
  <c r="H213" i="7" s="1"/>
  <c r="E278" i="7"/>
  <c r="G235" i="7"/>
  <c r="E326" i="7"/>
  <c r="G283" i="7"/>
  <c r="F268" i="7"/>
  <c r="H225" i="7"/>
  <c r="F236" i="7"/>
  <c r="H236" i="7" s="1"/>
  <c r="F439" i="7"/>
  <c r="I396" i="7"/>
  <c r="I398" i="7" s="1"/>
  <c r="F334" i="7"/>
  <c r="H291" i="7"/>
  <c r="E213" i="7"/>
  <c r="F292" i="7"/>
  <c r="H249" i="7"/>
  <c r="E247" i="7"/>
  <c r="G204" i="7"/>
  <c r="E320" i="7"/>
  <c r="G277" i="7"/>
  <c r="F270" i="7"/>
  <c r="H227" i="7"/>
  <c r="E241" i="7"/>
  <c r="G198" i="7"/>
  <c r="F326" i="7"/>
  <c r="H283" i="7"/>
  <c r="F372" i="7"/>
  <c r="F271" i="7"/>
  <c r="H228" i="7"/>
  <c r="G203" i="7"/>
  <c r="E318" i="7"/>
  <c r="G275" i="7"/>
  <c r="E289" i="7"/>
  <c r="G246" i="7"/>
  <c r="G248" i="7"/>
  <c r="E291" i="7"/>
  <c r="I362" i="7"/>
  <c r="I363" i="7" s="1"/>
  <c r="I356" i="7"/>
  <c r="F363" i="7"/>
  <c r="E271" i="7"/>
  <c r="G228" i="7"/>
  <c r="I156" i="7"/>
  <c r="I162" i="7"/>
  <c r="I163" i="7" s="1"/>
  <c r="G193" i="7"/>
  <c r="E243" i="7"/>
  <c r="G200" i="7"/>
  <c r="H200" i="7"/>
  <c r="C364" i="7"/>
  <c r="E276" i="7"/>
  <c r="G233" i="7"/>
  <c r="G232" i="7"/>
  <c r="E244" i="7"/>
  <c r="G201" i="7"/>
  <c r="E249" i="7"/>
  <c r="G206" i="7"/>
  <c r="E268" i="7"/>
  <c r="G225" i="7"/>
  <c r="E310" i="7"/>
  <c r="G267" i="7"/>
  <c r="H267" i="7"/>
  <c r="H170" i="7"/>
  <c r="G269" i="7"/>
  <c r="E312" i="7"/>
  <c r="H269" i="7"/>
  <c r="Q43" i="6"/>
  <c r="Q44" i="6" s="1"/>
  <c r="AF114" i="6" s="1"/>
  <c r="O138" i="6"/>
  <c r="AF95" i="6"/>
  <c r="O95" i="6"/>
  <c r="Q115" i="6" s="1"/>
  <c r="Q79" i="6"/>
  <c r="J79" i="6"/>
  <c r="Q92" i="6" s="1"/>
  <c r="O112" i="6" s="1"/>
  <c r="N79" i="6"/>
  <c r="I61" i="6"/>
  <c r="E356" i="7" l="1"/>
  <c r="F289" i="7"/>
  <c r="H246" i="7"/>
  <c r="E363" i="7"/>
  <c r="G320" i="7"/>
  <c r="E290" i="7"/>
  <c r="G247" i="7"/>
  <c r="E331" i="7"/>
  <c r="G288" i="7"/>
  <c r="E358" i="7"/>
  <c r="G315" i="7"/>
  <c r="H315" i="7"/>
  <c r="E316" i="7"/>
  <c r="G273" i="7"/>
  <c r="E489" i="7"/>
  <c r="E532" i="7"/>
  <c r="E361" i="7"/>
  <c r="G318" i="7"/>
  <c r="I293" i="7"/>
  <c r="F336" i="7"/>
  <c r="F441" i="7"/>
  <c r="F327" i="7"/>
  <c r="E293" i="7"/>
  <c r="G250" i="7"/>
  <c r="H287" i="7"/>
  <c r="F330" i="7"/>
  <c r="G310" i="7"/>
  <c r="E353" i="7"/>
  <c r="H310" i="7"/>
  <c r="F282" i="7"/>
  <c r="I239" i="7"/>
  <c r="I241" i="7" s="1"/>
  <c r="H239" i="7"/>
  <c r="F251" i="7"/>
  <c r="H251" i="7" s="1"/>
  <c r="F482" i="7"/>
  <c r="I439" i="7"/>
  <c r="I441" i="7" s="1"/>
  <c r="F321" i="7"/>
  <c r="I278" i="7"/>
  <c r="H278" i="7"/>
  <c r="G236" i="7"/>
  <c r="G276" i="7"/>
  <c r="E319" i="7"/>
  <c r="F369" i="7"/>
  <c r="H326" i="7"/>
  <c r="C407" i="7"/>
  <c r="G242" i="7"/>
  <c r="E285" i="7"/>
  <c r="H247" i="7"/>
  <c r="F290" i="7"/>
  <c r="F285" i="7"/>
  <c r="H242" i="7"/>
  <c r="F319" i="7"/>
  <c r="H276" i="7"/>
  <c r="F415" i="7"/>
  <c r="E332" i="7"/>
  <c r="F360" i="7"/>
  <c r="H317" i="7"/>
  <c r="G317" i="7"/>
  <c r="F311" i="7"/>
  <c r="H268" i="7"/>
  <c r="F299" i="7"/>
  <c r="F279" i="7"/>
  <c r="H279" i="7" s="1"/>
  <c r="G326" i="7"/>
  <c r="E369" i="7"/>
  <c r="I199" i="7"/>
  <c r="I205" i="7"/>
  <c r="I206" i="7" s="1"/>
  <c r="G213" i="7"/>
  <c r="E292" i="7"/>
  <c r="H292" i="7" s="1"/>
  <c r="G249" i="7"/>
  <c r="G243" i="7"/>
  <c r="E286" i="7"/>
  <c r="H243" i="7"/>
  <c r="F314" i="7"/>
  <c r="H271" i="7"/>
  <c r="F313" i="7"/>
  <c r="H270" i="7"/>
  <c r="H334" i="7"/>
  <c r="F377" i="7"/>
  <c r="H208" i="7"/>
  <c r="F331" i="7"/>
  <c r="H288" i="7"/>
  <c r="F444" i="7"/>
  <c r="H273" i="7"/>
  <c r="F318" i="7"/>
  <c r="H275" i="7"/>
  <c r="I399" i="7"/>
  <c r="I405" i="7"/>
  <c r="I406" i="7" s="1"/>
  <c r="C379" i="7"/>
  <c r="E314" i="7"/>
  <c r="G271" i="7"/>
  <c r="E311" i="7"/>
  <c r="G268" i="7"/>
  <c r="E279" i="7"/>
  <c r="H320" i="7"/>
  <c r="F335" i="7"/>
  <c r="H363" i="7"/>
  <c r="F406" i="7"/>
  <c r="E284" i="7"/>
  <c r="G241" i="7"/>
  <c r="E355" i="7"/>
  <c r="G312" i="7"/>
  <c r="H312" i="7"/>
  <c r="E287" i="7"/>
  <c r="G244" i="7"/>
  <c r="E334" i="7"/>
  <c r="G291" i="7"/>
  <c r="F525" i="7"/>
  <c r="E321" i="7"/>
  <c r="G278" i="7"/>
  <c r="G239" i="7"/>
  <c r="E282" i="7"/>
  <c r="E299" i="7" s="1"/>
  <c r="G299" i="7" s="1"/>
  <c r="E251" i="7"/>
  <c r="E256" i="7"/>
  <c r="G256" i="7" s="1"/>
  <c r="H316" i="7"/>
  <c r="F359" i="7"/>
  <c r="Q157" i="6"/>
  <c r="W138" i="6"/>
  <c r="V43" i="6"/>
  <c r="V44" i="6" s="1"/>
  <c r="AF115" i="6" s="1"/>
  <c r="Q139" i="6"/>
  <c r="AF92" i="6"/>
  <c r="I79" i="6"/>
  <c r="I80" i="6" s="1"/>
  <c r="AF112" i="6" s="1"/>
  <c r="O136" i="6"/>
  <c r="AF97" i="6"/>
  <c r="O97" i="6"/>
  <c r="Q117" i="6" s="1"/>
  <c r="AF93" i="6"/>
  <c r="Q93" i="6"/>
  <c r="U79" i="6"/>
  <c r="J61" i="6"/>
  <c r="I62" i="6" s="1"/>
  <c r="E333" i="7" l="1"/>
  <c r="G290" i="7"/>
  <c r="F420" i="7"/>
  <c r="F373" i="7"/>
  <c r="G284" i="7"/>
  <c r="E327" i="7"/>
  <c r="G293" i="7"/>
  <c r="E336" i="7"/>
  <c r="G363" i="7"/>
  <c r="E406" i="7"/>
  <c r="I242" i="7"/>
  <c r="I248" i="7"/>
  <c r="I249" i="7" s="1"/>
  <c r="F370" i="7"/>
  <c r="F458" i="7"/>
  <c r="F402" i="7"/>
  <c r="G251" i="7"/>
  <c r="H313" i="7"/>
  <c r="F356" i="7"/>
  <c r="H290" i="7"/>
  <c r="F333" i="7"/>
  <c r="I282" i="7"/>
  <c r="I284" i="7" s="1"/>
  <c r="H282" i="7"/>
  <c r="F325" i="7"/>
  <c r="F294" i="7"/>
  <c r="H284" i="7"/>
  <c r="H289" i="7"/>
  <c r="F332" i="7"/>
  <c r="H406" i="7"/>
  <c r="F449" i="7"/>
  <c r="H369" i="7"/>
  <c r="F412" i="7"/>
  <c r="F362" i="7"/>
  <c r="H319" i="7"/>
  <c r="G334" i="7"/>
  <c r="E377" i="7"/>
  <c r="G287" i="7"/>
  <c r="E330" i="7"/>
  <c r="H330" i="7" s="1"/>
  <c r="F484" i="7"/>
  <c r="G316" i="7"/>
  <c r="E359" i="7"/>
  <c r="I525" i="7"/>
  <c r="I527" i="7" s="1"/>
  <c r="E374" i="7"/>
  <c r="G331" i="7"/>
  <c r="E362" i="7"/>
  <c r="G319" i="7"/>
  <c r="G279" i="7"/>
  <c r="F403" i="7"/>
  <c r="H360" i="7"/>
  <c r="G360" i="7"/>
  <c r="G285" i="7"/>
  <c r="E328" i="7"/>
  <c r="E399" i="7"/>
  <c r="E329" i="7"/>
  <c r="G286" i="7"/>
  <c r="H286" i="7"/>
  <c r="I482" i="7"/>
  <c r="I484" i="7" s="1"/>
  <c r="F328" i="7"/>
  <c r="H285" i="7"/>
  <c r="F361" i="7"/>
  <c r="H318" i="7"/>
  <c r="F487" i="7"/>
  <c r="F530" i="7"/>
  <c r="G311" i="7"/>
  <c r="E354" i="7"/>
  <c r="F379" i="7"/>
  <c r="I336" i="7"/>
  <c r="H336" i="7"/>
  <c r="G313" i="7"/>
  <c r="F374" i="7"/>
  <c r="H331" i="7"/>
  <c r="H299" i="7"/>
  <c r="F378" i="7"/>
  <c r="H335" i="7"/>
  <c r="H311" i="7"/>
  <c r="F354" i="7"/>
  <c r="F322" i="7"/>
  <c r="G282" i="7"/>
  <c r="E325" i="7"/>
  <c r="E294" i="7"/>
  <c r="G294" i="7" s="1"/>
  <c r="H314" i="7"/>
  <c r="F357" i="7"/>
  <c r="G369" i="7"/>
  <c r="E412" i="7"/>
  <c r="E375" i="7"/>
  <c r="G332" i="7"/>
  <c r="F364" i="7"/>
  <c r="I321" i="7"/>
  <c r="H321" i="7"/>
  <c r="E396" i="7"/>
  <c r="G353" i="7"/>
  <c r="H353" i="7"/>
  <c r="H293" i="7"/>
  <c r="G358" i="7"/>
  <c r="E401" i="7"/>
  <c r="H358" i="7"/>
  <c r="H256" i="7"/>
  <c r="C450" i="7"/>
  <c r="E404" i="7"/>
  <c r="G361" i="7"/>
  <c r="C422" i="7"/>
  <c r="G292" i="7"/>
  <c r="E335" i="7"/>
  <c r="E364" i="7"/>
  <c r="G321" i="7"/>
  <c r="G355" i="7"/>
  <c r="E398" i="7"/>
  <c r="H355" i="7"/>
  <c r="G314" i="7"/>
  <c r="E357" i="7"/>
  <c r="G289" i="7"/>
  <c r="I448" i="7"/>
  <c r="I449" i="7" s="1"/>
  <c r="I442" i="7"/>
  <c r="E322" i="7"/>
  <c r="G322" i="7" s="1"/>
  <c r="O158" i="6"/>
  <c r="W139" i="6"/>
  <c r="Q155" i="6"/>
  <c r="W136" i="6"/>
  <c r="AF89" i="6"/>
  <c r="O89" i="6"/>
  <c r="AF109" i="6"/>
  <c r="O96" i="6"/>
  <c r="Q116" i="6" s="1"/>
  <c r="AF96" i="6"/>
  <c r="O113" i="6"/>
  <c r="Q99" i="6"/>
  <c r="Q141" i="6"/>
  <c r="R79" i="6"/>
  <c r="R80" i="6" s="1"/>
  <c r="AF117" i="6" s="1"/>
  <c r="E397" i="7" l="1"/>
  <c r="G354" i="7"/>
  <c r="I285" i="7"/>
  <c r="I291" i="7"/>
  <c r="I292" i="7" s="1"/>
  <c r="F501" i="7"/>
  <c r="E370" i="7"/>
  <c r="G327" i="7"/>
  <c r="F405" i="7"/>
  <c r="H362" i="7"/>
  <c r="F376" i="7"/>
  <c r="H333" i="7"/>
  <c r="H327" i="7"/>
  <c r="G364" i="7"/>
  <c r="E407" i="7"/>
  <c r="F413" i="7"/>
  <c r="E402" i="7"/>
  <c r="G359" i="7"/>
  <c r="F416" i="7"/>
  <c r="F421" i="7"/>
  <c r="F455" i="7"/>
  <c r="H412" i="7"/>
  <c r="H374" i="7"/>
  <c r="F417" i="7"/>
  <c r="H356" i="7"/>
  <c r="F399" i="7"/>
  <c r="G398" i="7"/>
  <c r="E441" i="7"/>
  <c r="H398" i="7"/>
  <c r="I485" i="7"/>
  <c r="I491" i="7"/>
  <c r="I492" i="7" s="1"/>
  <c r="F527" i="7"/>
  <c r="C493" i="7"/>
  <c r="G329" i="7"/>
  <c r="E372" i="7"/>
  <c r="H329" i="7"/>
  <c r="E378" i="7"/>
  <c r="E385" i="7" s="1"/>
  <c r="G335" i="7"/>
  <c r="G356" i="7"/>
  <c r="F375" i="7"/>
  <c r="H332" i="7"/>
  <c r="G406" i="7"/>
  <c r="E449" i="7"/>
  <c r="F463" i="7"/>
  <c r="H420" i="7"/>
  <c r="E373" i="7"/>
  <c r="G330" i="7"/>
  <c r="E442" i="7"/>
  <c r="H322" i="7"/>
  <c r="F404" i="7"/>
  <c r="H361" i="7"/>
  <c r="G374" i="7"/>
  <c r="E417" i="7"/>
  <c r="E420" i="7"/>
  <c r="G377" i="7"/>
  <c r="H377" i="7"/>
  <c r="E439" i="7"/>
  <c r="G396" i="7"/>
  <c r="H396" i="7"/>
  <c r="H403" i="7"/>
  <c r="F446" i="7"/>
  <c r="G403" i="7"/>
  <c r="F544" i="7"/>
  <c r="E418" i="7"/>
  <c r="G375" i="7"/>
  <c r="F342" i="7"/>
  <c r="E371" i="7"/>
  <c r="G328" i="7"/>
  <c r="F400" i="7"/>
  <c r="H357" i="7"/>
  <c r="E365" i="7"/>
  <c r="G365" i="7" s="1"/>
  <c r="E405" i="7"/>
  <c r="G362" i="7"/>
  <c r="E400" i="7"/>
  <c r="G357" i="7"/>
  <c r="F397" i="7"/>
  <c r="H354" i="7"/>
  <c r="F365" i="7"/>
  <c r="H379" i="7"/>
  <c r="F422" i="7"/>
  <c r="I379" i="7"/>
  <c r="I528" i="7"/>
  <c r="I534" i="7"/>
  <c r="I535" i="7" s="1"/>
  <c r="H294" i="7"/>
  <c r="H359" i="7"/>
  <c r="E379" i="7"/>
  <c r="G336" i="7"/>
  <c r="E376" i="7"/>
  <c r="G333" i="7"/>
  <c r="E447" i="7"/>
  <c r="G404" i="7"/>
  <c r="F492" i="7"/>
  <c r="E368" i="7"/>
  <c r="G325" i="7"/>
  <c r="E337" i="7"/>
  <c r="I364" i="7"/>
  <c r="F407" i="7"/>
  <c r="H364" i="7"/>
  <c r="G401" i="7"/>
  <c r="E444" i="7"/>
  <c r="H401" i="7"/>
  <c r="E455" i="7"/>
  <c r="G412" i="7"/>
  <c r="C465" i="7"/>
  <c r="E342" i="7"/>
  <c r="G342" i="7" s="1"/>
  <c r="F371" i="7"/>
  <c r="H328" i="7"/>
  <c r="F368" i="7"/>
  <c r="I325" i="7"/>
  <c r="I327" i="7" s="1"/>
  <c r="H325" i="7"/>
  <c r="F337" i="7"/>
  <c r="H337" i="7" s="1"/>
  <c r="F445" i="7"/>
  <c r="Q140" i="6"/>
  <c r="V79" i="6"/>
  <c r="V80" i="6" s="1"/>
  <c r="AF116" i="6" s="1"/>
  <c r="W141" i="6"/>
  <c r="O160" i="6"/>
  <c r="O137" i="6"/>
  <c r="O119" i="6"/>
  <c r="M79" i="6"/>
  <c r="M80" i="6" s="1"/>
  <c r="AF113" i="6" s="1"/>
  <c r="Q109" i="6"/>
  <c r="O99" i="6"/>
  <c r="O100" i="6" s="1"/>
  <c r="G455" i="7" l="1"/>
  <c r="E498" i="7"/>
  <c r="H405" i="7"/>
  <c r="F448" i="7"/>
  <c r="G405" i="7"/>
  <c r="E448" i="7"/>
  <c r="H492" i="7"/>
  <c r="F535" i="7"/>
  <c r="E421" i="7"/>
  <c r="G378" i="7"/>
  <c r="E487" i="7"/>
  <c r="G444" i="7"/>
  <c r="E530" i="7"/>
  <c r="H444" i="7"/>
  <c r="E445" i="7"/>
  <c r="G402" i="7"/>
  <c r="E413" i="7"/>
  <c r="G370" i="7"/>
  <c r="F442" i="7"/>
  <c r="H399" i="7"/>
  <c r="H365" i="7"/>
  <c r="C536" i="7"/>
  <c r="F460" i="7"/>
  <c r="H417" i="7"/>
  <c r="H370" i="7"/>
  <c r="F489" i="7"/>
  <c r="H446" i="7"/>
  <c r="G446" i="7"/>
  <c r="F456" i="7"/>
  <c r="I328" i="7"/>
  <c r="I334" i="7"/>
  <c r="I335" i="7" s="1"/>
  <c r="E492" i="7"/>
  <c r="G449" i="7"/>
  <c r="H371" i="7"/>
  <c r="F414" i="7"/>
  <c r="E416" i="7"/>
  <c r="H416" i="7" s="1"/>
  <c r="G373" i="7"/>
  <c r="E490" i="7"/>
  <c r="E533" i="7"/>
  <c r="G379" i="7"/>
  <c r="E422" i="7"/>
  <c r="G337" i="7"/>
  <c r="F440" i="7"/>
  <c r="H397" i="7"/>
  <c r="F428" i="7"/>
  <c r="F408" i="7"/>
  <c r="H408" i="7" s="1"/>
  <c r="F443" i="7"/>
  <c r="H400" i="7"/>
  <c r="H455" i="7"/>
  <c r="F498" i="7"/>
  <c r="H498" i="7" s="1"/>
  <c r="F541" i="7"/>
  <c r="E450" i="7"/>
  <c r="G407" i="7"/>
  <c r="E484" i="7"/>
  <c r="G441" i="7"/>
  <c r="H441" i="7"/>
  <c r="G418" i="7"/>
  <c r="E461" i="7"/>
  <c r="I368" i="7"/>
  <c r="I370" i="7" s="1"/>
  <c r="H368" i="7"/>
  <c r="F411" i="7"/>
  <c r="F380" i="7"/>
  <c r="E463" i="7"/>
  <c r="G420" i="7"/>
  <c r="F450" i="7"/>
  <c r="I407" i="7"/>
  <c r="H407" i="7"/>
  <c r="F447" i="7"/>
  <c r="G447" i="7" s="1"/>
  <c r="H404" i="7"/>
  <c r="C508" i="7"/>
  <c r="F418" i="7"/>
  <c r="H375" i="7"/>
  <c r="H378" i="7"/>
  <c r="F459" i="7"/>
  <c r="I422" i="7"/>
  <c r="F465" i="7"/>
  <c r="G372" i="7"/>
  <c r="E415" i="7"/>
  <c r="H372" i="7"/>
  <c r="H463" i="7"/>
  <c r="F506" i="7"/>
  <c r="F549" i="7"/>
  <c r="G376" i="7"/>
  <c r="E419" i="7"/>
  <c r="H402" i="7"/>
  <c r="G368" i="7"/>
  <c r="E411" i="7"/>
  <c r="E380" i="7"/>
  <c r="G380" i="7" s="1"/>
  <c r="G400" i="7"/>
  <c r="E443" i="7"/>
  <c r="G371" i="7"/>
  <c r="E414" i="7"/>
  <c r="G399" i="7"/>
  <c r="F464" i="7"/>
  <c r="G397" i="7"/>
  <c r="E440" i="7"/>
  <c r="H376" i="7"/>
  <c r="F419" i="7"/>
  <c r="E460" i="7"/>
  <c r="G417" i="7"/>
  <c r="F385" i="7"/>
  <c r="H385" i="7" s="1"/>
  <c r="H445" i="7"/>
  <c r="F488" i="7"/>
  <c r="F531" i="7"/>
  <c r="E541" i="7"/>
  <c r="G541" i="7" s="1"/>
  <c r="H449" i="7"/>
  <c r="H342" i="7"/>
  <c r="G439" i="7"/>
  <c r="E482" i="7"/>
  <c r="H439" i="7"/>
  <c r="E485" i="7"/>
  <c r="H373" i="7"/>
  <c r="E408" i="7"/>
  <c r="Q133" i="6"/>
  <c r="Q119" i="6"/>
  <c r="O120" i="6" s="1"/>
  <c r="Q156" i="6"/>
  <c r="W137" i="6"/>
  <c r="O143" i="6"/>
  <c r="O159" i="6"/>
  <c r="O162" i="6" s="1"/>
  <c r="W140" i="6"/>
  <c r="G421" i="7" l="1"/>
  <c r="E464" i="7"/>
  <c r="E504" i="7"/>
  <c r="E547" i="7"/>
  <c r="H440" i="7"/>
  <c r="F483" i="7"/>
  <c r="F471" i="7"/>
  <c r="F526" i="7"/>
  <c r="F451" i="7"/>
  <c r="E457" i="7"/>
  <c r="G414" i="7"/>
  <c r="H489" i="7"/>
  <c r="G489" i="7"/>
  <c r="F532" i="7"/>
  <c r="H414" i="7"/>
  <c r="F457" i="7"/>
  <c r="G408" i="7"/>
  <c r="G413" i="7"/>
  <c r="E456" i="7"/>
  <c r="G448" i="7"/>
  <c r="E491" i="7"/>
  <c r="E534" i="7"/>
  <c r="H442" i="7"/>
  <c r="F485" i="7"/>
  <c r="H531" i="7"/>
  <c r="F461" i="7"/>
  <c r="H418" i="7"/>
  <c r="G463" i="7"/>
  <c r="E506" i="7"/>
  <c r="G506" i="7" s="1"/>
  <c r="E549" i="7"/>
  <c r="G549" i="7" s="1"/>
  <c r="G450" i="7"/>
  <c r="E493" i="7"/>
  <c r="E536" i="7"/>
  <c r="G492" i="7"/>
  <c r="E535" i="7"/>
  <c r="G535" i="7" s="1"/>
  <c r="H459" i="7"/>
  <c r="F502" i="7"/>
  <c r="G443" i="7"/>
  <c r="E486" i="7"/>
  <c r="F503" i="7"/>
  <c r="H460" i="7"/>
  <c r="G445" i="7"/>
  <c r="E488" i="7"/>
  <c r="G488" i="7" s="1"/>
  <c r="E531" i="7"/>
  <c r="G531" i="7" s="1"/>
  <c r="H448" i="7"/>
  <c r="F491" i="7"/>
  <c r="G419" i="7"/>
  <c r="E462" i="7"/>
  <c r="E458" i="7"/>
  <c r="G415" i="7"/>
  <c r="H415" i="7"/>
  <c r="G442" i="7"/>
  <c r="C551" i="7"/>
  <c r="H380" i="7"/>
  <c r="H419" i="7"/>
  <c r="F462" i="7"/>
  <c r="G484" i="7"/>
  <c r="H484" i="7"/>
  <c r="E527" i="7"/>
  <c r="H488" i="7"/>
  <c r="E528" i="7"/>
  <c r="H464" i="7"/>
  <c r="F507" i="7"/>
  <c r="I411" i="7"/>
  <c r="I413" i="7" s="1"/>
  <c r="H411" i="7"/>
  <c r="F454" i="7"/>
  <c r="F423" i="7"/>
  <c r="H423" i="7" s="1"/>
  <c r="G530" i="7"/>
  <c r="H530" i="7"/>
  <c r="G498" i="7"/>
  <c r="F490" i="7"/>
  <c r="H490" i="7" s="1"/>
  <c r="H447" i="7"/>
  <c r="G416" i="7"/>
  <c r="E459" i="7"/>
  <c r="F493" i="7"/>
  <c r="I450" i="7"/>
  <c r="H450" i="7"/>
  <c r="H421" i="7"/>
  <c r="F508" i="7"/>
  <c r="I465" i="7"/>
  <c r="H465" i="7"/>
  <c r="F499" i="7"/>
  <c r="G440" i="7"/>
  <c r="E483" i="7"/>
  <c r="E451" i="7"/>
  <c r="G451" i="7" s="1"/>
  <c r="G422" i="7"/>
  <c r="E465" i="7"/>
  <c r="H541" i="7"/>
  <c r="E454" i="7"/>
  <c r="G411" i="7"/>
  <c r="E423" i="7"/>
  <c r="G482" i="7"/>
  <c r="H482" i="7"/>
  <c r="E525" i="7"/>
  <c r="E503" i="7"/>
  <c r="G460" i="7"/>
  <c r="E428" i="7"/>
  <c r="G428" i="7" s="1"/>
  <c r="H422" i="7"/>
  <c r="I371" i="7"/>
  <c r="I377" i="7"/>
  <c r="I378" i="7" s="1"/>
  <c r="H443" i="7"/>
  <c r="F486" i="7"/>
  <c r="F529" i="7"/>
  <c r="H413" i="7"/>
  <c r="G487" i="7"/>
  <c r="H487" i="7"/>
  <c r="G385" i="7"/>
  <c r="Q152" i="6"/>
  <c r="Q162" i="6" s="1"/>
  <c r="Q143" i="6"/>
  <c r="E497" i="7" l="1"/>
  <c r="G454" i="7"/>
  <c r="E540" i="7"/>
  <c r="E466" i="7"/>
  <c r="H503" i="7"/>
  <c r="F546" i="7"/>
  <c r="E499" i="7"/>
  <c r="G499" i="7" s="1"/>
  <c r="G456" i="7"/>
  <c r="E542" i="7"/>
  <c r="F533" i="7"/>
  <c r="G527" i="7"/>
  <c r="H527" i="7"/>
  <c r="G458" i="7"/>
  <c r="E501" i="7"/>
  <c r="H458" i="7"/>
  <c r="E544" i="7"/>
  <c r="G486" i="7"/>
  <c r="E529" i="7"/>
  <c r="G529" i="7" s="1"/>
  <c r="H483" i="7"/>
  <c r="F494" i="7"/>
  <c r="H494" i="7" s="1"/>
  <c r="E508" i="7"/>
  <c r="G465" i="7"/>
  <c r="H549" i="7"/>
  <c r="F500" i="7"/>
  <c r="H457" i="7"/>
  <c r="F543" i="7"/>
  <c r="G503" i="7"/>
  <c r="E546" i="7"/>
  <c r="G546" i="7" s="1"/>
  <c r="H508" i="7"/>
  <c r="I508" i="7"/>
  <c r="F551" i="7"/>
  <c r="F505" i="7"/>
  <c r="H505" i="7" s="1"/>
  <c r="H462" i="7"/>
  <c r="E505" i="7"/>
  <c r="G462" i="7"/>
  <c r="E548" i="7"/>
  <c r="F545" i="7"/>
  <c r="G525" i="7"/>
  <c r="H525" i="7"/>
  <c r="F497" i="7"/>
  <c r="F514" i="7" s="1"/>
  <c r="I454" i="7"/>
  <c r="I456" i="7" s="1"/>
  <c r="H454" i="7"/>
  <c r="F466" i="7"/>
  <c r="H466" i="7" s="1"/>
  <c r="H461" i="7"/>
  <c r="F504" i="7"/>
  <c r="H532" i="7"/>
  <c r="G532" i="7"/>
  <c r="G504" i="7"/>
  <c r="G483" i="7"/>
  <c r="E526" i="7"/>
  <c r="G526" i="7" s="1"/>
  <c r="G490" i="7"/>
  <c r="H491" i="7"/>
  <c r="F534" i="7"/>
  <c r="H534" i="7" s="1"/>
  <c r="H428" i="7"/>
  <c r="G461" i="7"/>
  <c r="I414" i="7"/>
  <c r="I420" i="7"/>
  <c r="I421" i="7" s="1"/>
  <c r="H485" i="7"/>
  <c r="F528" i="7"/>
  <c r="H528" i="7" s="1"/>
  <c r="H535" i="7"/>
  <c r="H529" i="7"/>
  <c r="E537" i="7"/>
  <c r="I493" i="7"/>
  <c r="H493" i="7"/>
  <c r="F536" i="7"/>
  <c r="G536" i="7" s="1"/>
  <c r="F550" i="7"/>
  <c r="E507" i="7"/>
  <c r="G507" i="7" s="1"/>
  <c r="G464" i="7"/>
  <c r="H486" i="7"/>
  <c r="E471" i="7"/>
  <c r="G471" i="7" s="1"/>
  <c r="E502" i="7"/>
  <c r="G459" i="7"/>
  <c r="G534" i="7"/>
  <c r="E500" i="7"/>
  <c r="G500" i="7" s="1"/>
  <c r="G457" i="7"/>
  <c r="E543" i="7"/>
  <c r="G543" i="7" s="1"/>
  <c r="G423" i="7"/>
  <c r="H499" i="7"/>
  <c r="F542" i="7"/>
  <c r="H542" i="7" s="1"/>
  <c r="G528" i="7"/>
  <c r="G493" i="7"/>
  <c r="G491" i="7"/>
  <c r="H506" i="7"/>
  <c r="E494" i="7"/>
  <c r="H456" i="7"/>
  <c r="G485" i="7"/>
  <c r="H451" i="7"/>
  <c r="E550" i="7"/>
  <c r="G550" i="7" s="1"/>
  <c r="H533" i="7" l="1"/>
  <c r="G533" i="7"/>
  <c r="I551" i="7"/>
  <c r="F557" i="7"/>
  <c r="G502" i="7"/>
  <c r="E545" i="7"/>
  <c r="G545" i="7" s="1"/>
  <c r="H526" i="7"/>
  <c r="I497" i="7"/>
  <c r="I499" i="7" s="1"/>
  <c r="H497" i="7"/>
  <c r="F509" i="7"/>
  <c r="G542" i="7"/>
  <c r="G544" i="7"/>
  <c r="H544" i="7"/>
  <c r="H543" i="7"/>
  <c r="H546" i="7"/>
  <c r="G548" i="7"/>
  <c r="G501" i="7"/>
  <c r="H501" i="7"/>
  <c r="H502" i="7"/>
  <c r="H507" i="7"/>
  <c r="F540" i="7"/>
  <c r="H500" i="7"/>
  <c r="G466" i="7"/>
  <c r="H504" i="7"/>
  <c r="F547" i="7"/>
  <c r="E514" i="7"/>
  <c r="G514" i="7" s="1"/>
  <c r="G505" i="7"/>
  <c r="H471" i="7"/>
  <c r="G540" i="7"/>
  <c r="F537" i="7"/>
  <c r="H537" i="7" s="1"/>
  <c r="G494" i="7"/>
  <c r="E552" i="7"/>
  <c r="F548" i="7"/>
  <c r="H548" i="7" s="1"/>
  <c r="H550" i="7"/>
  <c r="I536" i="7"/>
  <c r="H536" i="7"/>
  <c r="I463" i="7"/>
  <c r="I464" i="7" s="1"/>
  <c r="I457" i="7"/>
  <c r="G508" i="7"/>
  <c r="E551" i="7"/>
  <c r="G551" i="7" s="1"/>
  <c r="G497" i="7"/>
  <c r="E509" i="7"/>
  <c r="G509" i="7" s="1"/>
  <c r="H547" i="7" l="1"/>
  <c r="G547" i="7"/>
  <c r="H551" i="7"/>
  <c r="I500" i="7"/>
  <c r="I506" i="7"/>
  <c r="I507" i="7" s="1"/>
  <c r="H545" i="7"/>
  <c r="G552" i="7"/>
  <c r="G537" i="7"/>
  <c r="E557" i="7"/>
  <c r="G557" i="7" s="1"/>
  <c r="I540" i="7"/>
  <c r="I542" i="7" s="1"/>
  <c r="H540" i="7"/>
  <c r="F552" i="7"/>
  <c r="H552" i="7" s="1"/>
  <c r="H509" i="7"/>
  <c r="H514" i="7"/>
  <c r="I543" i="7" l="1"/>
  <c r="I549" i="7"/>
  <c r="I550" i="7" s="1"/>
  <c r="H55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E4" authorId="0" shapeId="0" xr:uid="{39EBAB03-9394-2A4C-B842-898D796701E6}">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47" authorId="0" shapeId="0" xr:uid="{EB87CD5A-7371-8944-8A03-FF51B9949DB5}">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90" authorId="0" shapeId="0" xr:uid="{C057C2AD-2236-2B48-8768-C022D3A21054}">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133" authorId="0" shapeId="0" xr:uid="{9FE9C88A-0D63-7943-8911-CA8DD1C2E8D5}">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176" authorId="0" shapeId="0" xr:uid="{BB59665B-A2BA-2947-B568-6C551DB365AD}">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219" authorId="0" shapeId="0" xr:uid="{0A2D4052-59D3-4447-BE02-1555148C587A}">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262" authorId="0" shapeId="0" xr:uid="{29A5A66D-B884-4141-8560-07245FAD8F64}">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305" authorId="0" shapeId="0" xr:uid="{2800281F-A181-2F45-B3CA-C23F6ACA95AC}">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348" authorId="0" shapeId="0" xr:uid="{0B46AF62-FA27-D346-928A-A612A83C0A67}">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391" authorId="0" shapeId="0" xr:uid="{C46937C1-FD81-074C-892B-98EC50A780E7}">
      <text>
        <r>
          <rPr>
            <b/>
            <sz val="9"/>
            <color indexed="8"/>
            <rFont val="Verdana"/>
            <family val="2"/>
          </rPr>
          <t>Christian Latour:</t>
        </r>
        <r>
          <rPr>
            <sz val="9"/>
            <color indexed="8"/>
            <rFont val="Verdana"/>
            <family val="2"/>
          </rPr>
          <t xml:space="preserve">
</t>
        </r>
        <r>
          <rPr>
            <sz val="9"/>
            <color indexed="8"/>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434" authorId="0" shapeId="0" xr:uid="{2E3F2483-B4BD-E84D-BBBD-9FD90786B794}">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477" authorId="0" shapeId="0" xr:uid="{109064CE-C091-E944-9467-2CF2E6E6E6B3}">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520" authorId="0" shapeId="0" xr:uid="{7D9A849D-C9EC-9A41-9581-3C50FC4A5740}">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List>
</comments>
</file>

<file path=xl/sharedStrings.xml><?xml version="1.0" encoding="utf-8"?>
<sst xmlns="http://schemas.openxmlformats.org/spreadsheetml/2006/main" count="461" uniqueCount="145">
  <si>
    <t xml:space="preserve"> </t>
  </si>
  <si>
    <t>5. Faire une lecture de caisse x à la fin de la journée.</t>
  </si>
  <si>
    <t>TPS</t>
  </si>
  <si>
    <t>Solde après TPS</t>
  </si>
  <si>
    <t>TVQ</t>
  </si>
  <si>
    <t>Total de la facture</t>
  </si>
  <si>
    <t>Master</t>
  </si>
  <si>
    <t>Pourboire</t>
  </si>
  <si>
    <t>Solde à la fermeture</t>
  </si>
  <si>
    <t>Facture no 2</t>
  </si>
  <si>
    <t>Facture no 3</t>
  </si>
  <si>
    <t>No TPS : xxxxxxxxxxxxxx</t>
  </si>
  <si>
    <t>No TVQ : yyyyyyyyyyyyyyyy</t>
  </si>
  <si>
    <t>Cash</t>
  </si>
  <si>
    <t>Transfert comptabilité</t>
  </si>
  <si>
    <t xml:space="preserve"> </t>
    <phoneticPr fontId="2" type="noConversion"/>
  </si>
  <si>
    <t>Facture no. 1</t>
  </si>
  <si>
    <t>TPS à remettre</t>
  </si>
  <si>
    <t>TVQ à remettre</t>
  </si>
  <si>
    <t>Débit</t>
  </si>
  <si>
    <t>Crédit</t>
  </si>
  <si>
    <t>Mastercard</t>
  </si>
  <si>
    <t>INTÉRIEUR DU SYSTÉME DE FACTURATION ENCAISSEMENT</t>
  </si>
  <si>
    <t>Compte CC — Système</t>
  </si>
  <si>
    <t>(Rapport produit par le système - VISIBLE à l'extérieur)</t>
  </si>
  <si>
    <t>Lecture Z</t>
  </si>
  <si>
    <t xml:space="preserve">Lecture X </t>
  </si>
  <si>
    <t>Entre la lecture X et la lecture de fermeture Z, les serveurs ou le gérant peuvent toujours, s’il y a leu, apporter les corrections nécessaires.</t>
  </si>
  <si>
    <t>Balance de vérification à l’intérieur du système de facturation et encaissement lorsqu’on demande une Lecture X</t>
  </si>
  <si>
    <t>6. Faire une lecture de caisse z et comptabiliser la fermeture à l’intérieur du système de facturation et d’encaissement.</t>
  </si>
  <si>
    <t>7. Inscrire le résultat de la journée dans les livres comptables de l’entreprise.</t>
  </si>
  <si>
    <t>Le rapport X est le résultat de la balance de vérification X</t>
  </si>
  <si>
    <t>RAPPORT PRODUIT PAR LE SYSTÈME DE FACTURATION ET ENCAISSEMENT DESTINÉ AUX UTILISATEURS DU SYSTÈME.</t>
  </si>
  <si>
    <t>ou</t>
  </si>
  <si>
    <t>CC - Transfert à la comptabilité</t>
  </si>
  <si>
    <t>1. Compléter les 6 factures ci-jointes.</t>
  </si>
  <si>
    <t>2. Comptabiliser les 6 factures à l’intérieur du système de facturation et d’encaissement.</t>
  </si>
  <si>
    <t>3. Enregistrer les modes de paiement pour les 6 factures.</t>
  </si>
  <si>
    <t>4. Comptabiliser les 6 modes de paiement à l’intérieur du système de facturation et d’encaissement.</t>
  </si>
  <si>
    <t>(ce travail qui se déroule à l’intérieur du système de facturation et encaissement est INVISIBLE pour les utilisateurs du système)</t>
  </si>
  <si>
    <t>Écriture de fermeture à l’intérieur du système de facturation encaissement lorsqu’on demande une fermeture Z</t>
  </si>
  <si>
    <t>L’écriture de fermeture Z est transmise sous forme de rapport d’écriture de fermeture Z ou sous forme de rapport de lecture Z à la comptabilité de façon à transférer les transactions de la journée dans le système comptable de l’entreprise</t>
  </si>
  <si>
    <t>(ce travail qui se déroule à l’intérieur du système de facturation et encaissement devient VISIBLE (présenté sous forme de rapport) pour les utilisateurs du système)</t>
  </si>
  <si>
    <t>Ce transfert peut également être effectué de façon électronique (voir l’exemple des restaurants Archibald)</t>
  </si>
  <si>
    <t>Le rapport Z est le résultat de l’écriture de fermeture Z</t>
  </si>
  <si>
    <t>Pourboire / frais de service à remettre</t>
  </si>
  <si>
    <t>Actif courant - Clients et autres débiteurs</t>
  </si>
  <si>
    <t xml:space="preserve">Écritures comptables dans les livres de l’entreprise </t>
  </si>
  <si>
    <t>Les Multiples Plaisirs Gourmands</t>
  </si>
  <si>
    <t>Facture no 4</t>
  </si>
  <si>
    <t>Facture no 5</t>
  </si>
  <si>
    <t>Facture no 6</t>
  </si>
  <si>
    <t>Revenus nourritures</t>
  </si>
  <si>
    <t>Revenus boissons</t>
  </si>
  <si>
    <t>Lecture X après la fermeture Z</t>
  </si>
  <si>
    <t>PmD :</t>
  </si>
  <si>
    <t>U :</t>
  </si>
  <si>
    <t>D :</t>
  </si>
  <si>
    <t>Um/A</t>
  </si>
  <si>
    <t>A :</t>
  </si>
  <si>
    <t>Chaise 1</t>
  </si>
  <si>
    <t>Chaise 2</t>
  </si>
  <si>
    <t>Dm/A :</t>
  </si>
  <si>
    <t>Serveur no 2 / 17 mai 2021</t>
  </si>
  <si>
    <t xml:space="preserve">PmO : </t>
  </si>
  <si>
    <t>RatioE</t>
  </si>
  <si>
    <t xml:space="preserve">  Um/A (nourritures)</t>
  </si>
  <si>
    <t xml:space="preserve">  Um/A (boissons)</t>
  </si>
  <si>
    <t>1er semestre</t>
  </si>
  <si>
    <t>LISTE DE PRODUITS ET DE PRIX (JANVIER)</t>
  </si>
  <si>
    <t>Coûts des ressources alimentaires pour chaque produit offert (voir recettes standardisées)</t>
  </si>
  <si>
    <t>Prix de vente par produit offert</t>
  </si>
  <si>
    <t xml:space="preserve">« Food &amp; Beverage Cost » </t>
  </si>
  <si>
    <t>Marge brute gagnée sur la vente de chaque produit offert</t>
  </si>
  <si>
    <t>Petite Gâterie 1</t>
  </si>
  <si>
    <t>Petite Gâterie 2</t>
  </si>
  <si>
    <t>Petite Gâterie 3</t>
  </si>
  <si>
    <t>Petite Gâterie 4</t>
  </si>
  <si>
    <t>Petite Gâterie 5</t>
  </si>
  <si>
    <t>Petite Gâterie 6</t>
  </si>
  <si>
    <t>Petite Gâterie 7</t>
  </si>
  <si>
    <t>Petite Gâterie 8</t>
  </si>
  <si>
    <t>Petite Gâterie 9</t>
  </si>
  <si>
    <t>Petite Gâterie 10</t>
  </si>
  <si>
    <t>Petite Gâterie 11</t>
  </si>
  <si>
    <t>Petite Gâterie 12</t>
  </si>
  <si>
    <t>CmO—PmO—Food Cost—BmO</t>
  </si>
  <si>
    <t>Les Boissons  Gâteries</t>
  </si>
  <si>
    <t>CmO—PmO—Beverage Cost—Marge brute</t>
  </si>
  <si>
    <t>CmO</t>
  </si>
  <si>
    <t>PmO</t>
  </si>
  <si>
    <t>F&amp;BCmO</t>
  </si>
  <si>
    <t>BmO</t>
  </si>
  <si>
    <t>OFFRE TOTALE AVEC LES GÂTERIES ET LES CAFÉS GÂTERIES</t>
  </si>
  <si>
    <t>CmO—PmO—F&amp;B cost moyen offert—Marge brute</t>
  </si>
  <si>
    <t>LISTE DE PRODUITS ET DE PRIX (FÉVRIER)</t>
  </si>
  <si>
    <t>LISTE DE PRODUITS ET DE PRIX (MARS)</t>
  </si>
  <si>
    <t>LISTE DE PRODUITS ET DE PRIX (AVRIL)</t>
  </si>
  <si>
    <t>LISTE DE PRODUITS ET DE PRIX (MAI)</t>
  </si>
  <si>
    <t>LISTE DE PRODUITS ET DE PRIX (JUIN)</t>
  </si>
  <si>
    <t>2e semestre</t>
  </si>
  <si>
    <t>LISTE DE PRODUITS ET DE PRIX (JUILLET)</t>
  </si>
  <si>
    <t>LISTE DE PRODUITS ET DE PRIX (AOÛT)</t>
  </si>
  <si>
    <t>LISTE DE PRODUITS ET DE PRIX (SEPTEMBRE)</t>
  </si>
  <si>
    <t>LISTE DE PRODUITS ET DE PRIX (OCTOBRE)</t>
  </si>
  <si>
    <t>LISTE DE PRODUITS ET DE PRIX (NOVEMBRE)</t>
  </si>
  <si>
    <t>LISTE DE PRODUITS ET DE PRIX (DÉCEMBRE)</t>
  </si>
  <si>
    <t>LISTE DE PRODUITS ET DE PRIX (ANNÉE 1)</t>
  </si>
  <si>
    <t xml:space="preserve">   D (boissons) :</t>
  </si>
  <si>
    <t xml:space="preserve">   D (nourritures) :</t>
  </si>
  <si>
    <t xml:space="preserve">   Dm/A (nourritures)</t>
  </si>
  <si>
    <t xml:space="preserve">   Dm/A (boissons)</t>
  </si>
  <si>
    <t xml:space="preserve">   PmD (nourritures)</t>
  </si>
  <si>
    <t xml:space="preserve">    PmD (boissons)</t>
  </si>
  <si>
    <t xml:space="preserve">   PmO (nourritures)</t>
  </si>
  <si>
    <t xml:space="preserve">   PmO (boissons)</t>
  </si>
  <si>
    <t xml:space="preserve">   RatioE (nourritures)</t>
  </si>
  <si>
    <t xml:space="preserve">   RatioE (boissons)</t>
  </si>
  <si>
    <t xml:space="preserve">   U (boissons) :</t>
  </si>
  <si>
    <t xml:space="preserve">   U (nourritures) :</t>
  </si>
  <si>
    <t>De 9 h 30 à 10 h30</t>
  </si>
  <si>
    <t>7. Transférer la lecture de caisse z de la journée à la comptabilité et procéder aux enregistrements de la journée dans les livres comptable de l’entreprise.</t>
  </si>
  <si>
    <t>8. Préparer l’état des résultats de la journée.</t>
  </si>
  <si>
    <t>9. Enregistrer les écritures de fermeture dans les livres comptable de l’entreprise.</t>
  </si>
  <si>
    <t xml:space="preserve">Note : Vous devez utiliser votre charte de compte selon le système uniforme des comptes pour restaurant </t>
  </si>
  <si>
    <t>À FAIRE</t>
  </si>
  <si>
    <t>10. Préparer le bilan à la fin de la journée.</t>
  </si>
  <si>
    <t>Chaise 3</t>
  </si>
  <si>
    <t>Chaise 4</t>
  </si>
  <si>
    <t>Chaise 5</t>
  </si>
  <si>
    <t>Chaise 6</t>
  </si>
  <si>
    <t>Boisson spéciale numéro 1</t>
  </si>
  <si>
    <t>Boisson spéciale numéro 2</t>
  </si>
  <si>
    <t>Boisson spéciale numéro 3</t>
  </si>
  <si>
    <t>Boisson spéciale numéro 4</t>
  </si>
  <si>
    <t>Boisson spéciale numéro 5</t>
  </si>
  <si>
    <t>Boisson spéciale numéro 6</t>
  </si>
  <si>
    <t>Boisson spéciale numéro 7</t>
  </si>
  <si>
    <t>Boisson spéciale numéro 8</t>
  </si>
  <si>
    <t>Boisson spéciale numéro 9</t>
  </si>
  <si>
    <t>Boisson spéciale numéro 10</t>
  </si>
  <si>
    <t>Boisson spéciale numéro 11</t>
  </si>
  <si>
    <t>Boisson spéciale numéro 12</t>
  </si>
  <si>
    <t>Les Petites Gâteries</t>
  </si>
  <si>
    <t>Sous-total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</si>
</sst>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00_);\(&quot;$&quot;#,##0.00\)"/>
    <numFmt numFmtId="165" formatCode="_(&quot;$&quot;* #,##0.00_);_(&quot;$&quot;* \(#,##0.00\);_(&quot;$&quot;* &quot;-&quot;??_);_(@_)"/>
    <numFmt numFmtId="166" formatCode="#,##0.00\ &quot;$&quot;"/>
    <numFmt numFmtId="167" formatCode="0.0000%"/>
    <numFmt numFmtId="168" formatCode="_ * #,##0.0000_)\ &quot;$&quot;_ ;_ * \(#,##0.0000\)\ &quot;$&quot;_ ;_ * &quot;-&quot;????_)\ &quot;$&quot;_ ;_ @_ "/>
    <numFmt numFmtId="169" formatCode="_ * #,##0.00000_)\ &quot;$&quot;_ ;_ * \(#,##0.00000\)\ &quot;$&quot;_ ;_ * &quot;-&quot;?????_)\ &quot;$&quot;_ ;_ @_ "/>
    <numFmt numFmtId="170" formatCode="0.00000%"/>
  </numFmts>
  <fonts count="40" x14ac:knownFonts="1">
    <font>
      <sz val="10"/>
      <name val="Arial"/>
    </font>
    <font>
      <b/>
      <sz val="10"/>
      <name val="Arial"/>
      <family val="2"/>
    </font>
    <font>
      <sz val="8"/>
      <name val="Arial"/>
      <family val="2"/>
    </font>
    <font>
      <sz val="10"/>
      <name val="Arial Black"/>
      <family val="2"/>
    </font>
    <font>
      <b/>
      <sz val="10"/>
      <name val="Arial Black"/>
      <family val="2"/>
    </font>
    <font>
      <b/>
      <sz val="20"/>
      <name val="Arial Black"/>
      <family val="2"/>
    </font>
    <font>
      <b/>
      <sz val="12"/>
      <name val="Arial"/>
      <family val="2"/>
    </font>
    <font>
      <b/>
      <sz val="10"/>
      <name val="Zapf Dingbats"/>
      <charset val="2"/>
    </font>
    <font>
      <b/>
      <sz val="12"/>
      <color rgb="FF000090"/>
      <name val="Arial"/>
      <family val="2"/>
    </font>
    <font>
      <sz val="12"/>
      <name val="Arial"/>
      <family val="2"/>
    </font>
    <font>
      <b/>
      <sz val="12"/>
      <name val="Arial Black"/>
      <family val="2"/>
    </font>
    <font>
      <b/>
      <u/>
      <sz val="12"/>
      <name val="Arial"/>
      <family val="2"/>
    </font>
    <font>
      <u/>
      <sz val="12"/>
      <name val="Arial"/>
      <family val="2"/>
    </font>
    <font>
      <b/>
      <u val="singleAccounting"/>
      <sz val="12"/>
      <color rgb="FFFF0000"/>
      <name val="Arial"/>
      <family val="2"/>
    </font>
    <font>
      <b/>
      <u/>
      <sz val="12"/>
      <color rgb="FFFF0000"/>
      <name val="Arial"/>
      <family val="2"/>
    </font>
    <font>
      <b/>
      <sz val="12"/>
      <color rgb="FFFF0000"/>
      <name val="Arial"/>
      <family val="2"/>
    </font>
    <font>
      <b/>
      <sz val="12"/>
      <color rgb="FF000090"/>
      <name val="Arial Black"/>
      <family val="2"/>
    </font>
    <font>
      <sz val="12"/>
      <color rgb="FF000090"/>
      <name val="Arial"/>
      <family val="2"/>
    </font>
    <font>
      <sz val="12"/>
      <color theme="0"/>
      <name val="Arial"/>
      <family val="2"/>
    </font>
    <font>
      <sz val="12"/>
      <name val="Arial Black"/>
      <family val="2"/>
    </font>
    <font>
      <b/>
      <sz val="12"/>
      <color rgb="FF7030A0"/>
      <name val="Arial"/>
      <family val="2"/>
    </font>
    <font>
      <b/>
      <sz val="10"/>
      <color rgb="FF7030A0"/>
      <name val="Arial"/>
      <family val="2"/>
    </font>
    <font>
      <b/>
      <u val="double"/>
      <sz val="12"/>
      <name val="Arial"/>
      <family val="2"/>
    </font>
    <font>
      <b/>
      <sz val="14"/>
      <name val="Arial"/>
      <family val="2"/>
    </font>
    <font>
      <b/>
      <sz val="19"/>
      <color rgb="FF000000"/>
      <name val="Verdana"/>
      <family val="2"/>
    </font>
    <font>
      <b/>
      <sz val="9"/>
      <color rgb="FF000000"/>
      <name val="Verdana"/>
      <family val="2"/>
    </font>
    <font>
      <sz val="9"/>
      <color rgb="FF000000"/>
      <name val="Verdana"/>
      <family val="2"/>
    </font>
    <font>
      <sz val="10"/>
      <name val="Arial"/>
      <family val="2"/>
    </font>
    <font>
      <sz val="10"/>
      <name val="Verdana"/>
      <family val="2"/>
    </font>
    <font>
      <sz val="10"/>
      <name val="Verdana"/>
      <family val="2"/>
    </font>
    <font>
      <b/>
      <sz val="17"/>
      <color theme="0"/>
      <name val="Arial"/>
      <family val="2"/>
    </font>
    <font>
      <b/>
      <sz val="17"/>
      <name val="Arial"/>
      <family val="2"/>
    </font>
    <font>
      <b/>
      <sz val="12"/>
      <name val="Arial"/>
      <family val="2"/>
      <charset val="204"/>
    </font>
    <font>
      <b/>
      <sz val="10"/>
      <name val="Arial"/>
      <family val="2"/>
      <charset val="204"/>
    </font>
    <font>
      <sz val="12"/>
      <name val="Verdana"/>
      <family val="2"/>
    </font>
    <font>
      <b/>
      <sz val="12"/>
      <name val="Verdana"/>
      <family val="2"/>
    </font>
    <font>
      <b/>
      <sz val="10"/>
      <name val="Verdana"/>
      <family val="2"/>
    </font>
    <font>
      <b/>
      <u val="singleAccounting"/>
      <sz val="12"/>
      <name val="Arial"/>
      <family val="2"/>
    </font>
    <font>
      <b/>
      <sz val="9"/>
      <color indexed="8"/>
      <name val="Verdana"/>
      <family val="2"/>
    </font>
    <font>
      <sz val="9"/>
      <color indexed="8"/>
      <name val="Verdana"/>
      <family val="2"/>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0" tint="-0.14999847407452621"/>
        <bgColor indexed="64"/>
      </patternFill>
    </fill>
  </fills>
  <borders count="52">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top/>
      <bottom style="mediumDashed">
        <color auto="1"/>
      </bottom>
      <diagonal/>
    </border>
    <border>
      <left/>
      <right/>
      <top style="mediumDashed">
        <color auto="1"/>
      </top>
      <bottom/>
      <diagonal/>
    </border>
    <border>
      <left style="thick">
        <color indexed="64"/>
      </left>
      <right style="thick">
        <color indexed="64"/>
      </right>
      <top style="thick">
        <color indexed="64"/>
      </top>
      <bottom style="thick">
        <color indexed="64"/>
      </bottom>
      <diagonal/>
    </border>
    <border>
      <left style="mediumDashed">
        <color auto="1"/>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style="mediumDashed">
        <color auto="1"/>
      </right>
      <top/>
      <bottom style="mediumDashed">
        <color auto="1"/>
      </bottom>
      <diagonal/>
    </border>
    <border>
      <left style="mediumDashed">
        <color auto="1"/>
      </left>
      <right/>
      <top style="mediumDashed">
        <color auto="1"/>
      </top>
      <bottom style="mediumDashed">
        <color auto="1"/>
      </bottom>
      <diagonal/>
    </border>
    <border>
      <left/>
      <right/>
      <top style="mediumDashed">
        <color auto="1"/>
      </top>
      <bottom style="mediumDashed">
        <color auto="1"/>
      </bottom>
      <diagonal/>
    </border>
    <border>
      <left/>
      <right style="mediumDashed">
        <color auto="1"/>
      </right>
      <top style="mediumDashed">
        <color auto="1"/>
      </top>
      <bottom style="mediumDashed">
        <color auto="1"/>
      </bottom>
      <diagonal/>
    </border>
    <border>
      <left style="medium">
        <color indexed="64"/>
      </left>
      <right style="medium">
        <color indexed="64"/>
      </right>
      <top/>
      <bottom/>
      <diagonal/>
    </border>
  </borders>
  <cellStyleXfs count="4">
    <xf numFmtId="0" fontId="0" fillId="0" borderId="0"/>
    <xf numFmtId="0" fontId="27" fillId="0" borderId="0"/>
    <xf numFmtId="0" fontId="28" fillId="0" borderId="0"/>
    <xf numFmtId="0" fontId="29" fillId="0" borderId="0"/>
  </cellStyleXfs>
  <cellXfs count="352">
    <xf numFmtId="0" fontId="0" fillId="0" borderId="0" xfId="0"/>
    <xf numFmtId="0" fontId="1" fillId="0" borderId="0" xfId="0" applyFont="1"/>
    <xf numFmtId="0" fontId="3" fillId="0" borderId="0" xfId="0" applyFont="1"/>
    <xf numFmtId="0" fontId="4" fillId="0" borderId="0" xfId="0" applyFont="1"/>
    <xf numFmtId="0" fontId="4" fillId="0" borderId="2" xfId="0" applyFont="1" applyBorder="1"/>
    <xf numFmtId="0" fontId="0" fillId="0" borderId="2" xfId="0" applyBorder="1"/>
    <xf numFmtId="0" fontId="3" fillId="0" borderId="4" xfId="0" applyFont="1" applyBorder="1"/>
    <xf numFmtId="0" fontId="5" fillId="0" borderId="1" xfId="0" applyFont="1" applyBorder="1"/>
    <xf numFmtId="0" fontId="0" fillId="0" borderId="5" xfId="0" applyBorder="1"/>
    <xf numFmtId="0" fontId="0" fillId="0" borderId="6" xfId="0" applyBorder="1"/>
    <xf numFmtId="0" fontId="0" fillId="0" borderId="0" xfId="0" applyBorder="1"/>
    <xf numFmtId="0" fontId="0" fillId="0" borderId="7" xfId="0" applyBorder="1"/>
    <xf numFmtId="0" fontId="3" fillId="0" borderId="7" xfId="0" applyFont="1" applyBorder="1"/>
    <xf numFmtId="0" fontId="1" fillId="0" borderId="0" xfId="0" applyFont="1" applyBorder="1"/>
    <xf numFmtId="0" fontId="3" fillId="0" borderId="3" xfId="0" applyFont="1" applyBorder="1"/>
    <xf numFmtId="0" fontId="3" fillId="0" borderId="8" xfId="0" applyFont="1" applyBorder="1"/>
    <xf numFmtId="166" fontId="1" fillId="0" borderId="0" xfId="0" applyNumberFormat="1" applyFont="1" applyBorder="1"/>
    <xf numFmtId="0" fontId="7" fillId="0" borderId="0" xfId="0" applyFont="1" applyAlignment="1">
      <alignment horizontal="center"/>
    </xf>
    <xf numFmtId="0" fontId="8" fillId="0" borderId="0" xfId="0" applyFont="1" applyBorder="1" applyAlignment="1">
      <alignment horizontal="center"/>
    </xf>
    <xf numFmtId="0" fontId="9" fillId="0" borderId="0" xfId="0" applyFont="1"/>
    <xf numFmtId="0" fontId="6" fillId="0" borderId="2" xfId="0" applyFont="1" applyBorder="1"/>
    <xf numFmtId="0" fontId="6" fillId="0" borderId="0" xfId="0" applyFont="1" applyBorder="1"/>
    <xf numFmtId="166" fontId="6" fillId="0" borderId="7" xfId="0" applyNumberFormat="1" applyFont="1" applyBorder="1"/>
    <xf numFmtId="166" fontId="6" fillId="0" borderId="7" xfId="0" applyNumberFormat="1" applyFont="1" applyBorder="1" applyAlignment="1">
      <alignment horizontal="center"/>
    </xf>
    <xf numFmtId="0" fontId="9" fillId="0" borderId="9" xfId="0" applyFont="1" applyBorder="1"/>
    <xf numFmtId="0" fontId="6" fillId="0" borderId="10" xfId="0" applyFont="1" applyBorder="1"/>
    <xf numFmtId="0" fontId="9" fillId="0" borderId="10" xfId="0" applyFont="1" applyBorder="1"/>
    <xf numFmtId="0" fontId="9" fillId="0" borderId="11" xfId="0" applyFont="1" applyBorder="1"/>
    <xf numFmtId="0" fontId="9" fillId="0" borderId="0" xfId="0" applyFont="1" applyBorder="1"/>
    <xf numFmtId="0" fontId="9" fillId="0" borderId="13" xfId="0" applyFont="1" applyBorder="1"/>
    <xf numFmtId="0" fontId="9" fillId="0" borderId="12" xfId="0" applyFont="1" applyBorder="1"/>
    <xf numFmtId="165" fontId="13" fillId="0" borderId="0" xfId="0" applyNumberFormat="1" applyFont="1" applyBorder="1"/>
    <xf numFmtId="166" fontId="11" fillId="0" borderId="0" xfId="0" applyNumberFormat="1" applyFont="1" applyBorder="1"/>
    <xf numFmtId="164" fontId="14" fillId="0" borderId="0" xfId="0" applyNumberFormat="1" applyFont="1" applyBorder="1"/>
    <xf numFmtId="165" fontId="15" fillId="0" borderId="0" xfId="0" applyNumberFormat="1" applyFont="1" applyBorder="1"/>
    <xf numFmtId="164" fontId="13" fillId="0" borderId="0" xfId="0" applyNumberFormat="1" applyFont="1" applyBorder="1"/>
    <xf numFmtId="0" fontId="9" fillId="0" borderId="17" xfId="0" applyFont="1" applyBorder="1"/>
    <xf numFmtId="0" fontId="9" fillId="0" borderId="18" xfId="0" applyFont="1" applyBorder="1"/>
    <xf numFmtId="0" fontId="9" fillId="0" borderId="19" xfId="0" applyFont="1" applyBorder="1"/>
    <xf numFmtId="0" fontId="9" fillId="0" borderId="20" xfId="0" applyFont="1" applyBorder="1"/>
    <xf numFmtId="0" fontId="9" fillId="0" borderId="21" xfId="0" applyFont="1" applyBorder="1"/>
    <xf numFmtId="0" fontId="6" fillId="0" borderId="0" xfId="0" applyFont="1" applyBorder="1" applyAlignment="1">
      <alignment horizontal="center"/>
    </xf>
    <xf numFmtId="0" fontId="10" fillId="0" borderId="0" xfId="0" applyFont="1" applyBorder="1"/>
    <xf numFmtId="0" fontId="6" fillId="5" borderId="0" xfId="0" applyFont="1" applyFill="1" applyBorder="1" applyAlignment="1">
      <alignment horizontal="center"/>
    </xf>
    <xf numFmtId="0" fontId="9" fillId="5" borderId="0" xfId="0" applyFont="1" applyFill="1" applyBorder="1"/>
    <xf numFmtId="165" fontId="9" fillId="0" borderId="0" xfId="0" applyNumberFormat="1" applyFont="1" applyBorder="1"/>
    <xf numFmtId="166" fontId="9" fillId="0" borderId="0" xfId="0" applyNumberFormat="1" applyFont="1" applyBorder="1"/>
    <xf numFmtId="0" fontId="9" fillId="0" borderId="0" xfId="0" applyFont="1" applyBorder="1" applyAlignment="1"/>
    <xf numFmtId="165" fontId="9" fillId="0" borderId="0" xfId="0" applyNumberFormat="1" applyFont="1" applyFill="1" applyBorder="1"/>
    <xf numFmtId="165" fontId="11" fillId="0" borderId="0" xfId="0" applyNumberFormat="1" applyFont="1" applyBorder="1"/>
    <xf numFmtId="165" fontId="15" fillId="4" borderId="0" xfId="0" applyNumberFormat="1" applyFont="1" applyFill="1" applyBorder="1"/>
    <xf numFmtId="0" fontId="9" fillId="0" borderId="15" xfId="0" applyFont="1" applyBorder="1"/>
    <xf numFmtId="165" fontId="14" fillId="4" borderId="0" xfId="0" applyNumberFormat="1" applyFont="1" applyFill="1" applyBorder="1"/>
    <xf numFmtId="165" fontId="14" fillId="0" borderId="0" xfId="0" applyNumberFormat="1" applyFont="1" applyBorder="1"/>
    <xf numFmtId="0" fontId="9" fillId="0" borderId="22" xfId="0" applyFont="1" applyBorder="1"/>
    <xf numFmtId="0" fontId="9" fillId="0" borderId="23" xfId="0" applyFont="1" applyBorder="1"/>
    <xf numFmtId="0" fontId="9" fillId="0" borderId="24" xfId="0" applyFont="1" applyBorder="1"/>
    <xf numFmtId="0" fontId="9" fillId="0" borderId="14" xfId="0" applyFont="1" applyBorder="1"/>
    <xf numFmtId="0" fontId="9" fillId="5" borderId="15" xfId="0" applyFont="1" applyFill="1" applyBorder="1"/>
    <xf numFmtId="0" fontId="9" fillId="0" borderId="16" xfId="0" applyFont="1" applyBorder="1"/>
    <xf numFmtId="0" fontId="9" fillId="0" borderId="25" xfId="0" applyFont="1" applyBorder="1"/>
    <xf numFmtId="0" fontId="9" fillId="0" borderId="26" xfId="0" applyFont="1" applyBorder="1"/>
    <xf numFmtId="0" fontId="9" fillId="5" borderId="26" xfId="0" applyFont="1" applyFill="1" applyBorder="1"/>
    <xf numFmtId="0" fontId="9" fillId="0" borderId="27" xfId="0" applyFont="1" applyBorder="1"/>
    <xf numFmtId="0" fontId="9" fillId="0" borderId="28" xfId="0" applyFont="1" applyBorder="1"/>
    <xf numFmtId="0" fontId="9" fillId="0" borderId="29" xfId="0" applyFont="1" applyBorder="1"/>
    <xf numFmtId="165" fontId="13" fillId="4" borderId="0" xfId="0" applyNumberFormat="1" applyFont="1" applyFill="1" applyBorder="1"/>
    <xf numFmtId="0" fontId="9" fillId="0" borderId="30" xfId="0" applyFont="1" applyBorder="1"/>
    <xf numFmtId="0" fontId="9" fillId="0" borderId="31" xfId="0" applyFont="1" applyBorder="1"/>
    <xf numFmtId="0" fontId="9" fillId="0" borderId="32" xfId="0" applyFont="1" applyBorder="1"/>
    <xf numFmtId="0" fontId="9" fillId="0" borderId="2" xfId="0" applyFont="1" applyBorder="1" applyProtection="1">
      <protection locked="0"/>
    </xf>
    <xf numFmtId="0" fontId="9" fillId="0" borderId="7" xfId="0" applyFont="1" applyBorder="1" applyProtection="1">
      <protection locked="0"/>
    </xf>
    <xf numFmtId="166" fontId="9" fillId="0" borderId="6" xfId="0" applyNumberFormat="1" applyFont="1" applyBorder="1" applyProtection="1">
      <protection locked="0"/>
    </xf>
    <xf numFmtId="166" fontId="6" fillId="0" borderId="7" xfId="0" applyNumberFormat="1" applyFont="1" applyBorder="1" applyProtection="1">
      <protection locked="0"/>
    </xf>
    <xf numFmtId="165" fontId="6" fillId="0" borderId="12" xfId="0" applyNumberFormat="1" applyFont="1" applyBorder="1"/>
    <xf numFmtId="165" fontId="6" fillId="0" borderId="16" xfId="0" applyNumberFormat="1" applyFont="1" applyBorder="1"/>
    <xf numFmtId="166" fontId="0" fillId="0" borderId="0" xfId="0" applyNumberFormat="1"/>
    <xf numFmtId="0" fontId="0" fillId="0" borderId="0" xfId="0" applyAlignment="1">
      <alignment wrapText="1"/>
    </xf>
    <xf numFmtId="0" fontId="0" fillId="0" borderId="0" xfId="0" applyAlignment="1">
      <alignment wrapText="1"/>
    </xf>
    <xf numFmtId="0" fontId="6" fillId="0" borderId="13" xfId="0" applyFont="1" applyBorder="1" applyAlignment="1"/>
    <xf numFmtId="0" fontId="6" fillId="0" borderId="0" xfId="0" applyFont="1" applyBorder="1" applyAlignment="1"/>
    <xf numFmtId="0" fontId="6" fillId="0" borderId="0" xfId="0" applyFont="1" applyBorder="1" applyAlignment="1">
      <alignment horizontal="center"/>
    </xf>
    <xf numFmtId="0" fontId="6" fillId="0" borderId="2" xfId="0" applyFont="1" applyBorder="1" applyAlignment="1">
      <alignment wrapText="1"/>
    </xf>
    <xf numFmtId="0" fontId="6" fillId="0" borderId="0" xfId="0" applyFont="1" applyBorder="1" applyAlignment="1">
      <alignment horizontal="center"/>
    </xf>
    <xf numFmtId="166" fontId="20" fillId="2" borderId="7" xfId="0" applyNumberFormat="1" applyFont="1" applyFill="1" applyBorder="1" applyAlignment="1" applyProtection="1">
      <alignment horizontal="center"/>
      <protection locked="0"/>
    </xf>
    <xf numFmtId="10" fontId="6" fillId="0" borderId="0" xfId="0" applyNumberFormat="1" applyFont="1" applyBorder="1" applyAlignment="1">
      <alignment horizontal="center"/>
    </xf>
    <xf numFmtId="167" fontId="6" fillId="0" borderId="0" xfId="0" applyNumberFormat="1" applyFont="1" applyBorder="1" applyAlignment="1">
      <alignment horizontal="center"/>
    </xf>
    <xf numFmtId="166" fontId="11" fillId="0" borderId="7" xfId="0" applyNumberFormat="1" applyFont="1" applyBorder="1" applyAlignment="1">
      <alignment horizontal="center"/>
    </xf>
    <xf numFmtId="166" fontId="22" fillId="4" borderId="7" xfId="0" applyNumberFormat="1" applyFont="1" applyFill="1" applyBorder="1" applyAlignment="1" applyProtection="1">
      <alignment horizontal="center"/>
    </xf>
    <xf numFmtId="164" fontId="9" fillId="0" borderId="0" xfId="0" applyNumberFormat="1" applyFont="1" applyBorder="1"/>
    <xf numFmtId="0" fontId="27" fillId="0" borderId="0" xfId="1"/>
    <xf numFmtId="0" fontId="28" fillId="0" borderId="0" xfId="2"/>
    <xf numFmtId="0" fontId="30" fillId="5" borderId="0" xfId="1" applyFont="1" applyFill="1" applyAlignment="1">
      <alignment horizontal="center"/>
    </xf>
    <xf numFmtId="165" fontId="27" fillId="0" borderId="0" xfId="1" applyNumberFormat="1"/>
    <xf numFmtId="0" fontId="31" fillId="0" borderId="0" xfId="1" applyFont="1" applyAlignment="1">
      <alignment horizontal="center"/>
    </xf>
    <xf numFmtId="0" fontId="33" fillId="0" borderId="0" xfId="1" applyFont="1" applyAlignment="1">
      <alignment horizontal="center" vertical="center" wrapText="1"/>
    </xf>
    <xf numFmtId="0" fontId="36" fillId="0" borderId="0" xfId="3" applyFont="1" applyAlignment="1">
      <alignment horizontal="center" vertical="center" wrapText="1"/>
    </xf>
    <xf numFmtId="10" fontId="27" fillId="0" borderId="0" xfId="1" applyNumberFormat="1"/>
    <xf numFmtId="0" fontId="9" fillId="0" borderId="0" xfId="1" applyFont="1"/>
    <xf numFmtId="0" fontId="6" fillId="0" borderId="0" xfId="1" applyFont="1"/>
    <xf numFmtId="165" fontId="9" fillId="0" borderId="0" xfId="1" applyNumberFormat="1" applyFont="1"/>
    <xf numFmtId="10" fontId="9" fillId="0" borderId="0" xfId="1" applyNumberFormat="1" applyFont="1"/>
    <xf numFmtId="165" fontId="9" fillId="0" borderId="0" xfId="1" applyNumberFormat="1" applyFont="1" applyAlignment="1">
      <alignment horizontal="center"/>
    </xf>
    <xf numFmtId="10" fontId="9" fillId="0" borderId="0" xfId="1" applyNumberFormat="1" applyFont="1" applyAlignment="1">
      <alignment horizontal="center"/>
    </xf>
    <xf numFmtId="165" fontId="9" fillId="0" borderId="0" xfId="1" applyNumberFormat="1" applyFont="1" applyAlignment="1">
      <alignment horizontal="right"/>
    </xf>
    <xf numFmtId="0" fontId="9" fillId="0" borderId="39" xfId="1" applyFont="1" applyBorder="1"/>
    <xf numFmtId="165" fontId="9" fillId="0" borderId="39" xfId="1" applyNumberFormat="1" applyFont="1" applyBorder="1" applyAlignment="1">
      <alignment horizontal="center"/>
    </xf>
    <xf numFmtId="10" fontId="9" fillId="0" borderId="39" xfId="1" applyNumberFormat="1" applyFont="1" applyBorder="1" applyAlignment="1">
      <alignment horizontal="center"/>
    </xf>
    <xf numFmtId="165" fontId="9" fillId="0" borderId="39" xfId="1" applyNumberFormat="1" applyFont="1" applyBorder="1" applyAlignment="1">
      <alignment horizontal="right"/>
    </xf>
    <xf numFmtId="165" fontId="9" fillId="0" borderId="39" xfId="1" applyNumberFormat="1" applyFont="1" applyBorder="1"/>
    <xf numFmtId="168" fontId="37" fillId="0" borderId="0" xfId="1" applyNumberFormat="1" applyFont="1" applyAlignment="1">
      <alignment horizontal="center"/>
    </xf>
    <xf numFmtId="169" fontId="37" fillId="0" borderId="0" xfId="1" applyNumberFormat="1" applyFont="1" applyAlignment="1">
      <alignment horizontal="center"/>
    </xf>
    <xf numFmtId="167" fontId="37" fillId="0" borderId="0" xfId="1" applyNumberFormat="1" applyFont="1" applyAlignment="1">
      <alignment horizontal="center"/>
    </xf>
    <xf numFmtId="168" fontId="37" fillId="0" borderId="0" xfId="1" applyNumberFormat="1" applyFont="1" applyAlignment="1">
      <alignment horizontal="right"/>
    </xf>
    <xf numFmtId="165" fontId="37" fillId="0" borderId="0" xfId="1" applyNumberFormat="1" applyFont="1"/>
    <xf numFmtId="0" fontId="9" fillId="0" borderId="0" xfId="1" applyFont="1" applyAlignment="1">
      <alignment horizontal="right"/>
    </xf>
    <xf numFmtId="167" fontId="11" fillId="0" borderId="0" xfId="1" applyNumberFormat="1" applyFont="1" applyAlignment="1">
      <alignment horizontal="center"/>
    </xf>
    <xf numFmtId="0" fontId="9" fillId="0" borderId="9" xfId="1" applyFont="1" applyBorder="1"/>
    <xf numFmtId="0" fontId="6" fillId="0" borderId="10" xfId="1" applyFont="1" applyBorder="1"/>
    <xf numFmtId="165" fontId="37" fillId="0" borderId="10" xfId="1" applyNumberFormat="1" applyFont="1" applyBorder="1" applyAlignment="1">
      <alignment horizontal="center"/>
    </xf>
    <xf numFmtId="10" fontId="11" fillId="0" borderId="10" xfId="1" applyNumberFormat="1" applyFont="1" applyBorder="1"/>
    <xf numFmtId="165" fontId="37" fillId="0" borderId="10" xfId="1" applyNumberFormat="1" applyFont="1" applyBorder="1" applyAlignment="1">
      <alignment horizontal="right"/>
    </xf>
    <xf numFmtId="165" fontId="37" fillId="0" borderId="11" xfId="1" applyNumberFormat="1" applyFont="1" applyBorder="1"/>
    <xf numFmtId="0" fontId="9" fillId="0" borderId="13" xfId="1" applyFont="1" applyBorder="1"/>
    <xf numFmtId="165" fontId="6" fillId="0" borderId="41" xfId="1" applyNumberFormat="1" applyFont="1" applyBorder="1" applyAlignment="1">
      <alignment horizontal="center"/>
    </xf>
    <xf numFmtId="10" fontId="6" fillId="0" borderId="41" xfId="1" applyNumberFormat="1" applyFont="1" applyBorder="1" applyAlignment="1">
      <alignment horizontal="center"/>
    </xf>
    <xf numFmtId="165" fontId="6" fillId="0" borderId="35" xfId="1" applyNumberFormat="1" applyFont="1" applyBorder="1" applyAlignment="1">
      <alignment horizontal="center"/>
    </xf>
    <xf numFmtId="165" fontId="6" fillId="0" borderId="12" xfId="1" applyNumberFormat="1" applyFont="1" applyBorder="1" applyAlignment="1">
      <alignment horizontal="center"/>
    </xf>
    <xf numFmtId="0" fontId="11" fillId="0" borderId="0" xfId="1" applyFont="1"/>
    <xf numFmtId="0" fontId="9" fillId="0" borderId="12" xfId="1" applyFont="1" applyBorder="1"/>
    <xf numFmtId="170" fontId="11" fillId="0" borderId="0" xfId="1" applyNumberFormat="1" applyFont="1" applyAlignment="1">
      <alignment horizontal="center"/>
    </xf>
    <xf numFmtId="169" fontId="37" fillId="0" borderId="0" xfId="1" applyNumberFormat="1" applyFont="1" applyAlignment="1">
      <alignment horizontal="right"/>
    </xf>
    <xf numFmtId="165" fontId="37" fillId="0" borderId="12" xfId="1" applyNumberFormat="1" applyFont="1" applyBorder="1" applyAlignment="1">
      <alignment horizontal="center"/>
    </xf>
    <xf numFmtId="165" fontId="6" fillId="0" borderId="0" xfId="1" applyNumberFormat="1" applyFont="1" applyAlignment="1">
      <alignment horizontal="center"/>
    </xf>
    <xf numFmtId="10" fontId="6" fillId="0" borderId="0" xfId="1" applyNumberFormat="1" applyFont="1" applyAlignment="1">
      <alignment horizontal="center"/>
    </xf>
    <xf numFmtId="0" fontId="6" fillId="0" borderId="0" xfId="1" applyFont="1" applyAlignment="1">
      <alignment horizontal="center"/>
    </xf>
    <xf numFmtId="0" fontId="6" fillId="0" borderId="12" xfId="1" applyFont="1" applyBorder="1" applyAlignment="1">
      <alignment horizontal="center"/>
    </xf>
    <xf numFmtId="0" fontId="9" fillId="0" borderId="14" xfId="1" applyFont="1" applyBorder="1"/>
    <xf numFmtId="0" fontId="11" fillId="0" borderId="15" xfId="1" applyFont="1" applyBorder="1"/>
    <xf numFmtId="165" fontId="6" fillId="0" borderId="15" xfId="1" applyNumberFormat="1" applyFont="1" applyBorder="1" applyAlignment="1">
      <alignment horizontal="center"/>
    </xf>
    <xf numFmtId="10" fontId="6" fillId="0" borderId="15" xfId="1" applyNumberFormat="1" applyFont="1" applyBorder="1" applyAlignment="1">
      <alignment horizontal="center"/>
    </xf>
    <xf numFmtId="0" fontId="6" fillId="0" borderId="15" xfId="1" applyFont="1" applyBorder="1" applyAlignment="1">
      <alignment horizontal="center"/>
    </xf>
    <xf numFmtId="0" fontId="6" fillId="0" borderId="16" xfId="1" applyFont="1" applyBorder="1" applyAlignment="1">
      <alignment horizontal="center"/>
    </xf>
    <xf numFmtId="165" fontId="9" fillId="4" borderId="0" xfId="1" applyNumberFormat="1" applyFont="1" applyFill="1" applyAlignment="1">
      <alignment horizontal="center"/>
    </xf>
    <xf numFmtId="0" fontId="29" fillId="0" borderId="0" xfId="3"/>
    <xf numFmtId="165" fontId="9" fillId="3" borderId="0" xfId="1" applyNumberFormat="1" applyFont="1" applyFill="1" applyAlignment="1">
      <alignment horizontal="center"/>
    </xf>
    <xf numFmtId="0" fontId="9" fillId="8" borderId="9" xfId="1" applyFont="1" applyFill="1" applyBorder="1"/>
    <xf numFmtId="0" fontId="6" fillId="8" borderId="10" xfId="1" applyFont="1" applyFill="1" applyBorder="1"/>
    <xf numFmtId="165" fontId="37" fillId="8" borderId="10" xfId="1" applyNumberFormat="1" applyFont="1" applyFill="1" applyBorder="1" applyAlignment="1">
      <alignment horizontal="center"/>
    </xf>
    <xf numFmtId="10" fontId="11" fillId="8" borderId="10" xfId="1" applyNumberFormat="1" applyFont="1" applyFill="1" applyBorder="1"/>
    <xf numFmtId="165" fontId="37" fillId="8" borderId="11" xfId="1" applyNumberFormat="1" applyFont="1" applyFill="1" applyBorder="1"/>
    <xf numFmtId="0" fontId="9" fillId="8" borderId="13" xfId="1" applyFont="1" applyFill="1" applyBorder="1"/>
    <xf numFmtId="0" fontId="6" fillId="8" borderId="0" xfId="1" applyFont="1" applyFill="1"/>
    <xf numFmtId="165" fontId="6" fillId="8" borderId="41" xfId="1" applyNumberFormat="1" applyFont="1" applyFill="1" applyBorder="1" applyAlignment="1">
      <alignment horizontal="center"/>
    </xf>
    <xf numFmtId="10" fontId="6" fillId="8" borderId="41" xfId="1" applyNumberFormat="1" applyFont="1" applyFill="1" applyBorder="1" applyAlignment="1">
      <alignment horizontal="center"/>
    </xf>
    <xf numFmtId="165" fontId="6" fillId="8" borderId="35" xfId="1" applyNumberFormat="1" applyFont="1" applyFill="1" applyBorder="1" applyAlignment="1">
      <alignment horizontal="center"/>
    </xf>
    <xf numFmtId="165" fontId="6" fillId="8" borderId="12" xfId="1" applyNumberFormat="1" applyFont="1" applyFill="1" applyBorder="1" applyAlignment="1">
      <alignment horizontal="center"/>
    </xf>
    <xf numFmtId="0" fontId="11" fillId="8" borderId="0" xfId="1" applyFont="1" applyFill="1"/>
    <xf numFmtId="165" fontId="9" fillId="8" borderId="0" xfId="1" applyNumberFormat="1" applyFont="1" applyFill="1" applyAlignment="1">
      <alignment horizontal="center"/>
    </xf>
    <xf numFmtId="10" fontId="9" fillId="8" borderId="0" xfId="1" applyNumberFormat="1" applyFont="1" applyFill="1"/>
    <xf numFmtId="0" fontId="9" fillId="8" borderId="0" xfId="1" applyFont="1" applyFill="1" applyAlignment="1">
      <alignment horizontal="right"/>
    </xf>
    <xf numFmtId="0" fontId="9" fillId="8" borderId="12" xfId="1" applyFont="1" applyFill="1" applyBorder="1"/>
    <xf numFmtId="169" fontId="37" fillId="8" borderId="0" xfId="1" applyNumberFormat="1" applyFont="1" applyFill="1" applyAlignment="1">
      <alignment horizontal="center"/>
    </xf>
    <xf numFmtId="170" fontId="11" fillId="8" borderId="0" xfId="1" applyNumberFormat="1" applyFont="1" applyFill="1" applyAlignment="1">
      <alignment horizontal="center"/>
    </xf>
    <xf numFmtId="169" fontId="37" fillId="8" borderId="0" xfId="1" applyNumberFormat="1" applyFont="1" applyFill="1" applyAlignment="1">
      <alignment horizontal="right"/>
    </xf>
    <xf numFmtId="165" fontId="37" fillId="8" borderId="12" xfId="1" applyNumberFormat="1" applyFont="1" applyFill="1" applyBorder="1" applyAlignment="1">
      <alignment horizontal="center"/>
    </xf>
    <xf numFmtId="0" fontId="9" fillId="8" borderId="0" xfId="1" applyFont="1" applyFill="1"/>
    <xf numFmtId="165" fontId="6" fillId="8" borderId="0" xfId="1" applyNumberFormat="1" applyFont="1" applyFill="1" applyAlignment="1">
      <alignment horizontal="center"/>
    </xf>
    <xf numFmtId="10" fontId="6" fillId="8" borderId="0" xfId="1" applyNumberFormat="1" applyFont="1" applyFill="1" applyAlignment="1">
      <alignment horizontal="center"/>
    </xf>
    <xf numFmtId="0" fontId="6" fillId="8" borderId="0" xfId="1" applyFont="1" applyFill="1" applyAlignment="1">
      <alignment horizontal="center"/>
    </xf>
    <xf numFmtId="0" fontId="6" fillId="8" borderId="12" xfId="1" applyFont="1" applyFill="1" applyBorder="1" applyAlignment="1">
      <alignment horizontal="center"/>
    </xf>
    <xf numFmtId="0" fontId="9" fillId="8" borderId="14" xfId="1" applyFont="1" applyFill="1" applyBorder="1"/>
    <xf numFmtId="0" fontId="11" fillId="8" borderId="15" xfId="1" applyFont="1" applyFill="1" applyBorder="1"/>
    <xf numFmtId="165" fontId="6" fillId="8" borderId="15" xfId="1" applyNumberFormat="1" applyFont="1" applyFill="1" applyBorder="1" applyAlignment="1">
      <alignment horizontal="center"/>
    </xf>
    <xf numFmtId="10" fontId="6" fillId="8" borderId="15" xfId="1" applyNumberFormat="1" applyFont="1" applyFill="1" applyBorder="1" applyAlignment="1">
      <alignment horizontal="center"/>
    </xf>
    <xf numFmtId="0" fontId="6" fillId="8" borderId="15" xfId="1" applyFont="1" applyFill="1" applyBorder="1" applyAlignment="1">
      <alignment horizontal="center"/>
    </xf>
    <xf numFmtId="0" fontId="6" fillId="8" borderId="16" xfId="1" applyFont="1" applyFill="1" applyBorder="1" applyAlignment="1">
      <alignment horizontal="center"/>
    </xf>
    <xf numFmtId="165" fontId="23" fillId="0" borderId="43" xfId="0" applyNumberFormat="1" applyFont="1" applyBorder="1" applyAlignment="1">
      <alignment horizontal="center"/>
    </xf>
    <xf numFmtId="165" fontId="23" fillId="0" borderId="45" xfId="0" applyNumberFormat="1" applyFont="1" applyBorder="1" applyAlignment="1">
      <alignment horizontal="center"/>
    </xf>
    <xf numFmtId="165" fontId="23" fillId="0" borderId="47" xfId="0" applyNumberFormat="1" applyFont="1" applyBorder="1" applyAlignment="1">
      <alignment horizontal="center"/>
    </xf>
    <xf numFmtId="1" fontId="23" fillId="0" borderId="43" xfId="0" applyNumberFormat="1" applyFont="1" applyBorder="1" applyAlignment="1">
      <alignment horizontal="center"/>
    </xf>
    <xf numFmtId="1" fontId="23" fillId="0" borderId="45" xfId="0" applyNumberFormat="1" applyFont="1" applyBorder="1" applyAlignment="1">
      <alignment horizontal="center"/>
    </xf>
    <xf numFmtId="0" fontId="23" fillId="0" borderId="47" xfId="0" applyFont="1" applyBorder="1" applyAlignment="1">
      <alignment horizontal="center"/>
    </xf>
    <xf numFmtId="0" fontId="23" fillId="0" borderId="43" xfId="0" applyFont="1" applyBorder="1" applyAlignment="1">
      <alignment horizontal="center"/>
    </xf>
    <xf numFmtId="2" fontId="23" fillId="0" borderId="45" xfId="0" applyNumberFormat="1" applyFont="1" applyBorder="1" applyAlignment="1">
      <alignment horizontal="center"/>
    </xf>
    <xf numFmtId="2" fontId="23" fillId="0" borderId="47" xfId="0" applyNumberFormat="1" applyFont="1" applyBorder="1" applyAlignment="1">
      <alignment horizontal="center"/>
    </xf>
    <xf numFmtId="10" fontId="23" fillId="0" borderId="43" xfId="0" applyNumberFormat="1" applyFont="1" applyBorder="1" applyAlignment="1">
      <alignment horizontal="center"/>
    </xf>
    <xf numFmtId="10" fontId="23" fillId="0" borderId="45" xfId="0" applyNumberFormat="1" applyFont="1" applyBorder="1" applyAlignment="1">
      <alignment horizontal="center"/>
    </xf>
    <xf numFmtId="10" fontId="23" fillId="0" borderId="47" xfId="0" applyNumberFormat="1" applyFont="1" applyBorder="1" applyAlignment="1">
      <alignment horizontal="center"/>
    </xf>
    <xf numFmtId="0" fontId="23" fillId="0" borderId="50" xfId="0" applyFont="1" applyBorder="1" applyAlignment="1">
      <alignment horizontal="center"/>
    </xf>
    <xf numFmtId="0" fontId="0" fillId="0" borderId="9" xfId="0" applyBorder="1"/>
    <xf numFmtId="0" fontId="0" fillId="0" borderId="10" xfId="0" applyBorder="1"/>
    <xf numFmtId="0" fontId="0" fillId="0" borderId="11" xfId="0" applyBorder="1"/>
    <xf numFmtId="0" fontId="0" fillId="0" borderId="13" xfId="0" applyBorder="1"/>
    <xf numFmtId="0" fontId="0" fillId="0" borderId="12" xfId="0" applyBorder="1" applyAlignment="1">
      <alignment wrapText="1"/>
    </xf>
    <xf numFmtId="0" fontId="0" fillId="0" borderId="12" xfId="0" applyBorder="1"/>
    <xf numFmtId="0" fontId="23" fillId="0" borderId="12" xfId="0" applyFont="1" applyBorder="1" applyAlignment="1">
      <alignment horizontal="center"/>
    </xf>
    <xf numFmtId="165" fontId="23" fillId="0" borderId="12" xfId="0" applyNumberFormat="1" applyFont="1" applyBorder="1" applyAlignment="1">
      <alignment horizontal="center"/>
    </xf>
    <xf numFmtId="165" fontId="0" fillId="0" borderId="0" xfId="0" applyNumberFormat="1" applyBorder="1" applyAlignment="1">
      <alignment horizontal="center"/>
    </xf>
    <xf numFmtId="165" fontId="0" fillId="0" borderId="12" xfId="0" applyNumberFormat="1"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10" fontId="23" fillId="0" borderId="12" xfId="0" applyNumberFormat="1" applyFont="1" applyBorder="1" applyAlignment="1">
      <alignment horizontal="center"/>
    </xf>
    <xf numFmtId="1" fontId="23" fillId="0" borderId="12" xfId="0" applyNumberFormat="1" applyFont="1" applyBorder="1" applyAlignment="1">
      <alignment horizontal="center"/>
    </xf>
    <xf numFmtId="2" fontId="23" fillId="0" borderId="12" xfId="0" applyNumberFormat="1" applyFont="1" applyBorder="1" applyAlignment="1">
      <alignment horizontal="center"/>
    </xf>
    <xf numFmtId="0" fontId="0" fillId="0" borderId="14" xfId="0" applyBorder="1"/>
    <xf numFmtId="0" fontId="0" fillId="0" borderId="15" xfId="0" applyBorder="1"/>
    <xf numFmtId="0" fontId="0" fillId="0" borderId="16" xfId="0" applyBorder="1"/>
    <xf numFmtId="0" fontId="23" fillId="0" borderId="0" xfId="0" applyFont="1"/>
    <xf numFmtId="165" fontId="23" fillId="0" borderId="0" xfId="0" applyNumberFormat="1" applyFont="1"/>
    <xf numFmtId="165" fontId="23" fillId="8" borderId="43" xfId="0" applyNumberFormat="1" applyFont="1" applyFill="1" applyBorder="1" applyAlignment="1">
      <alignment horizontal="center"/>
    </xf>
    <xf numFmtId="166" fontId="11" fillId="0" borderId="0" xfId="0" applyNumberFormat="1" applyFont="1" applyFill="1" applyBorder="1" applyProtection="1"/>
    <xf numFmtId="0" fontId="9" fillId="0" borderId="0" xfId="0" applyFont="1" applyFill="1" applyBorder="1" applyProtection="1"/>
    <xf numFmtId="0" fontId="9" fillId="0" borderId="0" xfId="0" applyFont="1" applyFill="1" applyBorder="1"/>
    <xf numFmtId="166" fontId="6" fillId="0" borderId="6" xfId="0" applyNumberFormat="1" applyFont="1" applyFill="1" applyBorder="1" applyProtection="1">
      <protection locked="0"/>
    </xf>
    <xf numFmtId="0" fontId="9" fillId="0" borderId="1" xfId="0" applyFont="1" applyFill="1" applyBorder="1" applyProtection="1">
      <protection locked="0"/>
    </xf>
    <xf numFmtId="166" fontId="9" fillId="0" borderId="7" xfId="0" applyNumberFormat="1" applyFont="1" applyFill="1" applyBorder="1" applyProtection="1">
      <protection locked="0"/>
    </xf>
    <xf numFmtId="0" fontId="9" fillId="0" borderId="2" xfId="0" applyFont="1" applyFill="1" applyBorder="1" applyProtection="1">
      <protection locked="0"/>
    </xf>
    <xf numFmtId="166" fontId="9" fillId="0" borderId="2" xfId="0" applyNumberFormat="1" applyFont="1" applyFill="1" applyBorder="1" applyProtection="1">
      <protection locked="0"/>
    </xf>
    <xf numFmtId="166" fontId="6" fillId="0" borderId="7" xfId="0" applyNumberFormat="1" applyFont="1" applyFill="1" applyBorder="1" applyProtection="1">
      <protection locked="0"/>
    </xf>
    <xf numFmtId="166" fontId="12" fillId="0" borderId="0" xfId="0" applyNumberFormat="1" applyFont="1" applyFill="1" applyBorder="1" applyProtection="1"/>
    <xf numFmtId="0" fontId="9" fillId="0" borderId="5" xfId="0" applyFont="1" applyFill="1" applyBorder="1" applyProtection="1">
      <protection locked="0"/>
    </xf>
    <xf numFmtId="164" fontId="9" fillId="0" borderId="1" xfId="0" applyNumberFormat="1" applyFont="1" applyFill="1" applyBorder="1" applyProtection="1">
      <protection locked="0"/>
    </xf>
    <xf numFmtId="0" fontId="9" fillId="0" borderId="0" xfId="0" applyFont="1" applyFill="1" applyBorder="1" applyProtection="1">
      <protection locked="0"/>
    </xf>
    <xf numFmtId="164" fontId="9" fillId="0" borderId="2" xfId="0" applyNumberFormat="1" applyFont="1" applyFill="1" applyBorder="1" applyProtection="1">
      <protection locked="0"/>
    </xf>
    <xf numFmtId="165" fontId="13" fillId="0" borderId="0" xfId="0" applyNumberFormat="1" applyFont="1" applyFill="1" applyBorder="1"/>
    <xf numFmtId="166" fontId="11" fillId="0" borderId="0" xfId="0" applyNumberFormat="1" applyFont="1" applyFill="1" applyBorder="1"/>
    <xf numFmtId="164" fontId="14" fillId="0" borderId="0" xfId="0" applyNumberFormat="1" applyFont="1" applyFill="1" applyBorder="1"/>
    <xf numFmtId="0" fontId="9" fillId="0" borderId="6" xfId="0" applyFont="1" applyFill="1" applyBorder="1" applyProtection="1">
      <protection locked="0"/>
    </xf>
    <xf numFmtId="166" fontId="9" fillId="0" borderId="1" xfId="0" applyNumberFormat="1" applyFont="1" applyFill="1" applyBorder="1" applyProtection="1">
      <protection locked="0"/>
    </xf>
    <xf numFmtId="0" fontId="9" fillId="0" borderId="7" xfId="0" applyFont="1" applyFill="1" applyBorder="1" applyProtection="1">
      <protection locked="0"/>
    </xf>
    <xf numFmtId="166" fontId="6" fillId="0" borderId="2" xfId="0" applyNumberFormat="1" applyFont="1" applyFill="1" applyBorder="1" applyProtection="1">
      <protection locked="0"/>
    </xf>
    <xf numFmtId="166" fontId="9" fillId="0" borderId="6" xfId="0" applyNumberFormat="1" applyFont="1" applyFill="1" applyBorder="1" applyProtection="1">
      <protection locked="0"/>
    </xf>
    <xf numFmtId="0" fontId="4" fillId="0" borderId="51" xfId="0" applyFont="1" applyBorder="1"/>
    <xf numFmtId="0" fontId="27" fillId="0" borderId="0" xfId="0" applyFont="1" applyFill="1" applyProtection="1">
      <protection locked="0"/>
    </xf>
    <xf numFmtId="0" fontId="6" fillId="0" borderId="2" xfId="0" applyFont="1" applyBorder="1" applyAlignment="1">
      <alignment wrapText="1"/>
    </xf>
    <xf numFmtId="0" fontId="0" fillId="0" borderId="0" xfId="0" applyAlignment="1">
      <alignment wrapText="1"/>
    </xf>
    <xf numFmtId="0" fontId="6" fillId="0" borderId="0" xfId="0" applyFont="1" applyFill="1" applyBorder="1" applyAlignment="1">
      <alignment horizontal="center"/>
    </xf>
    <xf numFmtId="0" fontId="6" fillId="0" borderId="0" xfId="0" applyFont="1" applyBorder="1" applyAlignment="1">
      <alignment horizontal="right" wrapText="1"/>
    </xf>
    <xf numFmtId="0" fontId="0" fillId="0" borderId="0" xfId="0" applyAlignment="1">
      <alignment horizontal="right" wrapText="1"/>
    </xf>
    <xf numFmtId="0" fontId="6" fillId="0" borderId="0" xfId="0" applyFont="1" applyBorder="1" applyAlignment="1">
      <alignment wrapText="1"/>
    </xf>
    <xf numFmtId="0" fontId="19" fillId="7" borderId="9" xfId="0" applyFont="1" applyFill="1" applyBorder="1" applyAlignment="1">
      <alignment horizontal="right"/>
    </xf>
    <xf numFmtId="0" fontId="9" fillId="7" borderId="10" xfId="0" applyFont="1" applyFill="1" applyBorder="1" applyAlignment="1">
      <alignment horizontal="right"/>
    </xf>
    <xf numFmtId="0" fontId="9" fillId="7" borderId="11" xfId="0" applyFont="1" applyFill="1" applyBorder="1" applyAlignment="1">
      <alignment horizontal="right"/>
    </xf>
    <xf numFmtId="0" fontId="8" fillId="0" borderId="0" xfId="0" applyFont="1" applyBorder="1" applyAlignment="1">
      <alignment horizontal="center"/>
    </xf>
    <xf numFmtId="0" fontId="8" fillId="4" borderId="28" xfId="0" applyFont="1" applyFill="1" applyBorder="1" applyAlignment="1">
      <alignment horizontal="center"/>
    </xf>
    <xf numFmtId="0" fontId="9" fillId="4" borderId="0" xfId="0" applyFont="1" applyFill="1" applyBorder="1" applyAlignment="1"/>
    <xf numFmtId="0" fontId="9" fillId="4" borderId="29" xfId="0" applyFont="1" applyFill="1" applyBorder="1" applyAlignment="1"/>
    <xf numFmtId="0" fontId="10" fillId="3" borderId="0" xfId="0" applyFont="1" applyFill="1" applyBorder="1" applyAlignment="1">
      <alignment horizontal="center"/>
    </xf>
    <xf numFmtId="0" fontId="9" fillId="0" borderId="0" xfId="0" applyFont="1" applyAlignment="1"/>
    <xf numFmtId="0" fontId="16" fillId="4" borderId="0" xfId="0" applyFont="1" applyFill="1" applyBorder="1" applyAlignment="1"/>
    <xf numFmtId="0" fontId="17" fillId="4" borderId="0" xfId="0" applyFont="1" applyFill="1" applyBorder="1" applyAlignment="1"/>
    <xf numFmtId="0" fontId="6" fillId="0" borderId="0" xfId="0" applyFont="1" applyBorder="1" applyAlignment="1">
      <alignment horizontal="right"/>
    </xf>
    <xf numFmtId="0" fontId="9" fillId="0" borderId="0" xfId="0" applyFont="1" applyBorder="1" applyAlignment="1">
      <alignment horizontal="right"/>
    </xf>
    <xf numFmtId="0" fontId="10" fillId="6" borderId="0" xfId="0" applyFont="1" applyFill="1" applyBorder="1" applyAlignment="1">
      <alignment horizontal="center"/>
    </xf>
    <xf numFmtId="0" fontId="9" fillId="6" borderId="0" xfId="0" applyFont="1" applyFill="1" applyBorder="1" applyAlignment="1"/>
    <xf numFmtId="0" fontId="10" fillId="3" borderId="9" xfId="0" applyFont="1" applyFill="1" applyBorder="1" applyAlignment="1"/>
    <xf numFmtId="0" fontId="9" fillId="0" borderId="10" xfId="0" applyFont="1" applyBorder="1" applyAlignment="1"/>
    <xf numFmtId="0" fontId="9" fillId="0" borderId="11" xfId="0" applyFont="1" applyBorder="1" applyAlignment="1"/>
    <xf numFmtId="0" fontId="16" fillId="4" borderId="13" xfId="0" applyFont="1" applyFill="1" applyBorder="1" applyAlignment="1"/>
    <xf numFmtId="0" fontId="17" fillId="4" borderId="12" xfId="0" applyFont="1" applyFill="1" applyBorder="1" applyAlignment="1"/>
    <xf numFmtId="0" fontId="10" fillId="0" borderId="0" xfId="0" applyFont="1" applyBorder="1" applyAlignment="1">
      <alignment horizontal="right"/>
    </xf>
    <xf numFmtId="0" fontId="19" fillId="0" borderId="0" xfId="0" applyFont="1" applyBorder="1" applyAlignment="1">
      <alignment horizontal="right"/>
    </xf>
    <xf numFmtId="0" fontId="19" fillId="0" borderId="13" xfId="0" applyFont="1" applyBorder="1" applyAlignment="1">
      <alignment wrapText="1"/>
    </xf>
    <xf numFmtId="0" fontId="9" fillId="0" borderId="0" xfId="0" applyFont="1" applyBorder="1" applyAlignment="1">
      <alignment wrapText="1"/>
    </xf>
    <xf numFmtId="0" fontId="6" fillId="0" borderId="13" xfId="0" applyFont="1" applyBorder="1" applyAlignment="1">
      <alignment wrapText="1"/>
    </xf>
    <xf numFmtId="0" fontId="10" fillId="0" borderId="13" xfId="0" applyFont="1" applyBorder="1" applyAlignment="1">
      <alignment wrapText="1"/>
    </xf>
    <xf numFmtId="0" fontId="6" fillId="0" borderId="0" xfId="0" applyFont="1" applyBorder="1" applyAlignment="1">
      <alignment wrapText="1" shrinkToFit="1"/>
    </xf>
    <xf numFmtId="0" fontId="9" fillId="0" borderId="0" xfId="0" applyFont="1" applyBorder="1" applyAlignment="1">
      <alignment wrapText="1" shrinkToFit="1"/>
    </xf>
    <xf numFmtId="0" fontId="9" fillId="0" borderId="0" xfId="0" applyFont="1" applyBorder="1" applyAlignment="1"/>
    <xf numFmtId="0" fontId="18" fillId="5" borderId="0" xfId="0" applyFont="1" applyFill="1" applyBorder="1" applyAlignment="1">
      <alignment horizontal="center"/>
    </xf>
    <xf numFmtId="0" fontId="18" fillId="5" borderId="0" xfId="0" applyFont="1" applyFill="1" applyAlignment="1">
      <alignment horizontal="center"/>
    </xf>
    <xf numFmtId="0" fontId="18" fillId="5" borderId="12" xfId="0" applyFont="1" applyFill="1" applyBorder="1" applyAlignment="1">
      <alignment horizontal="center"/>
    </xf>
    <xf numFmtId="0" fontId="18" fillId="0" borderId="0" xfId="0" applyFont="1" applyAlignment="1">
      <alignment horizontal="center"/>
    </xf>
    <xf numFmtId="0" fontId="18" fillId="0" borderId="12" xfId="0" applyFont="1" applyBorder="1" applyAlignment="1">
      <alignment horizontal="center"/>
    </xf>
    <xf numFmtId="0" fontId="9" fillId="0" borderId="0" xfId="0" applyFont="1" applyAlignment="1">
      <alignment horizontal="right"/>
    </xf>
    <xf numFmtId="0" fontId="16" fillId="4" borderId="0" xfId="0" applyFont="1" applyFill="1" applyBorder="1" applyAlignment="1">
      <alignment horizontal="right"/>
    </xf>
    <xf numFmtId="0" fontId="17" fillId="4" borderId="0" xfId="0" applyFont="1" applyFill="1" applyBorder="1" applyAlignment="1">
      <alignment horizontal="right"/>
    </xf>
    <xf numFmtId="0" fontId="6" fillId="0" borderId="0" xfId="0" applyFont="1" applyBorder="1" applyAlignment="1">
      <alignment horizontal="center" vertical="center" wrapText="1"/>
    </xf>
    <xf numFmtId="0" fontId="19" fillId="0" borderId="14" xfId="0" applyFont="1" applyBorder="1" applyAlignment="1"/>
    <xf numFmtId="0" fontId="9" fillId="0" borderId="15" xfId="0" applyFont="1" applyBorder="1" applyAlignment="1"/>
    <xf numFmtId="0" fontId="16" fillId="4" borderId="9" xfId="0" applyFont="1" applyFill="1" applyBorder="1" applyAlignment="1"/>
    <xf numFmtId="0" fontId="17" fillId="4" borderId="10" xfId="0" applyFont="1" applyFill="1" applyBorder="1" applyAlignment="1"/>
    <xf numFmtId="0" fontId="17" fillId="4" borderId="11" xfId="0" applyFont="1" applyFill="1" applyBorder="1" applyAlignment="1"/>
    <xf numFmtId="0" fontId="10" fillId="4" borderId="0" xfId="0" applyFont="1" applyFill="1" applyBorder="1" applyAlignment="1"/>
    <xf numFmtId="0" fontId="19" fillId="0" borderId="13" xfId="0" applyFont="1" applyBorder="1" applyAlignment="1"/>
    <xf numFmtId="0" fontId="6" fillId="0" borderId="13" xfId="0" applyFont="1" applyBorder="1" applyAlignment="1"/>
    <xf numFmtId="0" fontId="6" fillId="0" borderId="0" xfId="0" applyFont="1" applyBorder="1" applyAlignment="1"/>
    <xf numFmtId="0" fontId="10" fillId="0" borderId="13" xfId="0" applyFont="1" applyBorder="1" applyAlignment="1"/>
    <xf numFmtId="0" fontId="6" fillId="0" borderId="2"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6" fillId="0" borderId="2" xfId="0" applyFont="1" applyBorder="1" applyAlignment="1"/>
    <xf numFmtId="0" fontId="9" fillId="0" borderId="7" xfId="0" applyFont="1" applyBorder="1" applyAlignment="1"/>
    <xf numFmtId="0" fontId="6" fillId="0" borderId="1"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6" fillId="0" borderId="0" xfId="0" applyFont="1" applyBorder="1" applyAlignment="1">
      <alignment horizontal="center"/>
    </xf>
    <xf numFmtId="0" fontId="11" fillId="0" borderId="0" xfId="0" applyFont="1" applyBorder="1" applyAlignment="1">
      <alignment horizontal="center"/>
    </xf>
    <xf numFmtId="0" fontId="12" fillId="0" borderId="0" xfId="0" applyFont="1" applyBorder="1" applyAlignment="1">
      <alignment horizontal="center"/>
    </xf>
    <xf numFmtId="0" fontId="6" fillId="0" borderId="3" xfId="0" applyFont="1" applyBorder="1" applyAlignment="1">
      <alignment horizontal="center" vertical="center"/>
    </xf>
    <xf numFmtId="0" fontId="9" fillId="0" borderId="8" xfId="0" applyFont="1" applyBorder="1" applyAlignment="1">
      <alignment horizontal="center" vertical="center"/>
    </xf>
    <xf numFmtId="0" fontId="9" fillId="0" borderId="4"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7" borderId="14" xfId="0" applyFont="1" applyFill="1" applyBorder="1" applyAlignment="1">
      <alignment horizontal="right" wrapText="1"/>
    </xf>
    <xf numFmtId="0" fontId="1" fillId="7" borderId="15" xfId="0" applyFont="1" applyFill="1" applyBorder="1" applyAlignment="1">
      <alignment horizontal="right" wrapText="1"/>
    </xf>
    <xf numFmtId="0" fontId="1" fillId="7" borderId="16" xfId="0" applyFont="1" applyFill="1" applyBorder="1" applyAlignment="1">
      <alignment horizontal="right" wrapText="1"/>
    </xf>
    <xf numFmtId="0" fontId="20" fillId="0" borderId="0" xfId="0" applyFont="1" applyBorder="1" applyAlignment="1">
      <alignment horizontal="center" wrapText="1"/>
    </xf>
    <xf numFmtId="0" fontId="21" fillId="0" borderId="0" xfId="0" applyFont="1" applyAlignment="1">
      <alignment horizontal="center" wrapText="1"/>
    </xf>
    <xf numFmtId="0" fontId="10" fillId="0" borderId="0" xfId="0" applyFont="1" applyAlignment="1">
      <alignment wrapText="1"/>
    </xf>
    <xf numFmtId="0" fontId="6" fillId="0" borderId="0" xfId="0" applyFont="1" applyBorder="1" applyAlignment="1">
      <alignment horizontal="center" wrapText="1"/>
    </xf>
    <xf numFmtId="0" fontId="10" fillId="0" borderId="0" xfId="0" applyFont="1" applyBorder="1" applyAlignment="1">
      <alignment horizontal="right" wrapText="1"/>
    </xf>
    <xf numFmtId="0" fontId="23" fillId="0" borderId="48" xfId="0" applyFont="1" applyBorder="1" applyAlignment="1">
      <alignment wrapText="1"/>
    </xf>
    <xf numFmtId="0" fontId="23" fillId="0" borderId="49" xfId="0" applyFont="1" applyBorder="1" applyAlignment="1">
      <alignment wrapText="1"/>
    </xf>
    <xf numFmtId="0" fontId="23" fillId="0" borderId="42" xfId="0" applyFont="1" applyBorder="1" applyAlignment="1">
      <alignment wrapText="1"/>
    </xf>
    <xf numFmtId="0" fontId="23" fillId="0" borderId="40" xfId="0" applyFont="1" applyBorder="1" applyAlignment="1">
      <alignment wrapText="1"/>
    </xf>
    <xf numFmtId="0" fontId="23" fillId="0" borderId="44" xfId="0" applyFont="1" applyBorder="1" applyAlignment="1">
      <alignment wrapText="1"/>
    </xf>
    <xf numFmtId="0" fontId="23" fillId="0" borderId="0" xfId="0" applyFont="1" applyBorder="1" applyAlignment="1">
      <alignment wrapText="1"/>
    </xf>
    <xf numFmtId="0" fontId="23" fillId="0" borderId="46" xfId="0" applyFont="1" applyBorder="1" applyAlignment="1">
      <alignment wrapText="1"/>
    </xf>
    <xf numFmtId="0" fontId="23" fillId="0" borderId="39" xfId="0" applyFont="1" applyBorder="1" applyAlignment="1">
      <alignment wrapText="1"/>
    </xf>
    <xf numFmtId="0" fontId="19" fillId="0" borderId="14" xfId="0" applyFont="1" applyBorder="1" applyAlignment="1">
      <alignment wrapText="1"/>
    </xf>
    <xf numFmtId="0" fontId="9" fillId="0" borderId="15" xfId="0" applyFont="1" applyBorder="1" applyAlignment="1">
      <alignment wrapText="1"/>
    </xf>
    <xf numFmtId="0" fontId="0" fillId="0" borderId="15" xfId="0" applyBorder="1" applyAlignment="1">
      <alignment wrapText="1"/>
    </xf>
    <xf numFmtId="0" fontId="23" fillId="0" borderId="0" xfId="0" applyFont="1" applyAlignment="1">
      <alignment wrapText="1"/>
    </xf>
    <xf numFmtId="0" fontId="24" fillId="0" borderId="33" xfId="0" applyFont="1" applyBorder="1" applyAlignment="1">
      <alignment wrapText="1"/>
    </xf>
    <xf numFmtId="0" fontId="0" fillId="0" borderId="34" xfId="0" applyBorder="1" applyAlignment="1">
      <alignment wrapText="1"/>
    </xf>
    <xf numFmtId="0" fontId="0" fillId="0" borderId="35" xfId="0" applyBorder="1" applyAlignment="1">
      <alignment wrapText="1"/>
    </xf>
    <xf numFmtId="165" fontId="23" fillId="0" borderId="44" xfId="0" applyNumberFormat="1" applyFont="1" applyBorder="1" applyAlignment="1">
      <alignment wrapText="1"/>
    </xf>
    <xf numFmtId="165" fontId="23" fillId="0" borderId="0" xfId="0" applyNumberFormat="1" applyFont="1" applyBorder="1" applyAlignment="1">
      <alignment wrapText="1"/>
    </xf>
    <xf numFmtId="165" fontId="23" fillId="0" borderId="42" xfId="0" applyNumberFormat="1" applyFont="1" applyBorder="1" applyAlignment="1">
      <alignment wrapText="1"/>
    </xf>
    <xf numFmtId="165" fontId="23" fillId="0" borderId="46" xfId="0" applyNumberFormat="1" applyFont="1" applyBorder="1" applyAlignment="1">
      <alignment wrapText="1"/>
    </xf>
    <xf numFmtId="0" fontId="0" fillId="0" borderId="0" xfId="0" applyBorder="1" applyAlignment="1">
      <alignment wrapText="1"/>
    </xf>
    <xf numFmtId="0" fontId="0" fillId="0" borderId="39" xfId="0" applyBorder="1" applyAlignment="1">
      <alignment wrapText="1"/>
    </xf>
    <xf numFmtId="9" fontId="9" fillId="0" borderId="40" xfId="1" applyNumberFormat="1" applyFont="1" applyBorder="1" applyAlignment="1">
      <alignment horizontal="center" vertical="center" wrapText="1"/>
    </xf>
    <xf numFmtId="9" fontId="28" fillId="0" borderId="0" xfId="2" applyNumberFormat="1" applyAlignment="1">
      <alignment horizontal="center" vertical="center" wrapText="1"/>
    </xf>
    <xf numFmtId="9" fontId="9" fillId="0" borderId="0" xfId="1" applyNumberFormat="1" applyFont="1" applyAlignment="1">
      <alignment horizontal="center" vertical="center" wrapText="1"/>
    </xf>
    <xf numFmtId="9" fontId="28" fillId="0" borderId="39" xfId="2" applyNumberFormat="1" applyBorder="1" applyAlignment="1">
      <alignment horizontal="center" vertical="center" wrapText="1"/>
    </xf>
    <xf numFmtId="0" fontId="32" fillId="0" borderId="36" xfId="1" applyFont="1" applyBorder="1" applyAlignment="1">
      <alignment horizontal="center" vertical="center" wrapText="1"/>
    </xf>
    <xf numFmtId="0" fontId="34" fillId="0" borderId="37" xfId="3" applyFont="1" applyBorder="1" applyAlignment="1">
      <alignment horizontal="center" vertical="center" wrapText="1"/>
    </xf>
    <xf numFmtId="0" fontId="34" fillId="0" borderId="38" xfId="3" applyFont="1" applyBorder="1" applyAlignment="1">
      <alignment horizontal="center" vertical="center" wrapText="1"/>
    </xf>
    <xf numFmtId="0" fontId="35" fillId="0" borderId="37" xfId="3" applyFont="1" applyBorder="1" applyAlignment="1">
      <alignment horizontal="center" vertical="center" wrapText="1"/>
    </xf>
    <xf numFmtId="0" fontId="35" fillId="0" borderId="38" xfId="3" applyFont="1" applyBorder="1" applyAlignment="1">
      <alignment horizontal="center" vertical="center" wrapText="1"/>
    </xf>
    <xf numFmtId="0" fontId="27" fillId="0" borderId="0" xfId="1" applyAlignment="1">
      <alignment wrapText="1"/>
    </xf>
    <xf numFmtId="0" fontId="29" fillId="0" borderId="0" xfId="3" applyAlignment="1">
      <alignment wrapText="1"/>
    </xf>
    <xf numFmtId="0" fontId="29" fillId="0" borderId="15" xfId="3" applyBorder="1" applyAlignment="1">
      <alignment wrapText="1"/>
    </xf>
    <xf numFmtId="0" fontId="32" fillId="8" borderId="36" xfId="1" applyFont="1" applyFill="1" applyBorder="1" applyAlignment="1">
      <alignment horizontal="center" vertical="center" wrapText="1"/>
    </xf>
    <xf numFmtId="0" fontId="34" fillId="8" borderId="37" xfId="3" applyFont="1" applyFill="1" applyBorder="1" applyAlignment="1">
      <alignment horizontal="center" vertical="center" wrapText="1"/>
    </xf>
    <xf numFmtId="0" fontId="34" fillId="8" borderId="38" xfId="3" applyFont="1" applyFill="1" applyBorder="1" applyAlignment="1">
      <alignment horizontal="center" vertical="center" wrapText="1"/>
    </xf>
    <xf numFmtId="0" fontId="35" fillId="8" borderId="37" xfId="3" applyFont="1" applyFill="1" applyBorder="1" applyAlignment="1">
      <alignment horizontal="center" vertical="center" wrapText="1"/>
    </xf>
    <xf numFmtId="0" fontId="35" fillId="8" borderId="38" xfId="3" applyFont="1" applyFill="1" applyBorder="1" applyAlignment="1">
      <alignment horizontal="center" vertical="center" wrapText="1"/>
    </xf>
  </cellXfs>
  <cellStyles count="4">
    <cellStyle name="Normal" xfId="0" builtinId="0"/>
    <cellStyle name="Normal 2" xfId="1" xr:uid="{D0D17D37-6B4B-5B41-89EA-96E74E9A1F93}"/>
    <cellStyle name="Normal 2 2" xfId="3" xr:uid="{BC9D4EB2-9BD3-3C45-8DF4-899D7660AA54}"/>
    <cellStyle name="Normal 3" xfId="2" xr:uid="{458C3233-4AE9-614A-904C-1BC4A73C9678}"/>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8796866</xdr:colOff>
      <xdr:row>19</xdr:row>
      <xdr:rowOff>135467</xdr:rowOff>
    </xdr:from>
    <xdr:to>
      <xdr:col>5</xdr:col>
      <xdr:colOff>863600</xdr:colOff>
      <xdr:row>23</xdr:row>
      <xdr:rowOff>182033</xdr:rowOff>
    </xdr:to>
    <xdr:pic>
      <xdr:nvPicPr>
        <xdr:cNvPr id="3" name="Picture 1">
          <a:extLst>
            <a:ext uri="{FF2B5EF4-FFF2-40B4-BE49-F238E27FC236}">
              <a16:creationId xmlns:a16="http://schemas.microsoft.com/office/drawing/2014/main" id="{F345527B-8498-9F4B-86AA-085371CAC8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23866" y="4174067"/>
          <a:ext cx="6024034"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342900</xdr:colOff>
      <xdr:row>3</xdr:row>
      <xdr:rowOff>203200</xdr:rowOff>
    </xdr:from>
    <xdr:to>
      <xdr:col>7</xdr:col>
      <xdr:colOff>190500</xdr:colOff>
      <xdr:row>17</xdr:row>
      <xdr:rowOff>177800</xdr:rowOff>
    </xdr:to>
    <xdr:pic>
      <xdr:nvPicPr>
        <xdr:cNvPr id="8" name="Image 7">
          <a:extLst>
            <a:ext uri="{FF2B5EF4-FFF2-40B4-BE49-F238E27FC236}">
              <a16:creationId xmlns:a16="http://schemas.microsoft.com/office/drawing/2014/main" id="{CDEC7E1E-7214-8C46-A7F2-7DECF2942F82}"/>
            </a:ext>
          </a:extLst>
        </xdr:cNvPr>
        <xdr:cNvPicPr>
          <a:picLocks noChangeAspect="1"/>
        </xdr:cNvPicPr>
      </xdr:nvPicPr>
      <xdr:blipFill>
        <a:blip xmlns:r="http://schemas.openxmlformats.org/officeDocument/2006/relationships" r:embed="rId1"/>
        <a:stretch>
          <a:fillRect/>
        </a:stretch>
      </xdr:blipFill>
      <xdr:spPr>
        <a:xfrm>
          <a:off x="342900" y="850900"/>
          <a:ext cx="4889500" cy="4241800"/>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2"/>
  <sheetViews>
    <sheetView zoomScale="150" workbookViewId="0">
      <selection activeCell="B5" sqref="B5:B17"/>
    </sheetView>
  </sheetViews>
  <sheetFormatPr baseColWidth="10" defaultColWidth="11.5" defaultRowHeight="13" x14ac:dyDescent="0.15"/>
  <cols>
    <col min="1" max="1" width="1.6640625" customWidth="1"/>
    <col min="2" max="2" width="126.33203125" bestFit="1" customWidth="1"/>
  </cols>
  <sheetData>
    <row r="1" spans="1:13" ht="14" thickBot="1" x14ac:dyDescent="0.2"/>
    <row r="2" spans="1:13" ht="31" x14ac:dyDescent="0.45">
      <c r="A2" s="4"/>
      <c r="B2" s="7" t="s">
        <v>125</v>
      </c>
      <c r="C2" s="8"/>
      <c r="D2" s="8"/>
      <c r="E2" s="8"/>
      <c r="F2" s="9"/>
    </row>
    <row r="3" spans="1:13" ht="16" x14ac:dyDescent="0.25">
      <c r="A3" s="4"/>
      <c r="B3" s="4"/>
      <c r="F3" s="11"/>
    </row>
    <row r="4" spans="1:13" ht="16" x14ac:dyDescent="0.25">
      <c r="A4" s="4"/>
      <c r="B4" s="4"/>
      <c r="F4" s="11"/>
    </row>
    <row r="5" spans="1:13" ht="16" x14ac:dyDescent="0.25">
      <c r="A5" s="4" t="s">
        <v>0</v>
      </c>
      <c r="B5" s="4" t="s">
        <v>35</v>
      </c>
      <c r="F5" s="11"/>
    </row>
    <row r="6" spans="1:13" ht="16" x14ac:dyDescent="0.25">
      <c r="A6" s="4" t="s">
        <v>0</v>
      </c>
      <c r="B6" s="4" t="s">
        <v>36</v>
      </c>
      <c r="C6" s="2"/>
      <c r="D6" s="2"/>
      <c r="E6" s="2"/>
      <c r="F6" s="11"/>
    </row>
    <row r="7" spans="1:13" ht="16" x14ac:dyDescent="0.25">
      <c r="A7" s="4"/>
      <c r="B7" s="4" t="s">
        <v>37</v>
      </c>
      <c r="C7" s="2"/>
      <c r="D7" s="2"/>
      <c r="E7" s="2"/>
      <c r="F7" s="11"/>
    </row>
    <row r="8" spans="1:13" ht="16" x14ac:dyDescent="0.25">
      <c r="A8" s="4" t="s">
        <v>0</v>
      </c>
      <c r="B8" s="4" t="s">
        <v>38</v>
      </c>
      <c r="F8" s="11"/>
      <c r="I8" s="2"/>
      <c r="J8" s="2"/>
      <c r="K8" s="2"/>
      <c r="L8" s="2"/>
      <c r="M8" s="2"/>
    </row>
    <row r="9" spans="1:13" ht="16" x14ac:dyDescent="0.25">
      <c r="A9" s="4" t="s">
        <v>0</v>
      </c>
      <c r="B9" s="4" t="s">
        <v>1</v>
      </c>
      <c r="C9" s="2"/>
      <c r="D9" s="2"/>
      <c r="E9" s="2"/>
      <c r="F9" s="12"/>
      <c r="I9" s="2"/>
      <c r="J9" s="2"/>
      <c r="K9" s="2"/>
      <c r="L9" s="2"/>
      <c r="M9" s="2"/>
    </row>
    <row r="10" spans="1:13" ht="16" x14ac:dyDescent="0.25">
      <c r="A10" s="4" t="s">
        <v>0</v>
      </c>
      <c r="B10" s="4" t="s">
        <v>29</v>
      </c>
      <c r="C10" s="1"/>
      <c r="D10" s="2"/>
      <c r="E10" s="2"/>
      <c r="F10" s="12"/>
      <c r="I10" s="2"/>
      <c r="J10" s="2"/>
      <c r="K10" s="2"/>
      <c r="L10" s="2"/>
      <c r="M10" s="2"/>
    </row>
    <row r="11" spans="1:13" ht="16" x14ac:dyDescent="0.25">
      <c r="A11" s="5" t="s">
        <v>0</v>
      </c>
      <c r="B11" s="4" t="s">
        <v>121</v>
      </c>
      <c r="C11" s="1"/>
      <c r="D11" s="2"/>
      <c r="E11" s="2"/>
      <c r="F11" s="12"/>
      <c r="I11" s="2"/>
      <c r="J11" s="2"/>
      <c r="K11" s="2"/>
      <c r="L11" s="2"/>
      <c r="M11" s="2"/>
    </row>
    <row r="12" spans="1:13" ht="16" x14ac:dyDescent="0.25">
      <c r="A12" s="4" t="s">
        <v>0</v>
      </c>
      <c r="B12" s="4" t="s">
        <v>122</v>
      </c>
      <c r="C12" s="2"/>
      <c r="D12" s="2"/>
      <c r="E12" s="2"/>
      <c r="F12" s="12"/>
      <c r="I12" s="2"/>
      <c r="J12" s="2"/>
      <c r="K12" s="2"/>
      <c r="L12" s="2"/>
      <c r="M12" s="2"/>
    </row>
    <row r="13" spans="1:13" ht="16" x14ac:dyDescent="0.25">
      <c r="A13" s="4" t="s">
        <v>0</v>
      </c>
      <c r="B13" s="4" t="s">
        <v>123</v>
      </c>
      <c r="C13" s="2"/>
      <c r="D13" s="2"/>
      <c r="E13" s="2"/>
      <c r="F13" s="12"/>
      <c r="I13" s="2"/>
      <c r="J13" s="2"/>
      <c r="K13" s="2"/>
      <c r="L13" s="2"/>
      <c r="M13" s="2"/>
    </row>
    <row r="14" spans="1:13" ht="16" x14ac:dyDescent="0.25">
      <c r="A14" s="4" t="s">
        <v>0</v>
      </c>
      <c r="B14" s="4" t="s">
        <v>126</v>
      </c>
      <c r="C14" s="2"/>
      <c r="D14" s="2"/>
      <c r="E14" s="2"/>
      <c r="F14" s="12"/>
      <c r="I14" s="2"/>
      <c r="J14" s="2"/>
      <c r="K14" s="2"/>
      <c r="L14" s="2"/>
      <c r="M14" s="2"/>
    </row>
    <row r="15" spans="1:13" ht="16" x14ac:dyDescent="0.25">
      <c r="A15" s="4" t="s">
        <v>0</v>
      </c>
      <c r="B15" s="4"/>
      <c r="C15" s="2"/>
      <c r="D15" s="2"/>
      <c r="E15" s="2"/>
      <c r="F15" s="12"/>
      <c r="I15" s="2"/>
      <c r="J15" s="2"/>
      <c r="K15" s="2"/>
      <c r="L15" s="2"/>
      <c r="M15" s="2"/>
    </row>
    <row r="16" spans="1:13" ht="16" x14ac:dyDescent="0.25">
      <c r="A16" s="4" t="s">
        <v>0</v>
      </c>
      <c r="B16" s="4" t="s">
        <v>124</v>
      </c>
      <c r="C16" s="2"/>
      <c r="D16" s="2"/>
      <c r="E16" s="2"/>
      <c r="F16" s="12"/>
      <c r="I16" s="2"/>
      <c r="J16" s="2"/>
      <c r="K16" s="2"/>
      <c r="L16" s="2"/>
      <c r="M16" s="2"/>
    </row>
    <row r="17" spans="1:13" ht="16" x14ac:dyDescent="0.25">
      <c r="A17" s="4" t="s">
        <v>0</v>
      </c>
      <c r="B17" s="4"/>
      <c r="C17" s="2"/>
      <c r="D17" s="2"/>
      <c r="E17" s="2"/>
      <c r="F17" s="12"/>
      <c r="I17" s="2"/>
      <c r="J17" s="2"/>
      <c r="K17" s="2"/>
      <c r="L17" s="2"/>
      <c r="M17" s="2"/>
    </row>
    <row r="18" spans="1:13" ht="16" x14ac:dyDescent="0.25">
      <c r="A18" s="4" t="s">
        <v>0</v>
      </c>
      <c r="B18" s="4"/>
      <c r="C18" s="2"/>
      <c r="D18" s="2"/>
      <c r="E18" s="2"/>
      <c r="F18" s="12"/>
      <c r="I18" s="2"/>
      <c r="J18" s="2"/>
      <c r="K18" s="2"/>
      <c r="L18" s="2"/>
      <c r="M18" s="2"/>
    </row>
    <row r="19" spans="1:13" ht="17" thickBot="1" x14ac:dyDescent="0.3">
      <c r="A19" s="233" t="s">
        <v>0</v>
      </c>
      <c r="B19" s="14"/>
      <c r="C19" s="15"/>
      <c r="D19" s="15"/>
      <c r="E19" s="15"/>
      <c r="F19" s="6"/>
      <c r="I19" s="2"/>
      <c r="J19" s="2"/>
      <c r="K19" s="2"/>
      <c r="L19" s="2"/>
      <c r="M19" s="2"/>
    </row>
    <row r="20" spans="1:13" ht="16" x14ac:dyDescent="0.25">
      <c r="A20" s="3" t="s">
        <v>0</v>
      </c>
      <c r="B20" s="3"/>
      <c r="C20" s="2"/>
      <c r="D20" s="2"/>
      <c r="E20" s="2"/>
      <c r="F20" s="2"/>
      <c r="G20" s="2"/>
      <c r="H20" s="2"/>
      <c r="I20" s="2"/>
      <c r="J20" s="2"/>
      <c r="K20" s="2"/>
      <c r="L20" s="2"/>
      <c r="M20" s="2"/>
    </row>
    <row r="21" spans="1:13" ht="16" x14ac:dyDescent="0.25">
      <c r="A21" s="3" t="s">
        <v>0</v>
      </c>
      <c r="B21" s="2"/>
      <c r="C21" s="2"/>
      <c r="D21" s="2"/>
      <c r="E21" s="2"/>
      <c r="F21" s="2"/>
      <c r="G21" s="2"/>
      <c r="H21" s="2"/>
      <c r="I21" s="2"/>
      <c r="J21" s="2"/>
      <c r="K21" s="2"/>
      <c r="L21" s="2"/>
      <c r="M21" s="2"/>
    </row>
    <row r="22" spans="1:13" ht="16" x14ac:dyDescent="0.25">
      <c r="A22" s="3" t="s">
        <v>0</v>
      </c>
      <c r="B22" s="3"/>
      <c r="C22" s="2"/>
      <c r="D22" s="2"/>
      <c r="E22" s="2"/>
      <c r="F22" s="2"/>
      <c r="G22" s="2"/>
      <c r="H22" s="2"/>
      <c r="I22" s="2"/>
      <c r="J22" s="2"/>
      <c r="K22" s="2"/>
      <c r="L22" s="2"/>
      <c r="M22" s="2"/>
    </row>
    <row r="23" spans="1:13" ht="16" x14ac:dyDescent="0.25">
      <c r="A23" s="3" t="s">
        <v>0</v>
      </c>
      <c r="B23" s="2"/>
      <c r="C23" s="2"/>
      <c r="D23" s="2"/>
      <c r="E23" s="2"/>
      <c r="F23" s="2"/>
    </row>
    <row r="24" spans="1:13" ht="16" x14ac:dyDescent="0.25">
      <c r="A24" s="3" t="s">
        <v>0</v>
      </c>
      <c r="B24" s="1"/>
    </row>
    <row r="25" spans="1:13" ht="16" x14ac:dyDescent="0.25">
      <c r="A25" s="3" t="s">
        <v>0</v>
      </c>
      <c r="B25" s="1"/>
    </row>
    <row r="26" spans="1:13" ht="16" x14ac:dyDescent="0.25">
      <c r="A26" s="3" t="s">
        <v>0</v>
      </c>
      <c r="B26" s="1"/>
    </row>
    <row r="27" spans="1:13" ht="16" x14ac:dyDescent="0.25">
      <c r="A27" s="3" t="s">
        <v>0</v>
      </c>
      <c r="B27" s="1"/>
    </row>
    <row r="28" spans="1:13" ht="16" x14ac:dyDescent="0.25">
      <c r="A28" s="3" t="s">
        <v>0</v>
      </c>
      <c r="B28" s="1" t="s">
        <v>0</v>
      </c>
    </row>
    <row r="29" spans="1:13" ht="16" x14ac:dyDescent="0.25">
      <c r="A29" s="3" t="s">
        <v>0</v>
      </c>
      <c r="B29" s="1" t="s">
        <v>0</v>
      </c>
    </row>
    <row r="30" spans="1:13" ht="16" x14ac:dyDescent="0.25">
      <c r="A30" s="3" t="s">
        <v>0</v>
      </c>
      <c r="B30" s="1"/>
    </row>
    <row r="31" spans="1:13" ht="16" x14ac:dyDescent="0.25">
      <c r="A31" s="3"/>
      <c r="B31" s="1"/>
    </row>
    <row r="32" spans="1:13" ht="16" x14ac:dyDescent="0.25">
      <c r="A32" s="3"/>
      <c r="B32" s="1"/>
    </row>
  </sheetData>
  <phoneticPr fontId="2" type="noConversion"/>
  <printOptions horizontalCentered="1" verticalCentered="1"/>
  <pageMargins left="0.35433070866141736" right="0.31496062992125984" top="0.98425196850393704" bottom="0.47244094488188981" header="0.51181102362204722" footer="0.51181102362204722"/>
  <pageSetup paperSize="5" orientation="landscape"/>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H179"/>
  <sheetViews>
    <sheetView tabSelected="1" zoomScaleNormal="100" workbookViewId="0"/>
  </sheetViews>
  <sheetFormatPr baseColWidth="10" defaultColWidth="11.5" defaultRowHeight="13" x14ac:dyDescent="0.15"/>
  <cols>
    <col min="2" max="2" width="5" customWidth="1"/>
    <col min="3" max="3" width="15.83203125" customWidth="1"/>
    <col min="5" max="5" width="12.6640625" bestFit="1" customWidth="1"/>
    <col min="6" max="6" width="5.1640625" customWidth="1"/>
    <col min="7" max="8" width="4.5" customWidth="1"/>
    <col min="9" max="10" width="15.6640625" customWidth="1"/>
    <col min="11" max="11" width="15.5" customWidth="1"/>
    <col min="12" max="12" width="2" customWidth="1"/>
    <col min="13" max="14" width="15.6640625" customWidth="1"/>
    <col min="15" max="15" width="21" customWidth="1"/>
    <col min="16" max="16" width="3.5" customWidth="1"/>
    <col min="17" max="17" width="23.6640625" customWidth="1"/>
    <col min="18" max="18" width="23.1640625" customWidth="1"/>
    <col min="19" max="19" width="15.6640625" customWidth="1"/>
    <col min="20" max="20" width="2.5" customWidth="1"/>
    <col min="21" max="21" width="18.33203125" bestFit="1" customWidth="1"/>
    <col min="22" max="23" width="15.6640625" customWidth="1"/>
    <col min="24" max="24" width="2.1640625" customWidth="1"/>
    <col min="25" max="26" width="15.6640625" customWidth="1"/>
    <col min="27" max="27" width="10.5" bestFit="1" customWidth="1"/>
    <col min="28" max="28" width="15.6640625" customWidth="1"/>
    <col min="29" max="29" width="1.6640625" customWidth="1"/>
    <col min="30" max="32" width="15.6640625" customWidth="1"/>
    <col min="33" max="33" width="8.5" customWidth="1"/>
  </cols>
  <sheetData>
    <row r="2" spans="9:32" ht="14" thickBot="1" x14ac:dyDescent="0.2"/>
    <row r="3" spans="9:32" ht="24.75" customHeight="1" x14ac:dyDescent="0.2">
      <c r="I3" s="294" t="s">
        <v>16</v>
      </c>
      <c r="J3" s="295"/>
      <c r="K3" s="296"/>
      <c r="L3" s="19"/>
      <c r="M3" s="294" t="s">
        <v>9</v>
      </c>
      <c r="N3" s="295"/>
      <c r="O3" s="296"/>
      <c r="P3" s="19"/>
      <c r="Q3" s="294" t="s">
        <v>10</v>
      </c>
      <c r="R3" s="295"/>
      <c r="S3" s="296"/>
      <c r="T3" s="19"/>
      <c r="U3" s="294" t="s">
        <v>49</v>
      </c>
      <c r="V3" s="295"/>
      <c r="W3" s="296"/>
      <c r="X3" s="19"/>
      <c r="Y3" s="294" t="s">
        <v>50</v>
      </c>
      <c r="Z3" s="303"/>
      <c r="AA3" s="295"/>
      <c r="AB3" s="296"/>
      <c r="AC3" s="19"/>
      <c r="AD3" s="294" t="s">
        <v>51</v>
      </c>
      <c r="AE3" s="295"/>
      <c r="AF3" s="296"/>
    </row>
    <row r="4" spans="9:32" ht="24.75" customHeight="1" x14ac:dyDescent="0.2">
      <c r="I4" s="289" t="s">
        <v>48</v>
      </c>
      <c r="J4" s="290"/>
      <c r="K4" s="291"/>
      <c r="L4" s="19"/>
      <c r="M4" s="289" t="str">
        <f>I4</f>
        <v>Les Multiples Plaisirs Gourmands</v>
      </c>
      <c r="N4" s="290"/>
      <c r="O4" s="291"/>
      <c r="P4" s="19"/>
      <c r="Q4" s="289" t="str">
        <f>M4</f>
        <v>Les Multiples Plaisirs Gourmands</v>
      </c>
      <c r="R4" s="290"/>
      <c r="S4" s="291"/>
      <c r="T4" s="19"/>
      <c r="U4" s="289" t="str">
        <f>Q4</f>
        <v>Les Multiples Plaisirs Gourmands</v>
      </c>
      <c r="V4" s="290"/>
      <c r="W4" s="291"/>
      <c r="X4" s="19"/>
      <c r="Y4" s="289" t="str">
        <f>U4</f>
        <v>Les Multiples Plaisirs Gourmands</v>
      </c>
      <c r="Z4" s="304"/>
      <c r="AA4" s="290"/>
      <c r="AB4" s="291"/>
      <c r="AC4" s="19"/>
      <c r="AD4" s="289" t="str">
        <f>Y4</f>
        <v>Les Multiples Plaisirs Gourmands</v>
      </c>
      <c r="AE4" s="290"/>
      <c r="AF4" s="291"/>
    </row>
    <row r="5" spans="9:32" ht="24.75" customHeight="1" x14ac:dyDescent="0.2">
      <c r="I5" s="20" t="s">
        <v>60</v>
      </c>
      <c r="J5" s="83">
        <v>1</v>
      </c>
      <c r="K5" s="22"/>
      <c r="L5" s="19"/>
      <c r="M5" s="20" t="s">
        <v>61</v>
      </c>
      <c r="N5" s="83">
        <v>1</v>
      </c>
      <c r="O5" s="22"/>
      <c r="P5" s="19"/>
      <c r="Q5" s="20" t="s">
        <v>127</v>
      </c>
      <c r="R5" s="83">
        <v>1</v>
      </c>
      <c r="S5" s="22"/>
      <c r="T5" s="19"/>
      <c r="U5" s="20" t="s">
        <v>128</v>
      </c>
      <c r="V5" s="83">
        <v>1</v>
      </c>
      <c r="W5" s="22"/>
      <c r="X5" s="19"/>
      <c r="Y5" s="20" t="s">
        <v>129</v>
      </c>
      <c r="Z5" s="83">
        <v>1</v>
      </c>
      <c r="AA5" s="21"/>
      <c r="AB5" s="22"/>
      <c r="AC5" s="19"/>
      <c r="AD5" s="20" t="s">
        <v>130</v>
      </c>
      <c r="AE5" s="83">
        <v>1</v>
      </c>
      <c r="AF5" s="22"/>
    </row>
    <row r="6" spans="9:32" ht="24.75" customHeight="1" x14ac:dyDescent="0.2">
      <c r="I6" s="235" t="str">
        <f>'Calcul CmO et PmO'!D181</f>
        <v>Petite Gâterie 1</v>
      </c>
      <c r="J6" s="236"/>
      <c r="K6" s="84">
        <f>'Calcul CmO et PmO'!F181</f>
        <v>3.3</v>
      </c>
      <c r="L6" s="19"/>
      <c r="M6" s="235" t="str">
        <f>'Calcul CmO et PmO'!D184</f>
        <v>Petite Gâterie 4</v>
      </c>
      <c r="N6" s="236"/>
      <c r="O6" s="84">
        <f>'Calcul CmO et PmO'!F184</f>
        <v>4.5</v>
      </c>
      <c r="P6" s="19"/>
      <c r="Q6" s="235" t="str">
        <f>'Calcul CmO et PmO'!D187</f>
        <v>Petite Gâterie 7</v>
      </c>
      <c r="R6" s="236"/>
      <c r="S6" s="84">
        <f>'Calcul CmO et PmO'!F187</f>
        <v>4.8</v>
      </c>
      <c r="T6" s="19"/>
      <c r="U6" s="235" t="str">
        <f>'Calcul CmO et PmO'!D490</f>
        <v>Petite Gâterie 9</v>
      </c>
      <c r="V6" s="236"/>
      <c r="W6" s="84">
        <f>'Calcul CmO et PmO'!F490</f>
        <v>5</v>
      </c>
      <c r="X6" s="19"/>
      <c r="Y6" s="235" t="str">
        <f>'Calcul CmO et PmO'!D493</f>
        <v>Petite Gâterie 12</v>
      </c>
      <c r="Z6" s="236"/>
      <c r="AA6" s="236"/>
      <c r="AB6" s="84">
        <f>'Calcul CmO et PmO'!F493</f>
        <v>6.6</v>
      </c>
      <c r="AC6" s="19"/>
      <c r="AD6" s="235" t="str">
        <f>'Calcul CmO et PmO'!D490</f>
        <v>Petite Gâterie 9</v>
      </c>
      <c r="AE6" s="236"/>
      <c r="AF6" s="84">
        <f>'Calcul CmO et PmO'!F490</f>
        <v>5</v>
      </c>
    </row>
    <row r="7" spans="9:32" ht="24.75" customHeight="1" x14ac:dyDescent="0.2">
      <c r="I7" s="235" t="str">
        <f>'Calcul CmO et PmO'!D182</f>
        <v>Petite Gâterie 2</v>
      </c>
      <c r="J7" s="236"/>
      <c r="K7" s="84">
        <f>'Calcul CmO et PmO'!F182</f>
        <v>3.8</v>
      </c>
      <c r="L7" s="19"/>
      <c r="M7" s="235" t="str">
        <f>'Calcul CmO et PmO'!D185</f>
        <v>Petite Gâterie 5</v>
      </c>
      <c r="N7" s="236"/>
      <c r="O7" s="84">
        <f>'Calcul CmO et PmO'!F185</f>
        <v>4.5999999999999996</v>
      </c>
      <c r="P7" s="19"/>
      <c r="Q7" s="235" t="str">
        <f>'Calcul CmO et PmO'!D188</f>
        <v>Petite Gâterie 8</v>
      </c>
      <c r="R7" s="236"/>
      <c r="S7" s="84">
        <f>'Calcul CmO et PmO'!F188</f>
        <v>4.9000000000000004</v>
      </c>
      <c r="T7" s="19"/>
      <c r="U7" s="235" t="str">
        <f>'Calcul CmO et PmO'!D491</f>
        <v>Petite Gâterie 10</v>
      </c>
      <c r="V7" s="236"/>
      <c r="W7" s="84">
        <f>'Calcul CmO et PmO'!F491</f>
        <v>5.2</v>
      </c>
      <c r="X7" s="19"/>
      <c r="Y7" s="235" t="str">
        <f>'Calcul CmO et PmO'!D492</f>
        <v>Petite Gâterie 11</v>
      </c>
      <c r="Z7" s="236"/>
      <c r="AA7" s="236"/>
      <c r="AB7" s="84">
        <f>'Calcul CmO et PmO'!F492</f>
        <v>6.4</v>
      </c>
      <c r="AC7" s="19"/>
      <c r="AD7" s="235" t="str">
        <f>'Calcul CmO et PmO'!D489</f>
        <v>Petite Gâterie 8</v>
      </c>
      <c r="AE7" s="236"/>
      <c r="AF7" s="84">
        <f>'Calcul CmO et PmO'!F489</f>
        <v>4.9000000000000004</v>
      </c>
    </row>
    <row r="8" spans="9:32" ht="24.75" customHeight="1" x14ac:dyDescent="0.2">
      <c r="I8" s="235" t="str">
        <f>'Calcul CmO et PmO'!D183</f>
        <v>Petite Gâterie 3</v>
      </c>
      <c r="J8" s="236"/>
      <c r="K8" s="84">
        <f>'Calcul CmO et PmO'!F183</f>
        <v>4</v>
      </c>
      <c r="L8" s="19"/>
      <c r="M8" s="235" t="str">
        <f>'Calcul CmO et PmO'!D186</f>
        <v>Petite Gâterie 6</v>
      </c>
      <c r="N8" s="236"/>
      <c r="O8" s="84">
        <f>'Calcul CmO et PmO'!F186</f>
        <v>4.7</v>
      </c>
      <c r="P8" s="19"/>
      <c r="Q8" s="235" t="str">
        <f>'Calcul CmO et PmO'!D198</f>
        <v>Boisson spéciale numéro 3</v>
      </c>
      <c r="R8" s="236"/>
      <c r="S8" s="84">
        <f>'Calcul CmO et PmO'!F198</f>
        <v>8</v>
      </c>
      <c r="T8" s="19"/>
      <c r="U8" s="235" t="str">
        <f>'Calcul CmO et PmO'!D492</f>
        <v>Petite Gâterie 11</v>
      </c>
      <c r="V8" s="236"/>
      <c r="W8" s="84">
        <f>'Calcul CmO et PmO'!F492</f>
        <v>6.4</v>
      </c>
      <c r="X8" s="19"/>
      <c r="Y8" s="235" t="str">
        <f>'Calcul CmO et PmO'!D491</f>
        <v>Petite Gâterie 10</v>
      </c>
      <c r="Z8" s="240"/>
      <c r="AA8" s="240"/>
      <c r="AB8" s="84">
        <f>'Calcul CmO et PmO'!F491</f>
        <v>5.2</v>
      </c>
      <c r="AC8" s="19"/>
      <c r="AD8" s="235" t="str">
        <f>'Calcul CmO et PmO'!D503</f>
        <v>Boisson spéciale numéro 7</v>
      </c>
      <c r="AE8" s="236"/>
      <c r="AF8" s="84">
        <f>'Calcul CmO et PmO'!F503</f>
        <v>9.6</v>
      </c>
    </row>
    <row r="9" spans="9:32" ht="24.75" customHeight="1" x14ac:dyDescent="0.2">
      <c r="I9" s="235" t="str">
        <f>'Calcul CmO et PmO'!D196</f>
        <v>Boisson spéciale numéro 1</v>
      </c>
      <c r="J9" s="236"/>
      <c r="K9" s="84">
        <f>'Calcul CmO et PmO'!F196</f>
        <v>6.6</v>
      </c>
      <c r="L9" s="19"/>
      <c r="M9" s="235" t="str">
        <f>'Calcul CmO et PmO'!D197</f>
        <v>Boisson spéciale numéro 2</v>
      </c>
      <c r="N9" s="236"/>
      <c r="O9" s="84">
        <f>'Calcul CmO et PmO'!F197</f>
        <v>7.6</v>
      </c>
      <c r="P9" s="19"/>
      <c r="Q9" s="235" t="str">
        <f>'Calcul CmO et PmO'!D199</f>
        <v>Boisson spéciale numéro 4</v>
      </c>
      <c r="R9" s="236"/>
      <c r="S9" s="84">
        <f>'Calcul CmO et PmO'!F199</f>
        <v>9</v>
      </c>
      <c r="T9" s="19"/>
      <c r="U9" s="235" t="str">
        <f>'Calcul CmO et PmO'!D501</f>
        <v>Boisson spéciale numéro 5</v>
      </c>
      <c r="V9" s="236"/>
      <c r="W9" s="84">
        <f>'Calcul CmO et PmO'!F501</f>
        <v>9.1999999999999993</v>
      </c>
      <c r="X9" s="19"/>
      <c r="Y9" s="235" t="str">
        <f>'Calcul CmO et PmO'!D502</f>
        <v>Boisson spéciale numéro 6</v>
      </c>
      <c r="Z9" s="236"/>
      <c r="AA9" s="236"/>
      <c r="AB9" s="84">
        <f>'Calcul CmO et PmO'!F502</f>
        <v>9.4</v>
      </c>
      <c r="AC9" s="19"/>
      <c r="AD9" s="235" t="str">
        <f>'Calcul CmO et PmO'!D504</f>
        <v>Boisson spéciale numéro 8</v>
      </c>
      <c r="AE9" s="236"/>
      <c r="AF9" s="84">
        <f>'Calcul CmO et PmO'!F504</f>
        <v>9.8000000000000007</v>
      </c>
    </row>
    <row r="10" spans="9:32" ht="24.75" customHeight="1" x14ac:dyDescent="0.2">
      <c r="I10" s="235" t="s">
        <v>144</v>
      </c>
      <c r="J10" s="236"/>
      <c r="K10" s="88">
        <f>SUM(K6:K9)</f>
        <v>17.7</v>
      </c>
      <c r="L10" s="19"/>
      <c r="M10" s="235" t="str">
        <f t="shared" ref="M10:M16" si="0">I10</f>
        <v>Sous-total</v>
      </c>
      <c r="N10" s="236"/>
      <c r="O10" s="88">
        <f>SUM(O6:O9)</f>
        <v>21.4</v>
      </c>
      <c r="P10" s="19"/>
      <c r="Q10" s="235" t="str">
        <f t="shared" ref="Q10:Q16" si="1">M10</f>
        <v>Sous-total</v>
      </c>
      <c r="R10" s="236"/>
      <c r="S10" s="88">
        <f>SUM(S6:S9)</f>
        <v>26.7</v>
      </c>
      <c r="T10" s="19"/>
      <c r="U10" s="82" t="str">
        <f t="shared" ref="U10:U16" si="2">Q10</f>
        <v>Sous-total</v>
      </c>
      <c r="V10" s="77"/>
      <c r="W10" s="88">
        <f>SUM(W6:W9)</f>
        <v>25.8</v>
      </c>
      <c r="X10" s="19"/>
      <c r="Y10" s="235" t="str">
        <f>U10</f>
        <v>Sous-total</v>
      </c>
      <c r="Z10" s="236"/>
      <c r="AA10" s="78"/>
      <c r="AB10" s="88">
        <f>SUM(AB6:AB9)</f>
        <v>27.6</v>
      </c>
      <c r="AC10" s="19"/>
      <c r="AD10" s="235" t="str">
        <f>Y10</f>
        <v>Sous-total</v>
      </c>
      <c r="AE10" s="236"/>
      <c r="AF10" s="88">
        <f>SUM(AF6:AF9)</f>
        <v>29.3</v>
      </c>
    </row>
    <row r="11" spans="9:32" ht="24.75" customHeight="1" x14ac:dyDescent="0.2">
      <c r="I11" s="20" t="s">
        <v>2</v>
      </c>
      <c r="J11" s="85">
        <v>0.05</v>
      </c>
      <c r="K11" s="23">
        <f>J11*K10</f>
        <v>0.88500000000000001</v>
      </c>
      <c r="L11" s="19"/>
      <c r="M11" s="20" t="str">
        <f t="shared" si="0"/>
        <v>TPS</v>
      </c>
      <c r="N11" s="85">
        <f>J11</f>
        <v>0.05</v>
      </c>
      <c r="O11" s="23">
        <f>N11*O10</f>
        <v>1.07</v>
      </c>
      <c r="P11" s="19"/>
      <c r="Q11" s="20" t="str">
        <f t="shared" si="1"/>
        <v>TPS</v>
      </c>
      <c r="R11" s="85">
        <f>N11</f>
        <v>0.05</v>
      </c>
      <c r="S11" s="23">
        <f>R11*S10</f>
        <v>1.335</v>
      </c>
      <c r="T11" s="19"/>
      <c r="U11" s="20" t="str">
        <f t="shared" si="2"/>
        <v>TPS</v>
      </c>
      <c r="V11" s="85">
        <f>R11</f>
        <v>0.05</v>
      </c>
      <c r="W11" s="23">
        <f>V11*W10</f>
        <v>1.29</v>
      </c>
      <c r="X11" s="19"/>
      <c r="Y11" s="20" t="str">
        <f>I11</f>
        <v>TPS</v>
      </c>
      <c r="Z11" s="21"/>
      <c r="AA11" s="85">
        <f>V11</f>
        <v>0.05</v>
      </c>
      <c r="AB11" s="23">
        <f>AA11*AB10</f>
        <v>1.3800000000000001</v>
      </c>
      <c r="AC11" s="19"/>
      <c r="AD11" s="20" t="str">
        <f>U11</f>
        <v>TPS</v>
      </c>
      <c r="AE11" s="85">
        <f>AA11</f>
        <v>0.05</v>
      </c>
      <c r="AF11" s="23">
        <f>AE11*AF10</f>
        <v>1.4650000000000001</v>
      </c>
    </row>
    <row r="12" spans="9:32" ht="24.75" customHeight="1" x14ac:dyDescent="0.2">
      <c r="I12" s="235" t="s">
        <v>3</v>
      </c>
      <c r="J12" s="236"/>
      <c r="K12" s="87">
        <f>+K10+K11</f>
        <v>18.585000000000001</v>
      </c>
      <c r="L12" s="19"/>
      <c r="M12" s="235" t="str">
        <f t="shared" si="0"/>
        <v>Solde après TPS</v>
      </c>
      <c r="N12" s="236"/>
      <c r="O12" s="87">
        <f>+O10+O11</f>
        <v>22.47</v>
      </c>
      <c r="P12" s="19"/>
      <c r="Q12" s="235" t="str">
        <f t="shared" si="1"/>
        <v>Solde après TPS</v>
      </c>
      <c r="R12" s="236"/>
      <c r="S12" s="87">
        <f>+S10+S11</f>
        <v>28.035</v>
      </c>
      <c r="T12" s="19"/>
      <c r="U12" s="235" t="str">
        <f t="shared" si="2"/>
        <v>Solde après TPS</v>
      </c>
      <c r="V12" s="236"/>
      <c r="W12" s="87">
        <f>+W10+W11</f>
        <v>27.09</v>
      </c>
      <c r="X12" s="19"/>
      <c r="Y12" s="235" t="str">
        <f>U12</f>
        <v>Solde après TPS</v>
      </c>
      <c r="Z12" s="240"/>
      <c r="AA12" s="85"/>
      <c r="AB12" s="87">
        <f>+AB10+AB11</f>
        <v>28.98</v>
      </c>
      <c r="AC12" s="19"/>
      <c r="AD12" s="235" t="str">
        <f>Y12</f>
        <v>Solde après TPS</v>
      </c>
      <c r="AE12" s="236"/>
      <c r="AF12" s="87">
        <f>+AF10+AF11</f>
        <v>30.765000000000001</v>
      </c>
    </row>
    <row r="13" spans="9:32" ht="24.75" customHeight="1" x14ac:dyDescent="0.2">
      <c r="I13" s="20" t="s">
        <v>4</v>
      </c>
      <c r="J13" s="86">
        <v>9.9750000000000005E-2</v>
      </c>
      <c r="K13" s="23">
        <f>J13*K10</f>
        <v>1.7655750000000001</v>
      </c>
      <c r="L13" s="19"/>
      <c r="M13" s="20" t="str">
        <f t="shared" si="0"/>
        <v>TVQ</v>
      </c>
      <c r="N13" s="86">
        <f>J13</f>
        <v>9.9750000000000005E-2</v>
      </c>
      <c r="O13" s="23">
        <f>N13*O10</f>
        <v>2.1346500000000002</v>
      </c>
      <c r="P13" s="19"/>
      <c r="Q13" s="20" t="str">
        <f t="shared" si="1"/>
        <v>TVQ</v>
      </c>
      <c r="R13" s="86">
        <f>N13</f>
        <v>9.9750000000000005E-2</v>
      </c>
      <c r="S13" s="23">
        <f>R13*S10</f>
        <v>2.6633249999999999</v>
      </c>
      <c r="T13" s="19"/>
      <c r="U13" s="20" t="str">
        <f t="shared" si="2"/>
        <v>TVQ</v>
      </c>
      <c r="V13" s="86">
        <f>R13</f>
        <v>9.9750000000000005E-2</v>
      </c>
      <c r="W13" s="23">
        <f>V13*W10</f>
        <v>2.57355</v>
      </c>
      <c r="X13" s="19"/>
      <c r="Y13" s="20" t="str">
        <f>U13</f>
        <v>TVQ</v>
      </c>
      <c r="Z13" s="21"/>
      <c r="AA13" s="86">
        <f>V13</f>
        <v>9.9750000000000005E-2</v>
      </c>
      <c r="AB13" s="23">
        <f>AA13*AB10</f>
        <v>2.7531000000000003</v>
      </c>
      <c r="AC13" s="19"/>
      <c r="AD13" s="20" t="str">
        <f>Y13</f>
        <v>TVQ</v>
      </c>
      <c r="AE13" s="86">
        <f>AA13</f>
        <v>9.9750000000000005E-2</v>
      </c>
      <c r="AF13" s="23">
        <f>AE13*AF10</f>
        <v>2.9226750000000004</v>
      </c>
    </row>
    <row r="14" spans="9:32" ht="24.75" customHeight="1" x14ac:dyDescent="0.2">
      <c r="I14" s="235" t="s">
        <v>5</v>
      </c>
      <c r="J14" s="236"/>
      <c r="K14" s="87">
        <f>+K12+K13</f>
        <v>20.350574999999999</v>
      </c>
      <c r="L14" s="19"/>
      <c r="M14" s="235" t="str">
        <f t="shared" si="0"/>
        <v>Total de la facture</v>
      </c>
      <c r="N14" s="236"/>
      <c r="O14" s="87">
        <f>+O12+O13</f>
        <v>24.604649999999999</v>
      </c>
      <c r="P14" s="19"/>
      <c r="Q14" s="235" t="str">
        <f t="shared" si="1"/>
        <v>Total de la facture</v>
      </c>
      <c r="R14" s="236"/>
      <c r="S14" s="87">
        <f>+S12+S13</f>
        <v>30.698325000000001</v>
      </c>
      <c r="T14" s="19"/>
      <c r="U14" s="20" t="str">
        <f t="shared" si="2"/>
        <v>Total de la facture</v>
      </c>
      <c r="V14" s="81"/>
      <c r="W14" s="87">
        <f>+W12+W13</f>
        <v>29.663550000000001</v>
      </c>
      <c r="X14" s="19"/>
      <c r="Y14" s="235" t="str">
        <f>U14</f>
        <v>Total de la facture</v>
      </c>
      <c r="Z14" s="240"/>
      <c r="AA14" s="85"/>
      <c r="AB14" s="87">
        <f>+AB12+AB13</f>
        <v>31.7331</v>
      </c>
      <c r="AC14" s="19"/>
      <c r="AD14" s="20" t="str">
        <f>Y14</f>
        <v>Total de la facture</v>
      </c>
      <c r="AE14" s="81"/>
      <c r="AF14" s="87">
        <f>+AF12+AF13</f>
        <v>33.687674999999999</v>
      </c>
    </row>
    <row r="15" spans="9:32" ht="24.75" customHeight="1" x14ac:dyDescent="0.2">
      <c r="I15" s="20" t="s">
        <v>7</v>
      </c>
      <c r="J15" s="85">
        <v>0.15</v>
      </c>
      <c r="K15" s="23">
        <f>J15*K10</f>
        <v>2.6549999999999998</v>
      </c>
      <c r="L15" s="19"/>
      <c r="M15" s="20" t="str">
        <f t="shared" si="0"/>
        <v>Pourboire</v>
      </c>
      <c r="N15" s="85">
        <f>J15</f>
        <v>0.15</v>
      </c>
      <c r="O15" s="23">
        <f>N15*O10</f>
        <v>3.2099999999999995</v>
      </c>
      <c r="P15" s="19"/>
      <c r="Q15" s="20" t="str">
        <f t="shared" si="1"/>
        <v>Pourboire</v>
      </c>
      <c r="R15" s="85">
        <f>N15</f>
        <v>0.15</v>
      </c>
      <c r="S15" s="23">
        <f>R15*S10</f>
        <v>4.0049999999999999</v>
      </c>
      <c r="T15" s="19"/>
      <c r="U15" s="20" t="str">
        <f t="shared" si="2"/>
        <v>Pourboire</v>
      </c>
      <c r="V15" s="85">
        <f>R15</f>
        <v>0.15</v>
      </c>
      <c r="W15" s="23">
        <f>V15*W10</f>
        <v>3.87</v>
      </c>
      <c r="X15" s="19"/>
      <c r="Y15" s="20" t="str">
        <f>U15</f>
        <v>Pourboire</v>
      </c>
      <c r="Z15" s="21"/>
      <c r="AA15" s="85">
        <f>V15</f>
        <v>0.15</v>
      </c>
      <c r="AB15" s="23">
        <f>AA15*AB10</f>
        <v>4.1399999999999997</v>
      </c>
      <c r="AC15" s="19"/>
      <c r="AD15" s="20" t="str">
        <f>Y15</f>
        <v>Pourboire</v>
      </c>
      <c r="AE15" s="85">
        <f>AA15</f>
        <v>0.15</v>
      </c>
      <c r="AF15" s="23">
        <f>AE15*AF10</f>
        <v>4.3949999999999996</v>
      </c>
    </row>
    <row r="16" spans="9:32" ht="24.75" customHeight="1" x14ac:dyDescent="0.2">
      <c r="I16" s="235" t="str">
        <f>I10</f>
        <v>Sous-total</v>
      </c>
      <c r="J16" s="236"/>
      <c r="K16" s="87">
        <f>+K14+K15</f>
        <v>23.005575</v>
      </c>
      <c r="L16" s="19"/>
      <c r="M16" s="235" t="str">
        <f t="shared" si="0"/>
        <v>Sous-total</v>
      </c>
      <c r="N16" s="236"/>
      <c r="O16" s="87">
        <f>+O14+O15</f>
        <v>27.81465</v>
      </c>
      <c r="P16" s="19"/>
      <c r="Q16" s="235" t="str">
        <f t="shared" si="1"/>
        <v>Sous-total</v>
      </c>
      <c r="R16" s="236"/>
      <c r="S16" s="87">
        <f>+S14+S15</f>
        <v>34.703325</v>
      </c>
      <c r="T16" s="19"/>
      <c r="U16" s="20" t="str">
        <f t="shared" si="2"/>
        <v>Sous-total</v>
      </c>
      <c r="V16" s="21" t="s">
        <v>15</v>
      </c>
      <c r="W16" s="87">
        <f>+W14+W15</f>
        <v>33.533549999999998</v>
      </c>
      <c r="X16" s="19"/>
      <c r="Y16" s="235" t="str">
        <f>M16</f>
        <v>Sous-total</v>
      </c>
      <c r="Z16" s="240"/>
      <c r="AA16" s="21"/>
      <c r="AB16" s="87">
        <f>+AB14+AB15</f>
        <v>35.873100000000001</v>
      </c>
      <c r="AC16" s="19"/>
      <c r="AD16" s="20" t="str">
        <f>Y16</f>
        <v>Sous-total</v>
      </c>
      <c r="AE16" s="21" t="s">
        <v>15</v>
      </c>
      <c r="AF16" s="87">
        <f>+AF14+AF15</f>
        <v>38.082674999999995</v>
      </c>
    </row>
    <row r="17" spans="2:34" ht="24.75" customHeight="1" x14ac:dyDescent="0.2">
      <c r="I17" s="235" t="s">
        <v>6</v>
      </c>
      <c r="J17" s="236"/>
      <c r="K17" s="23">
        <f>K16</f>
        <v>23.005575</v>
      </c>
      <c r="L17" s="19"/>
      <c r="M17" s="235" t="s">
        <v>13</v>
      </c>
      <c r="N17" s="236"/>
      <c r="O17" s="23">
        <f>O16</f>
        <v>27.81465</v>
      </c>
      <c r="P17" s="19"/>
      <c r="Q17" s="235" t="s">
        <v>6</v>
      </c>
      <c r="R17" s="236"/>
      <c r="S17" s="23">
        <f>S16</f>
        <v>34.703325</v>
      </c>
      <c r="T17" s="19"/>
      <c r="U17" s="235" t="s">
        <v>14</v>
      </c>
      <c r="V17" s="236"/>
      <c r="W17" s="23">
        <f>W16</f>
        <v>33.533549999999998</v>
      </c>
      <c r="X17" s="19"/>
      <c r="Y17" s="235" t="s">
        <v>6</v>
      </c>
      <c r="Z17" s="236"/>
      <c r="AA17" s="21"/>
      <c r="AB17" s="23">
        <f>AB16</f>
        <v>35.873100000000001</v>
      </c>
      <c r="AC17" s="19"/>
      <c r="AD17" s="235" t="s">
        <v>14</v>
      </c>
      <c r="AE17" s="236"/>
      <c r="AF17" s="23">
        <f>AF16</f>
        <v>38.082674999999995</v>
      </c>
    </row>
    <row r="18" spans="2:34" ht="24.75" customHeight="1" x14ac:dyDescent="0.2">
      <c r="I18" s="235" t="s">
        <v>8</v>
      </c>
      <c r="J18" s="236"/>
      <c r="K18" s="23">
        <f>K16-K17</f>
        <v>0</v>
      </c>
      <c r="L18" s="19"/>
      <c r="M18" s="235" t="str">
        <f>I18</f>
        <v>Solde à la fermeture</v>
      </c>
      <c r="N18" s="236"/>
      <c r="O18" s="23">
        <f>O16-O17</f>
        <v>0</v>
      </c>
      <c r="P18" s="19"/>
      <c r="Q18" s="235" t="str">
        <f>M18</f>
        <v>Solde à la fermeture</v>
      </c>
      <c r="R18" s="236"/>
      <c r="S18" s="23">
        <f>S16-S17</f>
        <v>0</v>
      </c>
      <c r="T18" s="19"/>
      <c r="U18" s="235" t="str">
        <f>Q18</f>
        <v>Solde à la fermeture</v>
      </c>
      <c r="V18" s="236"/>
      <c r="W18" s="23">
        <f>W16-W17</f>
        <v>0</v>
      </c>
      <c r="X18" s="19"/>
      <c r="Y18" s="235" t="str">
        <f>U18</f>
        <v>Solde à la fermeture</v>
      </c>
      <c r="Z18" s="236"/>
      <c r="AA18" s="21"/>
      <c r="AB18" s="23">
        <f>AB16-AB17</f>
        <v>0</v>
      </c>
      <c r="AC18" s="19"/>
      <c r="AD18" s="235" t="str">
        <f>Y18</f>
        <v>Solde à la fermeture</v>
      </c>
      <c r="AE18" s="236"/>
      <c r="AF18" s="23">
        <f>AF16-AF17</f>
        <v>0</v>
      </c>
    </row>
    <row r="19" spans="2:34" ht="24.75" customHeight="1" x14ac:dyDescent="0.2">
      <c r="I19" s="20"/>
      <c r="J19" s="21"/>
      <c r="K19" s="23"/>
      <c r="L19" s="19"/>
      <c r="M19" s="20"/>
      <c r="N19" s="21"/>
      <c r="O19" s="23" t="s">
        <v>0</v>
      </c>
      <c r="P19" s="19"/>
      <c r="Q19" s="20"/>
      <c r="R19" s="21"/>
      <c r="S19" s="23"/>
      <c r="T19" s="19"/>
      <c r="U19" s="20"/>
      <c r="V19" s="21"/>
      <c r="W19" s="23"/>
      <c r="X19" s="19"/>
      <c r="Y19" s="20"/>
      <c r="Z19" s="21"/>
      <c r="AA19" s="21"/>
      <c r="AB19" s="23"/>
      <c r="AC19" s="19"/>
      <c r="AD19" s="20"/>
      <c r="AE19" s="21"/>
      <c r="AF19" s="23"/>
    </row>
    <row r="20" spans="2:34" ht="24.75" customHeight="1" x14ac:dyDescent="0.2">
      <c r="I20" s="292" t="s">
        <v>11</v>
      </c>
      <c r="J20" s="249"/>
      <c r="K20" s="293"/>
      <c r="L20" s="19"/>
      <c r="M20" s="292" t="str">
        <f>I20</f>
        <v>No TPS : xxxxxxxxxxxxxx</v>
      </c>
      <c r="N20" s="249"/>
      <c r="O20" s="293"/>
      <c r="P20" s="19"/>
      <c r="Q20" s="292" t="str">
        <f>M20</f>
        <v>No TPS : xxxxxxxxxxxxxx</v>
      </c>
      <c r="R20" s="249"/>
      <c r="S20" s="293"/>
      <c r="T20" s="19"/>
      <c r="U20" s="292" t="str">
        <f>Q20</f>
        <v>No TPS : xxxxxxxxxxxxxx</v>
      </c>
      <c r="V20" s="249"/>
      <c r="W20" s="293"/>
      <c r="X20" s="19"/>
      <c r="Y20" s="292" t="str">
        <f>U20</f>
        <v>No TPS : xxxxxxxxxxxxxx</v>
      </c>
      <c r="Z20" s="287"/>
      <c r="AA20" s="249"/>
      <c r="AB20" s="293"/>
      <c r="AC20" s="19"/>
      <c r="AD20" s="292" t="str">
        <f>Y20</f>
        <v>No TPS : xxxxxxxxxxxxxx</v>
      </c>
      <c r="AE20" s="249"/>
      <c r="AF20" s="293"/>
    </row>
    <row r="21" spans="2:34" ht="24.75" customHeight="1" thickBot="1" x14ac:dyDescent="0.25">
      <c r="I21" s="292" t="s">
        <v>12</v>
      </c>
      <c r="J21" s="249"/>
      <c r="K21" s="293"/>
      <c r="L21" s="19"/>
      <c r="M21" s="292" t="str">
        <f>I21</f>
        <v>No TVQ : yyyyyyyyyyyyyyyy</v>
      </c>
      <c r="N21" s="249"/>
      <c r="O21" s="293"/>
      <c r="P21" s="19"/>
      <c r="Q21" s="292" t="str">
        <f>M21</f>
        <v>No TVQ : yyyyyyyyyyyyyyyy</v>
      </c>
      <c r="R21" s="249"/>
      <c r="S21" s="293"/>
      <c r="T21" s="19"/>
      <c r="U21" s="292" t="str">
        <f>Q21</f>
        <v>No TVQ : yyyyyyyyyyyyyyyy</v>
      </c>
      <c r="V21" s="249"/>
      <c r="W21" s="293"/>
      <c r="X21" s="19"/>
      <c r="Y21" s="292" t="str">
        <f>U21</f>
        <v>No TVQ : yyyyyyyyyyyyyyyy</v>
      </c>
      <c r="Z21" s="287"/>
      <c r="AA21" s="249"/>
      <c r="AB21" s="293"/>
      <c r="AC21" s="19"/>
      <c r="AD21" s="292" t="s">
        <v>12</v>
      </c>
      <c r="AE21" s="249"/>
      <c r="AF21" s="293"/>
    </row>
    <row r="22" spans="2:34" ht="24.75" customHeight="1" thickTop="1" thickBot="1" x14ac:dyDescent="0.25">
      <c r="B22" s="190"/>
      <c r="C22" s="191"/>
      <c r="D22" s="191"/>
      <c r="E22" s="191"/>
      <c r="F22" s="192"/>
      <c r="I22" s="300" t="s">
        <v>63</v>
      </c>
      <c r="J22" s="301"/>
      <c r="K22" s="302"/>
      <c r="L22" s="19"/>
      <c r="M22" s="300" t="str">
        <f>I22</f>
        <v>Serveur no 2 / 17 mai 2021</v>
      </c>
      <c r="N22" s="301"/>
      <c r="O22" s="302"/>
      <c r="P22" s="19"/>
      <c r="Q22" s="300" t="str">
        <f>M22</f>
        <v>Serveur no 2 / 17 mai 2021</v>
      </c>
      <c r="R22" s="301"/>
      <c r="S22" s="302"/>
      <c r="T22" s="19"/>
      <c r="U22" s="300" t="str">
        <f>Q22</f>
        <v>Serveur no 2 / 17 mai 2021</v>
      </c>
      <c r="V22" s="301"/>
      <c r="W22" s="302"/>
      <c r="X22" s="19"/>
      <c r="Y22" s="300" t="str">
        <f>U22</f>
        <v>Serveur no 2 / 17 mai 2021</v>
      </c>
      <c r="Z22" s="305"/>
      <c r="AA22" s="301"/>
      <c r="AB22" s="302"/>
      <c r="AC22" s="19"/>
      <c r="AD22" s="300" t="str">
        <f>Y22</f>
        <v>Serveur no 2 / 17 mai 2021</v>
      </c>
      <c r="AE22" s="301"/>
      <c r="AF22" s="302"/>
    </row>
    <row r="23" spans="2:34" ht="25" customHeight="1" thickTop="1" thickBot="1" x14ac:dyDescent="0.3">
      <c r="B23" s="193"/>
      <c r="C23" s="326" t="s">
        <v>120</v>
      </c>
      <c r="D23" s="327"/>
      <c r="E23" s="328"/>
      <c r="F23" s="194"/>
      <c r="I23" s="13"/>
      <c r="J23" s="13"/>
      <c r="K23" s="16"/>
    </row>
    <row r="24" spans="2:34" ht="18" thickTop="1" thickBot="1" x14ac:dyDescent="0.35">
      <c r="B24" s="193"/>
      <c r="C24" s="10"/>
      <c r="D24" s="10"/>
      <c r="E24" s="10"/>
      <c r="F24" s="195"/>
      <c r="I24" s="311" t="s">
        <v>35</v>
      </c>
      <c r="J24" s="236"/>
      <c r="K24" s="236"/>
      <c r="L24" s="236"/>
      <c r="M24" s="236"/>
      <c r="N24" s="236"/>
      <c r="O24" s="236"/>
      <c r="P24" s="236"/>
      <c r="Q24" s="236"/>
      <c r="R24" s="236"/>
      <c r="S24" s="236"/>
    </row>
    <row r="25" spans="2:34" ht="21" thickBot="1" x14ac:dyDescent="0.35">
      <c r="B25" s="193"/>
      <c r="C25" s="314" t="s">
        <v>59</v>
      </c>
      <c r="D25" s="315"/>
      <c r="E25" s="189">
        <f>+J5+N5+R5+V5+Z5+AE5</f>
        <v>6</v>
      </c>
      <c r="F25" s="196"/>
      <c r="I25" s="311" t="s">
        <v>36</v>
      </c>
      <c r="J25" s="236"/>
      <c r="K25" s="236"/>
      <c r="L25" s="236"/>
      <c r="M25" s="236"/>
      <c r="N25" s="236"/>
      <c r="O25" s="236"/>
      <c r="P25" s="236"/>
      <c r="Q25" s="236"/>
      <c r="R25" s="236"/>
      <c r="S25" s="236"/>
    </row>
    <row r="26" spans="2:34" ht="17" thickBot="1" x14ac:dyDescent="0.35">
      <c r="B26" s="193"/>
      <c r="C26" s="10"/>
      <c r="D26" s="10"/>
      <c r="E26" s="10"/>
      <c r="F26" s="195"/>
      <c r="I26" s="311" t="s">
        <v>37</v>
      </c>
      <c r="J26" s="236"/>
      <c r="K26" s="236"/>
      <c r="L26" s="236"/>
      <c r="M26" s="236"/>
      <c r="N26" s="236"/>
      <c r="O26" s="236"/>
      <c r="P26" s="236"/>
      <c r="Q26" s="236"/>
      <c r="R26" s="236"/>
      <c r="S26" s="236"/>
    </row>
    <row r="27" spans="2:34" ht="20" x14ac:dyDescent="0.3">
      <c r="B27" s="193"/>
      <c r="C27" s="316" t="s">
        <v>57</v>
      </c>
      <c r="D27" s="317"/>
      <c r="E27" s="177">
        <f>(E28+E29)</f>
        <v>0</v>
      </c>
      <c r="F27" s="197"/>
      <c r="I27" s="311" t="s">
        <v>38</v>
      </c>
      <c r="J27" s="236"/>
      <c r="K27" s="236"/>
      <c r="L27" s="236"/>
      <c r="M27" s="236"/>
      <c r="N27" s="236"/>
      <c r="O27" s="236"/>
      <c r="P27" s="236"/>
      <c r="Q27" s="236"/>
      <c r="R27" s="236"/>
      <c r="S27" s="236"/>
    </row>
    <row r="28" spans="2:34" ht="20" customHeight="1" x14ac:dyDescent="0.3">
      <c r="B28" s="193"/>
      <c r="C28" s="318" t="s">
        <v>109</v>
      </c>
      <c r="D28" s="333"/>
      <c r="E28" s="178">
        <f>N53</f>
        <v>0</v>
      </c>
      <c r="F28" s="197"/>
      <c r="I28" s="311" t="s">
        <v>1</v>
      </c>
      <c r="J28" s="236"/>
      <c r="K28" s="236"/>
      <c r="L28" s="236"/>
      <c r="M28" s="236"/>
      <c r="N28" s="236"/>
      <c r="O28" s="236"/>
      <c r="P28" s="236"/>
      <c r="Q28" s="236"/>
      <c r="R28" s="236"/>
      <c r="S28" s="236"/>
      <c r="W28" s="76"/>
    </row>
    <row r="29" spans="2:34" ht="20" customHeight="1" thickBot="1" x14ac:dyDescent="0.35">
      <c r="B29" s="193"/>
      <c r="C29" s="320" t="s">
        <v>108</v>
      </c>
      <c r="D29" s="334"/>
      <c r="E29" s="179">
        <f>N67</f>
        <v>0</v>
      </c>
      <c r="F29" s="197"/>
      <c r="I29" s="311" t="s">
        <v>29</v>
      </c>
      <c r="J29" s="236"/>
      <c r="K29" s="236"/>
      <c r="L29" s="236"/>
      <c r="M29" s="236"/>
      <c r="N29" s="236"/>
      <c r="O29" s="236"/>
      <c r="P29" s="236"/>
      <c r="Q29" s="236"/>
      <c r="R29" s="236"/>
      <c r="S29" s="236"/>
    </row>
    <row r="30" spans="2:34" ht="20" customHeight="1" thickBot="1" x14ac:dyDescent="0.35">
      <c r="B30" s="193"/>
      <c r="C30" s="10"/>
      <c r="D30" s="10"/>
      <c r="E30" s="198"/>
      <c r="F30" s="199"/>
      <c r="H30" s="17" t="s">
        <v>0</v>
      </c>
      <c r="I30" s="311" t="s">
        <v>30</v>
      </c>
      <c r="J30" s="236"/>
      <c r="K30" s="236"/>
      <c r="L30" s="236"/>
      <c r="M30" s="236"/>
      <c r="N30" s="236"/>
      <c r="O30" s="236"/>
      <c r="P30" s="236"/>
      <c r="Q30" s="236"/>
      <c r="R30" s="236"/>
      <c r="S30" s="236"/>
    </row>
    <row r="31" spans="2:34" ht="19" thickBot="1" x14ac:dyDescent="0.25">
      <c r="B31" s="193"/>
      <c r="C31" s="316" t="s">
        <v>62</v>
      </c>
      <c r="D31" s="317"/>
      <c r="E31" s="177">
        <f>(E27/E25)</f>
        <v>0</v>
      </c>
      <c r="F31" s="197"/>
      <c r="X31" s="10"/>
      <c r="Y31" s="10"/>
      <c r="Z31" s="10"/>
      <c r="AA31" s="10"/>
      <c r="AB31" s="10"/>
    </row>
    <row r="32" spans="2:34" ht="19" customHeight="1" thickTop="1" x14ac:dyDescent="0.2">
      <c r="B32" s="193"/>
      <c r="C32" s="318" t="s">
        <v>110</v>
      </c>
      <c r="D32" s="319"/>
      <c r="E32" s="178">
        <f>(E28/E25)</f>
        <v>0</v>
      </c>
      <c r="F32" s="197"/>
      <c r="G32" s="19"/>
      <c r="H32" s="24"/>
      <c r="I32" s="25"/>
      <c r="J32" s="25"/>
      <c r="K32" s="25"/>
      <c r="L32" s="25"/>
      <c r="M32" s="26"/>
      <c r="N32" s="26"/>
      <c r="O32" s="26"/>
      <c r="P32" s="26"/>
      <c r="Q32" s="26"/>
      <c r="R32" s="26"/>
      <c r="S32" s="26"/>
      <c r="T32" s="26"/>
      <c r="U32" s="26"/>
      <c r="V32" s="26"/>
      <c r="W32" s="26"/>
      <c r="X32" s="26"/>
      <c r="Y32" s="27"/>
      <c r="Z32" s="28"/>
      <c r="AA32" s="19"/>
      <c r="AB32" s="19"/>
      <c r="AC32" s="19"/>
      <c r="AD32" s="19"/>
      <c r="AE32" s="19"/>
      <c r="AF32" s="19"/>
      <c r="AG32" s="19"/>
      <c r="AH32" s="19"/>
    </row>
    <row r="33" spans="2:34" ht="16" customHeight="1" thickBot="1" x14ac:dyDescent="0.25">
      <c r="B33" s="193"/>
      <c r="C33" s="320" t="s">
        <v>111</v>
      </c>
      <c r="D33" s="321"/>
      <c r="E33" s="179">
        <f>(E29/E25)</f>
        <v>0</v>
      </c>
      <c r="F33" s="197"/>
      <c r="G33" s="19"/>
      <c r="H33" s="29"/>
      <c r="I33" s="298" t="s">
        <v>22</v>
      </c>
      <c r="J33" s="299"/>
      <c r="K33" s="299"/>
      <c r="L33" s="299"/>
      <c r="M33" s="299"/>
      <c r="N33" s="299"/>
      <c r="O33" s="299"/>
      <c r="P33" s="299"/>
      <c r="Q33" s="299"/>
      <c r="R33" s="299"/>
      <c r="S33" s="299"/>
      <c r="T33" s="299"/>
      <c r="U33" s="299"/>
      <c r="V33" s="299"/>
      <c r="W33" s="299"/>
      <c r="X33" s="28"/>
      <c r="Y33" s="30"/>
      <c r="Z33" s="28"/>
      <c r="AA33" s="19"/>
      <c r="AB33" s="19"/>
      <c r="AC33" s="19"/>
      <c r="AD33" s="19"/>
      <c r="AF33" s="19"/>
      <c r="AG33" s="19"/>
      <c r="AH33" s="19"/>
    </row>
    <row r="34" spans="2:34" ht="17" thickBot="1" x14ac:dyDescent="0.25">
      <c r="B34" s="193"/>
      <c r="C34" s="10"/>
      <c r="D34" s="10"/>
      <c r="E34" s="198"/>
      <c r="F34" s="199"/>
      <c r="G34" s="19"/>
      <c r="H34" s="29"/>
      <c r="I34" s="28"/>
      <c r="J34" s="28"/>
      <c r="K34" s="28"/>
      <c r="L34" s="28"/>
      <c r="M34" s="28"/>
      <c r="N34" s="28"/>
      <c r="O34" s="28"/>
      <c r="P34" s="28"/>
      <c r="Q34" s="28"/>
      <c r="R34" s="28"/>
      <c r="S34" s="28"/>
      <c r="T34" s="28"/>
      <c r="U34" s="28"/>
      <c r="V34" s="28"/>
      <c r="W34" s="28"/>
      <c r="X34" s="28"/>
      <c r="Y34" s="30"/>
      <c r="Z34" s="28"/>
      <c r="AA34" s="19"/>
      <c r="AB34" s="19"/>
      <c r="AC34" s="19"/>
      <c r="AD34" s="19"/>
      <c r="AE34" s="19"/>
      <c r="AF34" s="19"/>
      <c r="AG34" s="19"/>
      <c r="AH34" s="19"/>
    </row>
    <row r="35" spans="2:34" ht="19" thickBot="1" x14ac:dyDescent="0.25">
      <c r="B35" s="193"/>
      <c r="C35" s="316" t="s">
        <v>55</v>
      </c>
      <c r="D35" s="317"/>
      <c r="E35" s="177">
        <f>+(K6+K7+K8+K9+O6+O7+O8+O9+S6+S7+S8+S9+W6+W7+W8+W9+AB6+AB7+AB8+AB9+AF6+AF7+AF8+AF9)/E47</f>
        <v>6.1875</v>
      </c>
      <c r="F35" s="197"/>
      <c r="G35" s="19"/>
      <c r="H35" s="29"/>
      <c r="I35" s="297" t="s">
        <v>23</v>
      </c>
      <c r="J35" s="297"/>
      <c r="K35" s="28"/>
      <c r="L35" s="28"/>
      <c r="M35" s="297" t="s">
        <v>52</v>
      </c>
      <c r="N35" s="297"/>
      <c r="O35" s="28"/>
      <c r="P35" s="28"/>
      <c r="Q35" s="297" t="s">
        <v>45</v>
      </c>
      <c r="R35" s="297"/>
      <c r="S35" s="28"/>
      <c r="T35" s="28"/>
      <c r="U35" s="297" t="s">
        <v>13</v>
      </c>
      <c r="V35" s="297"/>
      <c r="W35" s="28"/>
      <c r="X35" s="28"/>
      <c r="Y35" s="30"/>
      <c r="Z35" s="28"/>
      <c r="AA35" s="19"/>
      <c r="AB35" s="19"/>
      <c r="AC35" s="19"/>
      <c r="AD35" s="19"/>
      <c r="AE35" s="19"/>
      <c r="AF35" s="19"/>
      <c r="AG35" s="19"/>
      <c r="AH35" s="19"/>
    </row>
    <row r="36" spans="2:34" ht="18" x14ac:dyDescent="0.2">
      <c r="B36" s="193"/>
      <c r="C36" s="329" t="s">
        <v>112</v>
      </c>
      <c r="D36" s="330"/>
      <c r="E36" s="178">
        <f>+(K6+K7+K8+O6+O7+O8+S6+S7+W6+W7+W8+AB6+AB7+AB8+AF6+AF7)/E48</f>
        <v>4.9562500000000007</v>
      </c>
      <c r="F36" s="197"/>
      <c r="G36" s="19"/>
      <c r="H36" s="29"/>
      <c r="I36" s="214" t="s">
        <v>0</v>
      </c>
      <c r="J36" s="215" t="s">
        <v>0</v>
      </c>
      <c r="K36" s="28"/>
      <c r="L36" s="28"/>
      <c r="M36" s="221" t="s">
        <v>0</v>
      </c>
      <c r="N36" s="222" t="s">
        <v>0</v>
      </c>
      <c r="O36" s="28"/>
      <c r="P36" s="28"/>
      <c r="Q36" s="228" t="s">
        <v>0</v>
      </c>
      <c r="R36" s="229" t="s">
        <v>0</v>
      </c>
      <c r="S36" s="28"/>
      <c r="T36" s="28"/>
      <c r="U36" s="72" t="s">
        <v>0</v>
      </c>
      <c r="V36" s="215" t="s">
        <v>0</v>
      </c>
      <c r="W36" s="28"/>
      <c r="X36" s="28"/>
      <c r="Y36" s="30"/>
      <c r="Z36" s="28"/>
      <c r="AA36" s="19"/>
      <c r="AB36" s="19"/>
      <c r="AC36" s="19"/>
      <c r="AD36" s="19"/>
      <c r="AE36" s="19"/>
      <c r="AF36" s="19"/>
      <c r="AG36" s="19"/>
      <c r="AH36" s="19"/>
    </row>
    <row r="37" spans="2:34" ht="19" thickBot="1" x14ac:dyDescent="0.25">
      <c r="B37" s="193"/>
      <c r="C37" s="320" t="s">
        <v>113</v>
      </c>
      <c r="D37" s="321"/>
      <c r="E37" s="179">
        <f>(K9+O9+S8+S9+W9+AB9+AF8+AF9)/E49</f>
        <v>8.65</v>
      </c>
      <c r="F37" s="197"/>
      <c r="G37" s="19"/>
      <c r="H37" s="29"/>
      <c r="I37" s="216" t="s">
        <v>0</v>
      </c>
      <c r="J37" s="217" t="s">
        <v>0</v>
      </c>
      <c r="K37" s="28"/>
      <c r="L37" s="28"/>
      <c r="M37" s="223" t="s">
        <v>0</v>
      </c>
      <c r="N37" s="224" t="s">
        <v>0</v>
      </c>
      <c r="O37" s="28"/>
      <c r="P37" s="28"/>
      <c r="Q37" s="230" t="s">
        <v>0</v>
      </c>
      <c r="R37" s="218" t="s">
        <v>0</v>
      </c>
      <c r="S37" s="28"/>
      <c r="T37" s="28"/>
      <c r="U37" s="71" t="s">
        <v>0</v>
      </c>
      <c r="V37" s="217" t="s">
        <v>0</v>
      </c>
      <c r="W37" s="28"/>
      <c r="X37" s="28"/>
      <c r="Y37" s="30"/>
      <c r="Z37" s="28"/>
      <c r="AA37" s="19"/>
      <c r="AB37" s="19"/>
      <c r="AC37" s="19"/>
      <c r="AD37" s="19"/>
      <c r="AE37" s="19"/>
      <c r="AF37" s="19"/>
      <c r="AG37" s="19"/>
      <c r="AH37" s="19"/>
    </row>
    <row r="38" spans="2:34" ht="17" thickBot="1" x14ac:dyDescent="0.25">
      <c r="B38" s="193"/>
      <c r="C38" s="10"/>
      <c r="D38" s="10"/>
      <c r="E38" s="198"/>
      <c r="F38" s="199"/>
      <c r="G38" s="19"/>
      <c r="H38" s="29"/>
      <c r="I38" s="216" t="s">
        <v>0</v>
      </c>
      <c r="J38" s="217" t="s">
        <v>0</v>
      </c>
      <c r="K38" s="28"/>
      <c r="L38" s="28"/>
      <c r="M38" s="223" t="s">
        <v>0</v>
      </c>
      <c r="N38" s="224" t="s">
        <v>0</v>
      </c>
      <c r="O38" s="28"/>
      <c r="P38" s="28"/>
      <c r="Q38" s="230" t="s">
        <v>0</v>
      </c>
      <c r="R38" s="218" t="s">
        <v>0</v>
      </c>
      <c r="S38" s="28"/>
      <c r="T38" s="28"/>
      <c r="U38" s="71" t="s">
        <v>0</v>
      </c>
      <c r="V38" s="70" t="s">
        <v>0</v>
      </c>
      <c r="W38" s="28"/>
      <c r="X38" s="28"/>
      <c r="Y38" s="30"/>
      <c r="Z38" s="28"/>
      <c r="AA38" s="19"/>
      <c r="AB38" s="19"/>
      <c r="AC38" s="19"/>
      <c r="AD38" s="19"/>
      <c r="AE38" s="19"/>
      <c r="AF38" s="19"/>
      <c r="AG38" s="19"/>
      <c r="AH38" s="19"/>
    </row>
    <row r="39" spans="2:34" ht="18" x14ac:dyDescent="0.2">
      <c r="B39" s="193"/>
      <c r="C39" s="331" t="s">
        <v>64</v>
      </c>
      <c r="D39" s="317"/>
      <c r="E39" s="210">
        <f>'Calcul CmO et PmO'!F213</f>
        <v>7.1749999999999998</v>
      </c>
      <c r="F39" s="197"/>
      <c r="G39" s="19"/>
      <c r="H39" s="29"/>
      <c r="I39" s="216" t="s">
        <v>0</v>
      </c>
      <c r="J39" s="218" t="s">
        <v>0</v>
      </c>
      <c r="K39" s="28"/>
      <c r="L39" s="28"/>
      <c r="M39" s="223" t="s">
        <v>0</v>
      </c>
      <c r="N39" s="224" t="s">
        <v>0</v>
      </c>
      <c r="O39" s="28"/>
      <c r="P39" s="28"/>
      <c r="Q39" s="230" t="s">
        <v>0</v>
      </c>
      <c r="R39" s="218" t="s">
        <v>0</v>
      </c>
      <c r="S39" s="28"/>
      <c r="T39" s="28"/>
      <c r="U39" s="71" t="s">
        <v>0</v>
      </c>
      <c r="V39" s="70" t="s">
        <v>0</v>
      </c>
      <c r="W39" s="28"/>
      <c r="X39" s="28"/>
      <c r="Y39" s="30"/>
      <c r="Z39" s="28"/>
      <c r="AA39" s="19"/>
      <c r="AB39" s="19"/>
      <c r="AC39" s="19"/>
      <c r="AD39" s="19"/>
      <c r="AE39" s="19"/>
      <c r="AF39" s="19"/>
      <c r="AG39" s="19"/>
      <c r="AH39" s="19"/>
    </row>
    <row r="40" spans="2:34" ht="18" customHeight="1" x14ac:dyDescent="0.2">
      <c r="B40" s="193"/>
      <c r="C40" s="329" t="s">
        <v>114</v>
      </c>
      <c r="D40" s="319"/>
      <c r="E40" s="178">
        <f>'Calcul CmO et PmO'!F193</f>
        <v>4.8166666666666673</v>
      </c>
      <c r="F40" s="197"/>
      <c r="G40" s="19"/>
      <c r="H40" s="29"/>
      <c r="I40" s="219" t="s">
        <v>0</v>
      </c>
      <c r="J40" s="218" t="s">
        <v>0</v>
      </c>
      <c r="K40" s="28"/>
      <c r="L40" s="28"/>
      <c r="M40" s="223" t="s">
        <v>0</v>
      </c>
      <c r="N40" s="224" t="s">
        <v>0</v>
      </c>
      <c r="O40" s="28"/>
      <c r="P40" s="28"/>
      <c r="Q40" s="230" t="s">
        <v>0</v>
      </c>
      <c r="R40" s="218" t="s">
        <v>0</v>
      </c>
      <c r="S40" s="28"/>
      <c r="T40" s="28"/>
      <c r="U40" s="71" t="s">
        <v>0</v>
      </c>
      <c r="V40" s="70" t="s">
        <v>0</v>
      </c>
      <c r="W40" s="28"/>
      <c r="X40" s="28"/>
      <c r="Y40" s="30"/>
      <c r="Z40" s="28"/>
      <c r="AA40" s="19"/>
      <c r="AB40" s="19"/>
      <c r="AC40" s="19"/>
      <c r="AD40" s="19"/>
      <c r="AE40" s="19"/>
      <c r="AF40" s="19"/>
      <c r="AG40" s="19"/>
      <c r="AH40" s="19"/>
    </row>
    <row r="41" spans="2:34" ht="19" thickBot="1" x14ac:dyDescent="0.25">
      <c r="B41" s="193"/>
      <c r="C41" s="332" t="s">
        <v>115</v>
      </c>
      <c r="D41" s="321"/>
      <c r="E41" s="179">
        <f>'Calcul CmO et PmO'!F208</f>
        <v>9.5333333333333332</v>
      </c>
      <c r="F41" s="197"/>
      <c r="G41" s="19"/>
      <c r="H41" s="29"/>
      <c r="I41" s="216" t="s">
        <v>0</v>
      </c>
      <c r="J41" s="217" t="s">
        <v>0</v>
      </c>
      <c r="K41" s="28"/>
      <c r="L41" s="28"/>
      <c r="M41" s="223" t="s">
        <v>0</v>
      </c>
      <c r="N41" s="224" t="s">
        <v>0</v>
      </c>
      <c r="O41" s="28"/>
      <c r="P41" s="28"/>
      <c r="Q41" s="230" t="s">
        <v>0</v>
      </c>
      <c r="R41" s="231" t="s">
        <v>0</v>
      </c>
      <c r="S41" s="28"/>
      <c r="T41" s="28"/>
      <c r="U41" s="73" t="s">
        <v>0</v>
      </c>
      <c r="V41" s="70" t="s">
        <v>0</v>
      </c>
      <c r="W41" s="28"/>
      <c r="X41" s="28"/>
      <c r="Y41" s="30"/>
      <c r="Z41" s="28"/>
      <c r="AA41" s="19"/>
      <c r="AB41" s="19"/>
      <c r="AC41" s="19"/>
      <c r="AD41" s="19"/>
      <c r="AE41" s="19"/>
      <c r="AF41" s="19"/>
      <c r="AG41" s="19"/>
      <c r="AH41" s="19"/>
    </row>
    <row r="42" spans="2:34" ht="17" thickBot="1" x14ac:dyDescent="0.25">
      <c r="B42" s="193"/>
      <c r="C42" s="10"/>
      <c r="D42" s="10"/>
      <c r="E42" s="200"/>
      <c r="F42" s="201"/>
      <c r="G42" s="19"/>
      <c r="H42" s="29"/>
      <c r="I42" s="216" t="s">
        <v>0</v>
      </c>
      <c r="J42" s="217" t="s">
        <v>0</v>
      </c>
      <c r="K42" s="28"/>
      <c r="L42" s="28"/>
      <c r="M42" s="223" t="s">
        <v>0</v>
      </c>
      <c r="N42" s="224" t="s">
        <v>0</v>
      </c>
      <c r="O42" s="28"/>
      <c r="P42" s="28"/>
      <c r="Q42" s="28"/>
      <c r="R42" s="28"/>
      <c r="S42" s="28"/>
      <c r="T42" s="28"/>
      <c r="U42" s="28"/>
      <c r="V42" s="28"/>
      <c r="W42" s="28"/>
      <c r="X42" s="28"/>
      <c r="Y42" s="30"/>
      <c r="Z42" s="28"/>
      <c r="AA42" s="19"/>
      <c r="AB42" s="19"/>
      <c r="AC42" s="19"/>
      <c r="AD42" s="19"/>
      <c r="AE42" s="19"/>
      <c r="AF42" s="19"/>
      <c r="AG42" s="19"/>
      <c r="AH42" s="19"/>
    </row>
    <row r="43" spans="2:34" ht="21" x14ac:dyDescent="0.35">
      <c r="B43" s="193"/>
      <c r="C43" s="316" t="s">
        <v>65</v>
      </c>
      <c r="D43" s="317"/>
      <c r="E43" s="186">
        <f>(E35/E39)</f>
        <v>0.8623693379790941</v>
      </c>
      <c r="F43" s="202"/>
      <c r="G43" s="19"/>
      <c r="H43" s="29"/>
      <c r="I43" s="216" t="s">
        <v>0</v>
      </c>
      <c r="J43" s="218" t="s">
        <v>0</v>
      </c>
      <c r="K43" s="28"/>
      <c r="L43" s="28"/>
      <c r="M43" s="234" t="s">
        <v>0</v>
      </c>
      <c r="N43" s="224" t="s">
        <v>0</v>
      </c>
      <c r="O43" s="28"/>
      <c r="P43" s="28"/>
      <c r="Q43" s="31">
        <f>O114</f>
        <v>0</v>
      </c>
      <c r="R43" s="32">
        <f>SUM(R36:R41)</f>
        <v>0</v>
      </c>
      <c r="S43" s="28"/>
      <c r="T43" s="28"/>
      <c r="U43" s="32">
        <f>SUM(U36:U41)</f>
        <v>0</v>
      </c>
      <c r="V43" s="31">
        <f>Q115</f>
        <v>0</v>
      </c>
      <c r="W43" s="28"/>
      <c r="X43" s="28"/>
      <c r="Y43" s="30"/>
      <c r="Z43" s="28"/>
      <c r="AA43" s="19"/>
      <c r="AB43" s="19"/>
      <c r="AC43" s="19"/>
      <c r="AD43" s="19"/>
      <c r="AE43" s="19"/>
      <c r="AF43" s="19"/>
      <c r="AG43" s="19"/>
      <c r="AH43" s="19"/>
    </row>
    <row r="44" spans="2:34" ht="18" x14ac:dyDescent="0.2">
      <c r="B44" s="193"/>
      <c r="C44" s="318" t="s">
        <v>116</v>
      </c>
      <c r="D44" s="319"/>
      <c r="E44" s="187">
        <f>(E36/E40)</f>
        <v>1.0289792387543253</v>
      </c>
      <c r="F44" s="202"/>
      <c r="G44" s="19"/>
      <c r="H44" s="29"/>
      <c r="I44" s="219" t="s">
        <v>0</v>
      </c>
      <c r="J44" s="217" t="s">
        <v>0</v>
      </c>
      <c r="K44" s="28"/>
      <c r="L44" s="28"/>
      <c r="M44" s="234" t="s">
        <v>0</v>
      </c>
      <c r="N44" s="224" t="s">
        <v>0</v>
      </c>
      <c r="O44" s="28"/>
      <c r="P44" s="28"/>
      <c r="Q44" s="33">
        <f>Q43-R43</f>
        <v>0</v>
      </c>
      <c r="R44" s="28"/>
      <c r="S44" s="28"/>
      <c r="T44" s="28"/>
      <c r="U44" s="28"/>
      <c r="V44" s="33">
        <f>V43-U43</f>
        <v>0</v>
      </c>
      <c r="W44" s="28"/>
      <c r="X44" s="28"/>
      <c r="Y44" s="30"/>
      <c r="Z44" s="28"/>
      <c r="AA44" s="19"/>
      <c r="AB44" s="19"/>
      <c r="AC44" s="19"/>
      <c r="AD44" s="19"/>
      <c r="AE44" s="19"/>
      <c r="AF44" s="19"/>
      <c r="AG44" s="19"/>
      <c r="AH44" s="19"/>
    </row>
    <row r="45" spans="2:34" ht="19" thickBot="1" x14ac:dyDescent="0.25">
      <c r="B45" s="193"/>
      <c r="C45" s="320" t="s">
        <v>117</v>
      </c>
      <c r="D45" s="321"/>
      <c r="E45" s="188">
        <f>(E37/E41)</f>
        <v>0.9073426573426574</v>
      </c>
      <c r="F45" s="202"/>
      <c r="G45" s="19"/>
      <c r="H45" s="29"/>
      <c r="I45" s="216" t="s">
        <v>0</v>
      </c>
      <c r="J45" s="217" t="s">
        <v>0</v>
      </c>
      <c r="K45" s="28"/>
      <c r="L45" s="28"/>
      <c r="M45" s="223" t="s">
        <v>0</v>
      </c>
      <c r="N45" s="224" t="s">
        <v>0</v>
      </c>
      <c r="O45" s="28"/>
      <c r="P45" s="28"/>
      <c r="Q45" s="28"/>
      <c r="R45" s="46" t="s">
        <v>0</v>
      </c>
      <c r="S45" s="28"/>
      <c r="T45" s="28"/>
      <c r="U45" s="28"/>
      <c r="V45" s="28"/>
      <c r="W45" s="28"/>
      <c r="X45" s="28"/>
      <c r="Y45" s="30"/>
      <c r="Z45" s="28"/>
      <c r="AA45" s="19"/>
      <c r="AB45" s="19"/>
      <c r="AC45" s="19"/>
      <c r="AD45" s="19"/>
      <c r="AE45" s="19"/>
      <c r="AF45" s="19"/>
      <c r="AG45" s="19"/>
      <c r="AH45" s="19"/>
    </row>
    <row r="46" spans="2:34" ht="17" thickBot="1" x14ac:dyDescent="0.25">
      <c r="B46" s="193"/>
      <c r="C46" s="10"/>
      <c r="D46" s="10"/>
      <c r="E46" s="200"/>
      <c r="F46" s="201"/>
      <c r="G46" s="19"/>
      <c r="H46" s="29"/>
      <c r="I46" s="216" t="s">
        <v>0</v>
      </c>
      <c r="J46" s="217" t="s">
        <v>0</v>
      </c>
      <c r="K46" s="28"/>
      <c r="L46" s="28"/>
      <c r="M46" s="223" t="s">
        <v>0</v>
      </c>
      <c r="N46" s="224" t="s">
        <v>0</v>
      </c>
      <c r="O46" s="28"/>
      <c r="P46" s="28"/>
      <c r="Q46" s="28"/>
      <c r="R46" s="28"/>
      <c r="S46" s="28"/>
      <c r="T46" s="28"/>
      <c r="U46" s="28"/>
      <c r="V46" s="28"/>
      <c r="W46" s="28"/>
      <c r="X46" s="28"/>
      <c r="Y46" s="30"/>
      <c r="Z46" s="28"/>
      <c r="AA46" s="19"/>
      <c r="AB46" s="19"/>
      <c r="AC46" s="19"/>
      <c r="AD46" s="19"/>
      <c r="AE46" s="19"/>
      <c r="AF46" s="19"/>
      <c r="AG46" s="19"/>
      <c r="AH46" s="19"/>
    </row>
    <row r="47" spans="2:34" ht="18" x14ac:dyDescent="0.2">
      <c r="B47" s="193"/>
      <c r="C47" s="316" t="s">
        <v>56</v>
      </c>
      <c r="D47" s="317"/>
      <c r="E47" s="180">
        <f>E48+E49</f>
        <v>24</v>
      </c>
      <c r="F47" s="203"/>
      <c r="G47" s="19"/>
      <c r="H47" s="29"/>
      <c r="I47" s="216" t="s">
        <v>0</v>
      </c>
      <c r="J47" s="218" t="s">
        <v>0</v>
      </c>
      <c r="K47" s="28"/>
      <c r="L47" s="28"/>
      <c r="M47" s="223" t="s">
        <v>0</v>
      </c>
      <c r="N47" s="224" t="s">
        <v>0</v>
      </c>
      <c r="O47" s="28"/>
      <c r="P47" s="28"/>
      <c r="Q47" s="28"/>
      <c r="R47" s="28"/>
      <c r="S47" s="28"/>
      <c r="T47" s="28"/>
      <c r="U47" s="28"/>
      <c r="V47" s="28"/>
      <c r="W47" s="28"/>
      <c r="X47" s="28"/>
      <c r="Y47" s="30"/>
      <c r="Z47" s="28"/>
      <c r="AA47" s="19"/>
      <c r="AB47" s="19"/>
      <c r="AC47" s="19"/>
      <c r="AD47" s="19"/>
      <c r="AE47" s="19"/>
      <c r="AF47" s="19"/>
      <c r="AG47" s="19"/>
      <c r="AH47" s="19"/>
    </row>
    <row r="48" spans="2:34" ht="18" x14ac:dyDescent="0.2">
      <c r="B48" s="193"/>
      <c r="C48" s="318" t="s">
        <v>119</v>
      </c>
      <c r="D48" s="319"/>
      <c r="E48" s="181">
        <v>16</v>
      </c>
      <c r="F48" s="203"/>
      <c r="G48" s="19"/>
      <c r="H48" s="29"/>
      <c r="I48" s="219" t="s">
        <v>0</v>
      </c>
      <c r="J48" s="218" t="s">
        <v>0</v>
      </c>
      <c r="K48" s="28"/>
      <c r="L48" s="28"/>
      <c r="M48" s="223" t="s">
        <v>0</v>
      </c>
      <c r="N48" s="224" t="s">
        <v>0</v>
      </c>
      <c r="O48" s="28"/>
      <c r="P48" s="28"/>
      <c r="Q48" s="28"/>
      <c r="R48" s="28"/>
      <c r="S48" s="28"/>
      <c r="T48" s="28"/>
      <c r="U48" s="28"/>
      <c r="V48" s="28"/>
      <c r="W48" s="28"/>
      <c r="X48" s="28"/>
      <c r="Y48" s="30"/>
      <c r="Z48" s="28"/>
      <c r="AA48" s="19"/>
      <c r="AB48" s="19"/>
      <c r="AC48" s="19"/>
      <c r="AD48" s="19"/>
      <c r="AE48" s="19"/>
      <c r="AF48" s="19"/>
      <c r="AG48" s="19"/>
      <c r="AH48" s="19"/>
    </row>
    <row r="49" spans="2:34" ht="19" thickBot="1" x14ac:dyDescent="0.25">
      <c r="B49" s="193"/>
      <c r="C49" s="320" t="s">
        <v>118</v>
      </c>
      <c r="D49" s="321"/>
      <c r="E49" s="182">
        <v>8</v>
      </c>
      <c r="F49" s="196"/>
      <c r="G49" s="19"/>
      <c r="H49" s="29"/>
      <c r="I49" s="216" t="s">
        <v>0</v>
      </c>
      <c r="J49" s="218" t="s">
        <v>0</v>
      </c>
      <c r="K49" s="28"/>
      <c r="L49" s="28"/>
      <c r="M49" s="223" t="s">
        <v>0</v>
      </c>
      <c r="N49" s="224" t="s">
        <v>0</v>
      </c>
      <c r="O49" s="28"/>
      <c r="P49" s="28"/>
      <c r="Q49" s="28"/>
      <c r="R49" s="28"/>
      <c r="S49" s="28"/>
      <c r="T49" s="28"/>
      <c r="U49" s="28"/>
      <c r="V49" s="28"/>
      <c r="W49" s="28"/>
      <c r="X49" s="28"/>
      <c r="Y49" s="30"/>
      <c r="Z49" s="28"/>
      <c r="AA49" s="19"/>
      <c r="AB49" s="19"/>
      <c r="AC49" s="19"/>
      <c r="AD49" s="19"/>
      <c r="AE49" s="19"/>
      <c r="AF49" s="19"/>
      <c r="AG49" s="19"/>
      <c r="AH49" s="19"/>
    </row>
    <row r="50" spans="2:34" ht="17" thickBot="1" x14ac:dyDescent="0.25">
      <c r="B50" s="193"/>
      <c r="C50" s="10"/>
      <c r="D50" s="10"/>
      <c r="E50" s="200"/>
      <c r="F50" s="201"/>
      <c r="G50" s="19"/>
      <c r="H50" s="29"/>
      <c r="I50" s="216" t="s">
        <v>0</v>
      </c>
      <c r="J50" s="218" t="s">
        <v>0</v>
      </c>
      <c r="K50" s="28"/>
      <c r="L50" s="28"/>
      <c r="M50" s="223"/>
      <c r="N50" s="224" t="s">
        <v>0</v>
      </c>
      <c r="O50" s="28"/>
      <c r="P50" s="28"/>
      <c r="Q50" s="28"/>
      <c r="R50" s="28"/>
      <c r="S50" s="28"/>
      <c r="T50" s="28"/>
      <c r="U50" s="28"/>
      <c r="V50" s="28"/>
      <c r="W50" s="28"/>
      <c r="X50" s="28"/>
      <c r="Y50" s="30"/>
      <c r="Z50" s="28"/>
      <c r="AA50" s="19"/>
      <c r="AB50" s="19"/>
      <c r="AC50" s="19"/>
      <c r="AD50" s="19"/>
      <c r="AE50" s="19"/>
      <c r="AF50" s="19"/>
      <c r="AG50" s="19"/>
      <c r="AH50" s="19"/>
    </row>
    <row r="51" spans="2:34" ht="18" x14ac:dyDescent="0.2">
      <c r="B51" s="193"/>
      <c r="C51" s="316" t="s">
        <v>58</v>
      </c>
      <c r="D51" s="317"/>
      <c r="E51" s="183">
        <f>+E47/E25</f>
        <v>4</v>
      </c>
      <c r="F51" s="196"/>
      <c r="G51" s="19"/>
      <c r="H51" s="29"/>
      <c r="I51" s="216" t="s">
        <v>0</v>
      </c>
      <c r="J51" s="218" t="s">
        <v>0</v>
      </c>
      <c r="K51" s="28"/>
      <c r="L51" s="28"/>
      <c r="M51" s="223" t="s">
        <v>0</v>
      </c>
      <c r="N51" s="224" t="s">
        <v>0</v>
      </c>
      <c r="O51" s="89" t="s">
        <v>0</v>
      </c>
      <c r="P51" s="28"/>
      <c r="Q51" s="28"/>
      <c r="R51" s="28"/>
      <c r="S51" s="28"/>
      <c r="T51" s="28"/>
      <c r="U51" s="28"/>
      <c r="V51" s="28"/>
      <c r="W51" s="28"/>
      <c r="X51" s="28"/>
      <c r="Y51" s="30"/>
      <c r="Z51" s="28"/>
      <c r="AA51" s="19"/>
      <c r="AB51" s="19"/>
      <c r="AC51" s="19"/>
      <c r="AD51" s="19"/>
      <c r="AE51" s="19"/>
      <c r="AF51" s="19"/>
      <c r="AG51" s="19"/>
      <c r="AH51" s="19"/>
    </row>
    <row r="52" spans="2:34" ht="18" x14ac:dyDescent="0.2">
      <c r="B52" s="193"/>
      <c r="C52" s="318" t="s">
        <v>66</v>
      </c>
      <c r="D52" s="319"/>
      <c r="E52" s="184">
        <f>E48/E25</f>
        <v>2.6666666666666665</v>
      </c>
      <c r="F52" s="204"/>
      <c r="G52" s="19"/>
      <c r="H52" s="29"/>
      <c r="I52" s="219" t="s">
        <v>0</v>
      </c>
      <c r="J52" s="218" t="s">
        <v>0</v>
      </c>
      <c r="K52" s="28"/>
      <c r="L52" s="28"/>
      <c r="M52" s="213"/>
      <c r="N52" s="213"/>
      <c r="O52" s="28"/>
      <c r="P52" s="28"/>
      <c r="Q52" s="28"/>
      <c r="R52" s="28"/>
      <c r="S52" s="28"/>
      <c r="T52" s="28"/>
      <c r="U52" s="28"/>
      <c r="V52" s="28"/>
      <c r="W52" s="28"/>
      <c r="X52" s="28"/>
      <c r="Y52" s="30"/>
      <c r="Z52" s="28"/>
      <c r="AA52" s="19"/>
      <c r="AB52" s="19"/>
      <c r="AC52" s="19"/>
      <c r="AD52" s="19"/>
      <c r="AE52" s="19"/>
      <c r="AF52" s="19"/>
      <c r="AG52" s="19"/>
      <c r="AH52" s="19"/>
    </row>
    <row r="53" spans="2:34" ht="22" thickBot="1" x14ac:dyDescent="0.4">
      <c r="B53" s="193"/>
      <c r="C53" s="320" t="s">
        <v>67</v>
      </c>
      <c r="D53" s="321"/>
      <c r="E53" s="185">
        <f>E49/E25</f>
        <v>1.3333333333333333</v>
      </c>
      <c r="F53" s="204"/>
      <c r="G53" s="19"/>
      <c r="H53" s="29"/>
      <c r="I53" s="216" t="s">
        <v>0</v>
      </c>
      <c r="J53" s="218" t="s">
        <v>0</v>
      </c>
      <c r="K53" s="28"/>
      <c r="L53" s="28"/>
      <c r="M53" s="225">
        <f>O110</f>
        <v>0</v>
      </c>
      <c r="N53" s="226">
        <f>SUM(N36:N51)</f>
        <v>0</v>
      </c>
      <c r="O53" s="28"/>
      <c r="P53" s="28"/>
      <c r="Q53" s="28"/>
      <c r="R53" s="28"/>
      <c r="S53" s="28"/>
      <c r="T53" s="28"/>
      <c r="U53" s="28"/>
      <c r="V53" s="28"/>
      <c r="W53" s="28"/>
      <c r="X53" s="28"/>
      <c r="Y53" s="30"/>
      <c r="Z53" s="28"/>
      <c r="AA53" s="19"/>
      <c r="AB53" s="19"/>
      <c r="AC53" s="19"/>
      <c r="AD53" s="19"/>
      <c r="AE53" s="19"/>
      <c r="AF53" s="19"/>
      <c r="AG53" s="19"/>
      <c r="AH53" s="19"/>
    </row>
    <row r="54" spans="2:34" ht="17" thickBot="1" x14ac:dyDescent="0.25">
      <c r="B54" s="205"/>
      <c r="C54" s="206"/>
      <c r="D54" s="206"/>
      <c r="E54" s="206"/>
      <c r="F54" s="207"/>
      <c r="G54" s="19"/>
      <c r="H54" s="29"/>
      <c r="I54" s="216" t="s">
        <v>0</v>
      </c>
      <c r="J54" s="218" t="s">
        <v>0</v>
      </c>
      <c r="K54" s="28"/>
      <c r="L54" s="28"/>
      <c r="M54" s="227">
        <f>M53-N53</f>
        <v>0</v>
      </c>
      <c r="N54" s="213"/>
      <c r="O54" s="28"/>
      <c r="P54" s="28"/>
      <c r="Q54" s="28"/>
      <c r="R54" s="28"/>
      <c r="S54" s="28"/>
      <c r="T54" s="28"/>
      <c r="U54" s="28"/>
      <c r="V54" s="28"/>
      <c r="W54" s="28"/>
      <c r="X54" s="28"/>
      <c r="Y54" s="30"/>
      <c r="Z54" s="28"/>
      <c r="AA54" s="19"/>
      <c r="AB54" s="19"/>
      <c r="AC54" s="19"/>
      <c r="AD54" s="19"/>
      <c r="AE54" s="19"/>
      <c r="AF54" s="19"/>
      <c r="AG54" s="19"/>
      <c r="AH54" s="19"/>
    </row>
    <row r="55" spans="2:34" ht="17" thickTop="1" x14ac:dyDescent="0.2">
      <c r="G55" s="19"/>
      <c r="H55" s="29"/>
      <c r="I55" s="216" t="s">
        <v>0</v>
      </c>
      <c r="J55" s="218" t="s">
        <v>0</v>
      </c>
      <c r="K55" s="28"/>
      <c r="L55" s="28"/>
      <c r="M55" s="213"/>
      <c r="N55" s="213"/>
      <c r="O55" s="28"/>
      <c r="P55" s="28"/>
      <c r="Q55" s="28"/>
      <c r="R55" s="28"/>
      <c r="S55" s="28"/>
      <c r="T55" s="28"/>
      <c r="U55" s="28"/>
      <c r="V55" s="28"/>
      <c r="W55" s="28"/>
      <c r="X55" s="28"/>
      <c r="Y55" s="30"/>
      <c r="Z55" s="28"/>
      <c r="AA55" s="19"/>
      <c r="AB55" s="19"/>
      <c r="AC55" s="19"/>
      <c r="AD55" s="19"/>
      <c r="AE55" s="19"/>
      <c r="AF55" s="19"/>
      <c r="AG55" s="19"/>
      <c r="AH55" s="19"/>
    </row>
    <row r="56" spans="2:34" ht="18" x14ac:dyDescent="0.2">
      <c r="C56" s="325"/>
      <c r="D56" s="236"/>
      <c r="E56" s="209"/>
      <c r="G56" s="19"/>
      <c r="H56" s="29"/>
      <c r="I56" s="219" t="s">
        <v>0</v>
      </c>
      <c r="J56" s="218" t="s">
        <v>0</v>
      </c>
      <c r="K56" s="28"/>
      <c r="L56" s="28"/>
      <c r="M56" s="213"/>
      <c r="N56" s="213"/>
      <c r="O56" s="28"/>
      <c r="P56" s="28"/>
      <c r="Q56" s="28"/>
      <c r="R56" s="28"/>
      <c r="S56" s="28"/>
      <c r="T56" s="28"/>
      <c r="U56" s="28"/>
      <c r="V56" s="28"/>
      <c r="W56" s="28"/>
      <c r="X56" s="28"/>
      <c r="Y56" s="30"/>
      <c r="Z56" s="28"/>
      <c r="AA56" s="19"/>
      <c r="AB56" s="19"/>
      <c r="AC56" s="19"/>
      <c r="AD56" s="19"/>
      <c r="AE56" s="19"/>
      <c r="AF56" s="19"/>
      <c r="AG56" s="19"/>
      <c r="AH56" s="19"/>
    </row>
    <row r="57" spans="2:34" ht="19" thickBot="1" x14ac:dyDescent="0.25">
      <c r="C57" s="325"/>
      <c r="D57" s="236"/>
      <c r="E57" s="209"/>
      <c r="G57" s="19"/>
      <c r="H57" s="29"/>
      <c r="I57" s="216" t="s">
        <v>0</v>
      </c>
      <c r="J57" s="218" t="s">
        <v>0</v>
      </c>
      <c r="K57" s="28"/>
      <c r="L57" s="28"/>
      <c r="M57" s="237" t="s">
        <v>53</v>
      </c>
      <c r="N57" s="237"/>
      <c r="O57" s="28"/>
      <c r="P57" s="28"/>
      <c r="Q57" s="28"/>
      <c r="R57" s="28"/>
      <c r="S57" s="28"/>
      <c r="T57" s="28"/>
      <c r="U57" s="28"/>
      <c r="V57" s="28"/>
      <c r="W57" s="28"/>
      <c r="X57" s="28"/>
      <c r="Y57" s="30"/>
      <c r="Z57" s="28"/>
      <c r="AA57" s="19"/>
      <c r="AB57" s="19"/>
      <c r="AC57" s="19"/>
      <c r="AD57" s="19"/>
      <c r="AE57" s="19"/>
      <c r="AF57" s="19"/>
      <c r="AG57" s="19"/>
      <c r="AH57" s="19"/>
    </row>
    <row r="58" spans="2:34" ht="18" x14ac:dyDescent="0.2">
      <c r="C58" s="325"/>
      <c r="D58" s="236"/>
      <c r="E58" s="208"/>
      <c r="G58" s="19"/>
      <c r="H58" s="29"/>
      <c r="I58" s="216" t="s">
        <v>0</v>
      </c>
      <c r="J58" s="218" t="s">
        <v>0</v>
      </c>
      <c r="K58" s="28"/>
      <c r="L58" s="28"/>
      <c r="M58" s="221" t="s">
        <v>0</v>
      </c>
      <c r="N58" s="222" t="s">
        <v>0</v>
      </c>
      <c r="O58" s="28"/>
      <c r="P58" s="28"/>
      <c r="Q58" s="28"/>
      <c r="R58" s="28"/>
      <c r="S58" s="28"/>
      <c r="T58" s="28"/>
      <c r="U58" s="28"/>
      <c r="V58" s="28"/>
      <c r="W58" s="28"/>
      <c r="X58" s="28"/>
      <c r="Y58" s="30"/>
      <c r="Z58" s="28"/>
      <c r="AA58" s="19"/>
      <c r="AB58" s="19"/>
      <c r="AC58" s="19"/>
      <c r="AD58" s="19"/>
      <c r="AE58" s="19"/>
      <c r="AF58" s="19"/>
      <c r="AG58" s="19"/>
      <c r="AH58" s="19"/>
    </row>
    <row r="59" spans="2:34" ht="18" x14ac:dyDescent="0.2">
      <c r="C59" s="208"/>
      <c r="D59" s="208"/>
      <c r="E59" s="208"/>
      <c r="G59" s="19"/>
      <c r="H59" s="29"/>
      <c r="I59" s="216" t="s">
        <v>0</v>
      </c>
      <c r="J59" s="218" t="s">
        <v>0</v>
      </c>
      <c r="K59" s="28"/>
      <c r="L59" s="28"/>
      <c r="M59" s="223" t="s">
        <v>0</v>
      </c>
      <c r="N59" s="224" t="s">
        <v>0</v>
      </c>
      <c r="O59" s="28"/>
      <c r="P59" s="28"/>
      <c r="Q59" s="28"/>
      <c r="R59" s="28"/>
      <c r="S59" s="28"/>
      <c r="T59" s="28"/>
      <c r="U59" s="28"/>
      <c r="V59" s="28"/>
      <c r="W59" s="28"/>
      <c r="X59" s="28"/>
      <c r="Y59" s="30"/>
      <c r="Z59" s="28"/>
      <c r="AA59" s="19"/>
      <c r="AB59" s="19"/>
      <c r="AC59" s="19"/>
      <c r="AD59" s="19"/>
      <c r="AE59" s="19"/>
      <c r="AF59" s="19"/>
      <c r="AG59" s="19"/>
      <c r="AH59" s="19"/>
    </row>
    <row r="60" spans="2:34" ht="16" x14ac:dyDescent="0.2">
      <c r="G60" s="19"/>
      <c r="H60" s="29"/>
      <c r="I60" s="220"/>
      <c r="J60" s="220"/>
      <c r="K60" s="28"/>
      <c r="L60" s="28"/>
      <c r="M60" s="223" t="s">
        <v>0</v>
      </c>
      <c r="N60" s="224" t="s">
        <v>0</v>
      </c>
      <c r="O60" s="28"/>
      <c r="P60" s="28"/>
      <c r="Q60" s="28"/>
      <c r="R60" s="28"/>
      <c r="S60" s="28"/>
      <c r="T60" s="28"/>
      <c r="U60" s="28"/>
      <c r="V60" s="28"/>
      <c r="W60" s="28"/>
      <c r="X60" s="28"/>
      <c r="Y60" s="30"/>
      <c r="Z60" s="28"/>
      <c r="AA60" s="19"/>
      <c r="AB60" s="19"/>
      <c r="AC60" s="19"/>
      <c r="AD60" s="19"/>
      <c r="AE60" s="19"/>
      <c r="AF60" s="19"/>
      <c r="AG60" s="19"/>
      <c r="AH60" s="19"/>
    </row>
    <row r="61" spans="2:34" ht="16" x14ac:dyDescent="0.2">
      <c r="G61" s="19"/>
      <c r="H61" s="29"/>
      <c r="I61" s="211">
        <f>SUM(I36:I59)</f>
        <v>0</v>
      </c>
      <c r="J61" s="211">
        <f>SUM(J36:J59)</f>
        <v>0</v>
      </c>
      <c r="K61" s="28"/>
      <c r="L61" s="28"/>
      <c r="M61" s="223" t="s">
        <v>0</v>
      </c>
      <c r="N61" s="224" t="s">
        <v>0</v>
      </c>
      <c r="O61" s="28"/>
      <c r="P61" s="28"/>
      <c r="Q61" s="28"/>
      <c r="R61" s="28"/>
      <c r="S61" s="28"/>
      <c r="T61" s="28"/>
      <c r="U61" s="28"/>
      <c r="V61" s="28"/>
      <c r="W61" s="28"/>
      <c r="X61" s="28"/>
      <c r="Y61" s="30"/>
      <c r="Z61" s="28"/>
      <c r="AA61" s="19"/>
      <c r="AB61" s="19"/>
      <c r="AC61" s="19"/>
      <c r="AD61" s="19"/>
      <c r="AE61" s="19"/>
      <c r="AF61" s="19"/>
      <c r="AG61" s="19"/>
      <c r="AH61" s="19"/>
    </row>
    <row r="62" spans="2:34" ht="16" x14ac:dyDescent="0.2">
      <c r="G62" s="19"/>
      <c r="H62" s="29"/>
      <c r="I62" s="211">
        <f>I61-J61</f>
        <v>0</v>
      </c>
      <c r="J62" s="211"/>
      <c r="K62" s="28"/>
      <c r="L62" s="28"/>
      <c r="M62" s="223" t="s">
        <v>0</v>
      </c>
      <c r="N62" s="224" t="s">
        <v>0</v>
      </c>
      <c r="O62" s="28"/>
      <c r="P62" s="28"/>
      <c r="Q62" s="28"/>
      <c r="R62" s="28"/>
      <c r="S62" s="28"/>
      <c r="T62" s="28"/>
      <c r="U62" s="28"/>
      <c r="V62" s="28"/>
      <c r="W62" s="28"/>
      <c r="X62" s="28"/>
      <c r="Y62" s="30"/>
      <c r="Z62" s="28"/>
      <c r="AA62" s="19"/>
      <c r="AB62" s="19"/>
      <c r="AC62" s="19"/>
      <c r="AD62" s="19"/>
      <c r="AE62" s="19"/>
      <c r="AF62" s="19"/>
      <c r="AG62" s="19"/>
      <c r="AH62" s="19"/>
    </row>
    <row r="63" spans="2:34" ht="16" x14ac:dyDescent="0.2">
      <c r="G63" s="19"/>
      <c r="H63" s="29"/>
      <c r="I63" s="211"/>
      <c r="J63" s="211"/>
      <c r="K63" s="28"/>
      <c r="L63" s="28"/>
      <c r="M63" s="223" t="s">
        <v>0</v>
      </c>
      <c r="N63" s="224" t="s">
        <v>0</v>
      </c>
      <c r="O63" s="28"/>
      <c r="P63" s="28"/>
      <c r="Q63" s="28"/>
      <c r="R63" s="28"/>
      <c r="S63" s="28"/>
      <c r="T63" s="28"/>
      <c r="U63" s="28"/>
      <c r="V63" s="28"/>
      <c r="W63" s="28"/>
      <c r="X63" s="28"/>
      <c r="Y63" s="30"/>
      <c r="Z63" s="28"/>
      <c r="AA63" s="19"/>
      <c r="AB63" s="19"/>
      <c r="AC63" s="19"/>
      <c r="AD63" s="19"/>
      <c r="AE63" s="19"/>
      <c r="AF63" s="19"/>
      <c r="AG63" s="19"/>
      <c r="AH63" s="19"/>
    </row>
    <row r="64" spans="2:34" ht="16" x14ac:dyDescent="0.2">
      <c r="G64" s="19"/>
      <c r="H64" s="29"/>
      <c r="I64" s="211"/>
      <c r="J64" s="211"/>
      <c r="K64" s="28"/>
      <c r="L64" s="28"/>
      <c r="M64" s="223" t="s">
        <v>0</v>
      </c>
      <c r="N64" s="224" t="s">
        <v>0</v>
      </c>
      <c r="O64" s="28"/>
      <c r="P64" s="28"/>
      <c r="Q64" s="28"/>
      <c r="R64" s="28"/>
      <c r="S64" s="28"/>
      <c r="T64" s="28"/>
      <c r="U64" s="28"/>
      <c r="V64" s="28"/>
      <c r="W64" s="28"/>
      <c r="X64" s="28"/>
      <c r="Y64" s="30"/>
      <c r="Z64" s="28"/>
      <c r="AA64" s="19"/>
      <c r="AB64" s="19"/>
      <c r="AC64" s="19"/>
      <c r="AD64" s="19"/>
      <c r="AE64" s="19"/>
      <c r="AF64" s="19"/>
      <c r="AG64" s="19"/>
      <c r="AH64" s="19"/>
    </row>
    <row r="65" spans="7:34" ht="16" x14ac:dyDescent="0.2">
      <c r="G65" s="19"/>
      <c r="H65" s="29"/>
      <c r="I65" s="211"/>
      <c r="J65" s="211"/>
      <c r="K65" s="28"/>
      <c r="L65" s="28"/>
      <c r="M65" s="223" t="s">
        <v>0</v>
      </c>
      <c r="N65" s="224" t="s">
        <v>0</v>
      </c>
      <c r="O65" s="89" t="s">
        <v>0</v>
      </c>
      <c r="P65" s="28"/>
      <c r="Q65" s="89" t="s">
        <v>0</v>
      </c>
      <c r="R65" s="46" t="s">
        <v>0</v>
      </c>
      <c r="S65" s="28"/>
      <c r="T65" s="28"/>
      <c r="U65" s="28"/>
      <c r="V65" s="28"/>
      <c r="W65" s="28"/>
      <c r="X65" s="28"/>
      <c r="Y65" s="30"/>
      <c r="Z65" s="28"/>
      <c r="AA65" s="19"/>
      <c r="AB65" s="19"/>
      <c r="AC65" s="19"/>
      <c r="AD65" s="19"/>
      <c r="AE65" s="19"/>
      <c r="AF65" s="19"/>
      <c r="AG65" s="19"/>
      <c r="AH65" s="19"/>
    </row>
    <row r="66" spans="7:34" ht="16" x14ac:dyDescent="0.2">
      <c r="G66" s="19"/>
      <c r="H66" s="29"/>
      <c r="I66" s="212"/>
      <c r="J66" s="212"/>
      <c r="K66" s="28"/>
      <c r="L66" s="28"/>
      <c r="M66" s="213"/>
      <c r="N66" s="213"/>
      <c r="O66" s="89" t="s">
        <v>0</v>
      </c>
      <c r="P66" s="28"/>
      <c r="Q66" s="28"/>
      <c r="R66" s="28"/>
      <c r="S66" s="28"/>
      <c r="T66" s="28"/>
      <c r="U66" s="28"/>
      <c r="V66" s="28"/>
      <c r="W66" s="28"/>
      <c r="X66" s="28"/>
      <c r="Y66" s="30"/>
      <c r="Z66" s="28"/>
      <c r="AA66" s="19"/>
      <c r="AB66" s="19"/>
      <c r="AC66" s="19"/>
      <c r="AD66" s="19"/>
      <c r="AE66" s="19"/>
      <c r="AF66" s="19"/>
      <c r="AG66" s="19"/>
      <c r="AH66" s="19"/>
    </row>
    <row r="67" spans="7:34" ht="19" x14ac:dyDescent="0.35">
      <c r="G67" s="19"/>
      <c r="H67" s="29"/>
      <c r="I67" s="212"/>
      <c r="J67" s="212"/>
      <c r="K67" s="28"/>
      <c r="L67" s="28"/>
      <c r="M67" s="31">
        <f>O111</f>
        <v>0</v>
      </c>
      <c r="N67" s="32">
        <f>SUM(N58:N65)</f>
        <v>0</v>
      </c>
      <c r="O67" s="28"/>
      <c r="P67" s="28"/>
      <c r="Q67" s="28"/>
      <c r="R67" s="28"/>
      <c r="S67" s="28"/>
      <c r="T67" s="28"/>
      <c r="U67" s="28"/>
      <c r="V67" s="28"/>
      <c r="W67" s="28"/>
      <c r="X67" s="28"/>
      <c r="Y67" s="30"/>
      <c r="Z67" s="28"/>
      <c r="AA67" s="19"/>
      <c r="AB67" s="19"/>
      <c r="AC67" s="19"/>
      <c r="AD67" s="19"/>
      <c r="AE67" s="19"/>
      <c r="AF67" s="19"/>
      <c r="AG67" s="19"/>
      <c r="AH67" s="19"/>
    </row>
    <row r="68" spans="7:34" ht="16" x14ac:dyDescent="0.2">
      <c r="G68" s="19"/>
      <c r="H68" s="29"/>
      <c r="I68" s="212"/>
      <c r="J68" s="212"/>
      <c r="K68" s="28"/>
      <c r="L68" s="28"/>
      <c r="M68" s="33">
        <f>M67-N67</f>
        <v>0</v>
      </c>
      <c r="N68" s="28"/>
      <c r="O68" s="28"/>
      <c r="P68" s="28"/>
      <c r="Q68" s="28"/>
      <c r="R68" s="28"/>
      <c r="S68" s="28"/>
      <c r="T68" s="28"/>
      <c r="U68" s="28"/>
      <c r="V68" s="28"/>
      <c r="W68" s="28"/>
      <c r="X68" s="28"/>
      <c r="Y68" s="30"/>
      <c r="Z68" s="28"/>
      <c r="AA68" s="19"/>
      <c r="AB68" s="19"/>
      <c r="AC68" s="19"/>
      <c r="AD68" s="19"/>
      <c r="AE68" s="19"/>
      <c r="AF68" s="19"/>
      <c r="AG68" s="19"/>
      <c r="AH68" s="19"/>
    </row>
    <row r="69" spans="7:34" ht="16" x14ac:dyDescent="0.2">
      <c r="G69" s="19"/>
      <c r="H69" s="29"/>
      <c r="I69" s="212"/>
      <c r="J69" s="212"/>
      <c r="K69" s="28"/>
      <c r="L69" s="28"/>
      <c r="M69" s="33"/>
      <c r="N69" s="28"/>
      <c r="O69" s="28"/>
      <c r="P69" s="28"/>
      <c r="Q69" s="28"/>
      <c r="R69" s="28"/>
      <c r="S69" s="28"/>
      <c r="T69" s="28"/>
      <c r="U69" s="28"/>
      <c r="V69" s="28"/>
      <c r="W69" s="28"/>
      <c r="X69" s="28"/>
      <c r="Y69" s="30"/>
      <c r="Z69" s="28"/>
      <c r="AA69" s="19"/>
      <c r="AB69" s="19"/>
      <c r="AC69" s="19"/>
      <c r="AD69" s="19"/>
      <c r="AE69" s="19"/>
      <c r="AF69" s="19"/>
      <c r="AG69" s="19"/>
      <c r="AH69" s="19"/>
    </row>
    <row r="70" spans="7:34" ht="16" x14ac:dyDescent="0.2">
      <c r="G70" s="19"/>
      <c r="H70" s="29"/>
      <c r="I70" s="213"/>
      <c r="J70" s="213"/>
      <c r="K70" s="28"/>
      <c r="L70" s="28"/>
      <c r="M70" s="28"/>
      <c r="N70" s="28"/>
      <c r="O70" s="28"/>
      <c r="P70" s="28"/>
      <c r="Q70" s="28"/>
      <c r="R70" s="28"/>
      <c r="S70" s="28"/>
      <c r="T70" s="28"/>
      <c r="U70" s="28"/>
      <c r="V70" s="28"/>
      <c r="W70" s="28"/>
      <c r="X70" s="28"/>
      <c r="Y70" s="30"/>
      <c r="Z70" s="28"/>
      <c r="AA70" s="19"/>
      <c r="AB70" s="19"/>
      <c r="AC70" s="19"/>
      <c r="AD70" s="19"/>
      <c r="AE70" s="19"/>
      <c r="AF70" s="19"/>
      <c r="AG70" s="19"/>
      <c r="AH70" s="19"/>
    </row>
    <row r="71" spans="7:34" ht="17" thickBot="1" x14ac:dyDescent="0.25">
      <c r="G71" s="19"/>
      <c r="H71" s="29"/>
      <c r="I71" s="297" t="s">
        <v>17</v>
      </c>
      <c r="J71" s="297"/>
      <c r="K71" s="28"/>
      <c r="L71" s="28"/>
      <c r="M71" s="297" t="s">
        <v>18</v>
      </c>
      <c r="N71" s="297"/>
      <c r="O71" s="28"/>
      <c r="P71" s="28"/>
      <c r="Q71" s="312" t="s">
        <v>34</v>
      </c>
      <c r="R71" s="297"/>
      <c r="S71" s="28"/>
      <c r="T71" s="28"/>
      <c r="U71" s="297" t="s">
        <v>21</v>
      </c>
      <c r="V71" s="297"/>
      <c r="W71" s="28"/>
      <c r="X71" s="28"/>
      <c r="Y71" s="30"/>
      <c r="Z71" s="28"/>
      <c r="AA71" s="19"/>
      <c r="AB71" s="19"/>
      <c r="AC71" s="19"/>
      <c r="AD71" s="19"/>
      <c r="AE71" s="19"/>
      <c r="AF71" s="19"/>
      <c r="AG71" s="19"/>
      <c r="AH71" s="19"/>
    </row>
    <row r="72" spans="7:34" ht="16" x14ac:dyDescent="0.2">
      <c r="G72" s="19"/>
      <c r="H72" s="29"/>
      <c r="I72" s="228" t="s">
        <v>0</v>
      </c>
      <c r="J72" s="229" t="s">
        <v>0</v>
      </c>
      <c r="K72" s="28"/>
      <c r="L72" s="28"/>
      <c r="M72" s="228" t="s">
        <v>0</v>
      </c>
      <c r="N72" s="229" t="s">
        <v>0</v>
      </c>
      <c r="O72" s="28"/>
      <c r="P72" s="28"/>
      <c r="Q72" s="232" t="str">
        <f>J51</f>
        <v xml:space="preserve"> </v>
      </c>
      <c r="R72" s="215" t="s">
        <v>0</v>
      </c>
      <c r="S72" s="28"/>
      <c r="T72" s="28"/>
      <c r="U72" s="232" t="s">
        <v>0</v>
      </c>
      <c r="V72" s="215" t="s">
        <v>0</v>
      </c>
      <c r="W72" s="28"/>
      <c r="X72" s="28"/>
      <c r="Y72" s="30"/>
      <c r="Z72" s="28"/>
      <c r="AA72" s="19"/>
      <c r="AB72" s="19"/>
      <c r="AC72" s="19"/>
      <c r="AD72" s="19"/>
      <c r="AE72" s="19"/>
      <c r="AF72" s="19"/>
      <c r="AG72" s="19"/>
      <c r="AH72" s="19"/>
    </row>
    <row r="73" spans="7:34" ht="16" x14ac:dyDescent="0.2">
      <c r="G73" s="19"/>
      <c r="H73" s="29"/>
      <c r="I73" s="230" t="s">
        <v>0</v>
      </c>
      <c r="J73" s="218" t="s">
        <v>0</v>
      </c>
      <c r="K73" s="28"/>
      <c r="L73" s="28"/>
      <c r="M73" s="230" t="s">
        <v>0</v>
      </c>
      <c r="N73" s="218" t="s">
        <v>0</v>
      </c>
      <c r="O73" s="28"/>
      <c r="P73" s="28"/>
      <c r="Q73" s="216" t="s">
        <v>0</v>
      </c>
      <c r="R73" s="217" t="s">
        <v>0</v>
      </c>
      <c r="S73" s="28"/>
      <c r="T73" s="28"/>
      <c r="U73" s="216" t="s">
        <v>0</v>
      </c>
      <c r="V73" s="217" t="s">
        <v>0</v>
      </c>
      <c r="W73" s="28"/>
      <c r="X73" s="28"/>
      <c r="Y73" s="30"/>
      <c r="Z73" s="28"/>
      <c r="AA73" s="19"/>
      <c r="AB73" s="19"/>
      <c r="AC73" s="19"/>
      <c r="AD73" s="19"/>
      <c r="AE73" s="19"/>
      <c r="AF73" s="19"/>
      <c r="AG73" s="19"/>
      <c r="AH73" s="19"/>
    </row>
    <row r="74" spans="7:34" ht="16" x14ac:dyDescent="0.2">
      <c r="G74" s="19"/>
      <c r="H74" s="29"/>
      <c r="I74" s="230" t="s">
        <v>0</v>
      </c>
      <c r="J74" s="218" t="s">
        <v>0</v>
      </c>
      <c r="K74" s="28"/>
      <c r="L74" s="28"/>
      <c r="M74" s="230" t="s">
        <v>0</v>
      </c>
      <c r="N74" s="218" t="s">
        <v>0</v>
      </c>
      <c r="O74" s="28"/>
      <c r="P74" s="28"/>
      <c r="Q74" s="216" t="s">
        <v>0</v>
      </c>
      <c r="R74" s="217" t="s">
        <v>0</v>
      </c>
      <c r="S74" s="28"/>
      <c r="T74" s="28"/>
      <c r="U74" s="216" t="s">
        <v>0</v>
      </c>
      <c r="V74" s="217" t="s">
        <v>0</v>
      </c>
      <c r="W74" s="28"/>
      <c r="X74" s="28"/>
      <c r="Y74" s="30"/>
      <c r="Z74" s="28"/>
      <c r="AA74" s="19"/>
      <c r="AB74" s="19"/>
      <c r="AC74" s="19"/>
      <c r="AD74" s="19"/>
      <c r="AE74" s="19"/>
      <c r="AF74" s="19"/>
      <c r="AG74" s="19"/>
      <c r="AH74" s="19"/>
    </row>
    <row r="75" spans="7:34" ht="16" x14ac:dyDescent="0.2">
      <c r="G75" s="19"/>
      <c r="H75" s="29"/>
      <c r="I75" s="230" t="s">
        <v>0</v>
      </c>
      <c r="J75" s="218" t="s">
        <v>0</v>
      </c>
      <c r="K75" s="28"/>
      <c r="L75" s="28"/>
      <c r="M75" s="230" t="s">
        <v>0</v>
      </c>
      <c r="N75" s="218" t="s">
        <v>0</v>
      </c>
      <c r="O75" s="28"/>
      <c r="P75" s="28"/>
      <c r="Q75" s="230" t="s">
        <v>0</v>
      </c>
      <c r="R75" s="217" t="s">
        <v>0</v>
      </c>
      <c r="S75" s="28"/>
      <c r="T75" s="28"/>
      <c r="U75" s="230" t="s">
        <v>0</v>
      </c>
      <c r="V75" s="217" t="s">
        <v>0</v>
      </c>
      <c r="W75" s="28"/>
      <c r="X75" s="28"/>
      <c r="Y75" s="30"/>
      <c r="Z75" s="28"/>
      <c r="AA75" s="19"/>
      <c r="AB75" s="19"/>
      <c r="AC75" s="19"/>
      <c r="AD75" s="19"/>
      <c r="AE75" s="19"/>
      <c r="AF75" s="19"/>
      <c r="AG75" s="19"/>
      <c r="AH75" s="19"/>
    </row>
    <row r="76" spans="7:34" ht="16" x14ac:dyDescent="0.2">
      <c r="G76" s="19"/>
      <c r="H76" s="29"/>
      <c r="I76" s="230" t="s">
        <v>0</v>
      </c>
      <c r="J76" s="218" t="s">
        <v>0</v>
      </c>
      <c r="K76" s="28"/>
      <c r="L76" s="28"/>
      <c r="M76" s="230" t="s">
        <v>0</v>
      </c>
      <c r="N76" s="218" t="s">
        <v>0</v>
      </c>
      <c r="O76" s="28"/>
      <c r="P76" s="28"/>
      <c r="Q76" s="230" t="s">
        <v>0</v>
      </c>
      <c r="R76" s="217" t="s">
        <v>0</v>
      </c>
      <c r="S76" s="28"/>
      <c r="T76" s="28"/>
      <c r="U76" s="230" t="s">
        <v>0</v>
      </c>
      <c r="V76" s="217" t="s">
        <v>0</v>
      </c>
      <c r="W76" s="28"/>
      <c r="X76" s="28"/>
      <c r="Y76" s="30"/>
      <c r="Z76" s="28"/>
      <c r="AA76" s="19"/>
      <c r="AB76" s="19"/>
      <c r="AC76" s="19"/>
      <c r="AD76" s="19"/>
      <c r="AE76" s="19"/>
      <c r="AF76" s="19"/>
      <c r="AG76" s="19"/>
      <c r="AH76" s="19"/>
    </row>
    <row r="77" spans="7:34" ht="16" x14ac:dyDescent="0.2">
      <c r="G77" s="19"/>
      <c r="H77" s="29"/>
      <c r="I77" s="230" t="s">
        <v>0</v>
      </c>
      <c r="J77" s="218" t="s">
        <v>0</v>
      </c>
      <c r="K77" s="28"/>
      <c r="L77" s="28"/>
      <c r="M77" s="230" t="s">
        <v>0</v>
      </c>
      <c r="N77" s="218" t="s">
        <v>0</v>
      </c>
      <c r="O77" s="28"/>
      <c r="P77" s="28"/>
      <c r="Q77" s="230" t="s">
        <v>0</v>
      </c>
      <c r="R77" s="217" t="s">
        <v>0</v>
      </c>
      <c r="S77" s="28"/>
      <c r="T77" s="28"/>
      <c r="U77" s="71" t="s">
        <v>0</v>
      </c>
      <c r="V77" s="70" t="s">
        <v>0</v>
      </c>
      <c r="W77" s="28"/>
      <c r="X77" s="28"/>
      <c r="Y77" s="30"/>
      <c r="Z77" s="28"/>
      <c r="AA77" s="19"/>
      <c r="AB77" s="19"/>
      <c r="AC77" s="19"/>
      <c r="AD77" s="19"/>
      <c r="AE77" s="19"/>
      <c r="AF77" s="19"/>
      <c r="AG77" s="19"/>
      <c r="AH77" s="19"/>
    </row>
    <row r="78" spans="7:34" ht="16" x14ac:dyDescent="0.2">
      <c r="G78" s="19"/>
      <c r="H78" s="29"/>
      <c r="I78" s="28"/>
      <c r="J78" s="28"/>
      <c r="K78" s="28"/>
      <c r="L78" s="28"/>
      <c r="M78" s="28"/>
      <c r="N78" s="28"/>
      <c r="O78" s="28"/>
      <c r="P78" s="28"/>
      <c r="Q78" s="28"/>
      <c r="R78" s="28"/>
      <c r="S78" s="28"/>
      <c r="T78" s="28"/>
      <c r="U78" s="28"/>
      <c r="V78" s="28"/>
      <c r="W78" s="28"/>
      <c r="X78" s="28"/>
      <c r="Y78" s="30"/>
      <c r="Z78" s="28"/>
      <c r="AA78" s="19"/>
      <c r="AB78" s="19"/>
      <c r="AC78" s="19"/>
      <c r="AD78" s="19"/>
      <c r="AE78" s="19"/>
      <c r="AF78" s="19"/>
      <c r="AG78" s="19"/>
      <c r="AH78" s="19"/>
    </row>
    <row r="79" spans="7:34" ht="19" x14ac:dyDescent="0.35">
      <c r="G79" s="19"/>
      <c r="H79" s="29"/>
      <c r="I79" s="31">
        <f>O112</f>
        <v>0</v>
      </c>
      <c r="J79" s="32">
        <f>SUM(J72:J77)</f>
        <v>0</v>
      </c>
      <c r="K79" s="28"/>
      <c r="L79" s="28"/>
      <c r="M79" s="31">
        <f>O113</f>
        <v>0</v>
      </c>
      <c r="N79" s="32">
        <f>SUM(N72:N77)</f>
        <v>0</v>
      </c>
      <c r="O79" s="28"/>
      <c r="P79" s="28"/>
      <c r="Q79" s="32">
        <f>SUM(Q72:Q77)</f>
        <v>0</v>
      </c>
      <c r="R79" s="31">
        <f>Q117</f>
        <v>0</v>
      </c>
      <c r="S79" s="28"/>
      <c r="T79" s="28"/>
      <c r="U79" s="32">
        <f>SUM(U72:U77)</f>
        <v>0</v>
      </c>
      <c r="V79" s="34">
        <f>Q116</f>
        <v>0</v>
      </c>
      <c r="W79" s="28"/>
      <c r="X79" s="28"/>
      <c r="Y79" s="30"/>
      <c r="Z79" s="28"/>
      <c r="AA79" s="19"/>
      <c r="AB79" s="19"/>
      <c r="AC79" s="19"/>
      <c r="AD79" s="19"/>
      <c r="AE79" s="19"/>
      <c r="AF79" s="19"/>
      <c r="AG79" s="19"/>
      <c r="AH79" s="19"/>
    </row>
    <row r="80" spans="7:34" ht="19" x14ac:dyDescent="0.35">
      <c r="G80" s="19"/>
      <c r="H80" s="29"/>
      <c r="I80" s="35">
        <f>I79-J79</f>
        <v>0</v>
      </c>
      <c r="J80" s="32"/>
      <c r="K80" s="28"/>
      <c r="L80" s="28"/>
      <c r="M80" s="35">
        <f>M79-N79</f>
        <v>0</v>
      </c>
      <c r="N80" s="32"/>
      <c r="O80" s="28"/>
      <c r="P80" s="28"/>
      <c r="Q80" s="32"/>
      <c r="R80" s="35">
        <f>R79-Q79</f>
        <v>0</v>
      </c>
      <c r="S80" s="28"/>
      <c r="T80" s="28"/>
      <c r="U80" s="32"/>
      <c r="V80" s="33">
        <f>V79-U79</f>
        <v>0</v>
      </c>
      <c r="W80" s="28"/>
      <c r="X80" s="28"/>
      <c r="Y80" s="30"/>
      <c r="Z80" s="28"/>
      <c r="AA80" s="19"/>
      <c r="AB80" s="19"/>
      <c r="AC80" s="19"/>
      <c r="AD80" s="19"/>
      <c r="AE80" s="19"/>
      <c r="AF80" s="19"/>
      <c r="AG80" s="19"/>
      <c r="AH80" s="19"/>
    </row>
    <row r="81" spans="7:34" ht="16" x14ac:dyDescent="0.2">
      <c r="G81" s="19"/>
      <c r="H81" s="29"/>
      <c r="I81" s="28"/>
      <c r="J81" s="28"/>
      <c r="K81" s="28"/>
      <c r="L81" s="28"/>
      <c r="M81" s="28"/>
      <c r="N81" s="28"/>
      <c r="O81" s="28"/>
      <c r="P81" s="28"/>
      <c r="Q81" s="28"/>
      <c r="R81" s="28"/>
      <c r="S81" s="28"/>
      <c r="T81" s="28"/>
      <c r="U81" s="28"/>
      <c r="V81" s="28"/>
      <c r="W81" s="28"/>
      <c r="X81" s="28"/>
      <c r="Y81" s="30"/>
      <c r="Z81" s="28"/>
      <c r="AA81" s="19"/>
      <c r="AB81" s="19"/>
      <c r="AC81" s="19"/>
      <c r="AD81" s="19"/>
      <c r="AE81" s="19"/>
      <c r="AF81" s="19"/>
      <c r="AG81" s="19"/>
      <c r="AH81" s="19"/>
    </row>
    <row r="82" spans="7:34" ht="17" thickBot="1" x14ac:dyDescent="0.25">
      <c r="G82" s="19"/>
      <c r="H82" s="29"/>
      <c r="I82" s="28"/>
      <c r="J82" s="28"/>
      <c r="K82" s="28"/>
      <c r="L82" s="28"/>
      <c r="M82" s="28"/>
      <c r="N82" s="28"/>
      <c r="O82" s="28"/>
      <c r="P82" s="28"/>
      <c r="Q82" s="28"/>
      <c r="R82" s="28"/>
      <c r="S82" s="28"/>
      <c r="T82" s="28"/>
      <c r="U82" s="28"/>
      <c r="V82" s="28"/>
      <c r="W82" s="28"/>
      <c r="X82" s="28"/>
      <c r="Y82" s="30"/>
      <c r="Z82" s="28"/>
      <c r="AA82" s="19"/>
      <c r="AB82" s="19"/>
      <c r="AC82" s="19"/>
      <c r="AD82" s="19"/>
      <c r="AE82" s="19"/>
      <c r="AF82" s="19"/>
      <c r="AG82" s="19"/>
      <c r="AH82" s="19"/>
    </row>
    <row r="83" spans="7:34" ht="16" x14ac:dyDescent="0.2">
      <c r="G83" s="19"/>
      <c r="H83" s="29"/>
      <c r="I83" s="28"/>
      <c r="J83" s="28"/>
      <c r="K83" s="28"/>
      <c r="L83" s="28"/>
      <c r="M83" s="28"/>
      <c r="N83" s="28"/>
      <c r="O83" s="28"/>
      <c r="P83" s="28"/>
      <c r="Q83" s="28"/>
      <c r="R83" s="28"/>
      <c r="S83" s="28"/>
      <c r="T83" s="28"/>
      <c r="U83" s="28"/>
      <c r="V83" s="28"/>
      <c r="W83" s="28"/>
      <c r="X83" s="28"/>
      <c r="Y83" s="30"/>
      <c r="Z83" s="28"/>
      <c r="AA83" s="36"/>
      <c r="AB83" s="37"/>
      <c r="AC83" s="37"/>
      <c r="AD83" s="37"/>
      <c r="AE83" s="37"/>
      <c r="AF83" s="37"/>
      <c r="AG83" s="38"/>
      <c r="AH83" s="19"/>
    </row>
    <row r="84" spans="7:34" ht="19" x14ac:dyDescent="0.3">
      <c r="G84" s="19"/>
      <c r="H84" s="29"/>
      <c r="I84" s="28"/>
      <c r="J84" s="28"/>
      <c r="K84" s="248" t="s">
        <v>28</v>
      </c>
      <c r="L84" s="249"/>
      <c r="M84" s="249"/>
      <c r="N84" s="249"/>
      <c r="O84" s="249"/>
      <c r="P84" s="249"/>
      <c r="Q84" s="249"/>
      <c r="R84" s="249"/>
      <c r="S84" s="249"/>
      <c r="T84" s="249"/>
      <c r="U84" s="249"/>
      <c r="V84" s="28"/>
      <c r="W84" s="28"/>
      <c r="X84" s="28"/>
      <c r="Y84" s="30"/>
      <c r="Z84" s="28"/>
      <c r="AA84" s="39"/>
      <c r="AB84" s="267" t="s">
        <v>32</v>
      </c>
      <c r="AC84" s="268"/>
      <c r="AD84" s="268"/>
      <c r="AE84" s="268"/>
      <c r="AF84" s="268"/>
      <c r="AG84" s="40"/>
      <c r="AH84" s="19"/>
    </row>
    <row r="85" spans="7:34" ht="16" x14ac:dyDescent="0.2">
      <c r="G85" s="19"/>
      <c r="H85" s="29"/>
      <c r="I85" s="28"/>
      <c r="J85" s="28"/>
      <c r="K85" s="244" t="s">
        <v>39</v>
      </c>
      <c r="L85" s="249"/>
      <c r="M85" s="249"/>
      <c r="N85" s="249"/>
      <c r="O85" s="249"/>
      <c r="P85" s="249"/>
      <c r="Q85" s="249"/>
      <c r="R85" s="249"/>
      <c r="S85" s="249"/>
      <c r="T85" s="249"/>
      <c r="U85" s="249"/>
      <c r="V85" s="28"/>
      <c r="W85" s="28"/>
      <c r="X85" s="28"/>
      <c r="Y85" s="30"/>
      <c r="Z85" s="28"/>
      <c r="AA85" s="39"/>
      <c r="AB85" s="268"/>
      <c r="AC85" s="268"/>
      <c r="AD85" s="268"/>
      <c r="AE85" s="268"/>
      <c r="AF85" s="268"/>
      <c r="AG85" s="40"/>
      <c r="AH85" s="19"/>
    </row>
    <row r="86" spans="7:34" ht="20" thickBot="1" x14ac:dyDescent="0.35">
      <c r="G86" s="19"/>
      <c r="H86" s="29"/>
      <c r="I86" s="28"/>
      <c r="J86" s="28"/>
      <c r="K86" s="28"/>
      <c r="L86" s="28"/>
      <c r="M86" s="28"/>
      <c r="N86" s="28"/>
      <c r="O86" s="41" t="s">
        <v>19</v>
      </c>
      <c r="P86" s="28"/>
      <c r="Q86" s="41" t="s">
        <v>20</v>
      </c>
      <c r="R86" s="42"/>
      <c r="S86" s="28"/>
      <c r="T86" s="28"/>
      <c r="U86" s="28"/>
      <c r="V86" s="28"/>
      <c r="W86" s="28"/>
      <c r="X86" s="28"/>
      <c r="Y86" s="30"/>
      <c r="Z86" s="28"/>
      <c r="AA86" s="39"/>
      <c r="AB86" s="28"/>
      <c r="AC86" s="28"/>
      <c r="AD86" s="28"/>
      <c r="AE86" s="28"/>
      <c r="AF86" s="28"/>
      <c r="AG86" s="40"/>
      <c r="AH86" s="19"/>
    </row>
    <row r="87" spans="7:34" ht="21" thickTop="1" thickBot="1" x14ac:dyDescent="0.35">
      <c r="G87" s="19"/>
      <c r="H87" s="29"/>
      <c r="I87" s="284"/>
      <c r="J87" s="246"/>
      <c r="K87" s="246"/>
      <c r="L87" s="246"/>
      <c r="M87" s="246"/>
      <c r="N87" s="28"/>
      <c r="O87" s="43" t="s">
        <v>0</v>
      </c>
      <c r="P87" s="44" t="s">
        <v>0</v>
      </c>
      <c r="Q87" s="43" t="s">
        <v>0</v>
      </c>
      <c r="R87" s="28"/>
      <c r="S87" s="28"/>
      <c r="T87" s="28"/>
      <c r="U87" s="28"/>
      <c r="V87" s="28"/>
      <c r="W87" s="28"/>
      <c r="X87" s="28"/>
      <c r="Y87" s="30"/>
      <c r="Z87" s="28"/>
      <c r="AA87" s="39"/>
      <c r="AB87" s="256" t="s">
        <v>26</v>
      </c>
      <c r="AC87" s="257"/>
      <c r="AD87" s="257"/>
      <c r="AE87" s="257"/>
      <c r="AF87" s="258"/>
      <c r="AG87" s="40"/>
      <c r="AH87" s="19"/>
    </row>
    <row r="88" spans="7:34" ht="20" thickTop="1" x14ac:dyDescent="0.3">
      <c r="G88" s="19"/>
      <c r="H88" s="29"/>
      <c r="I88" s="276"/>
      <c r="J88" s="277"/>
      <c r="K88" s="277"/>
      <c r="L88" s="277"/>
      <c r="M88" s="277"/>
      <c r="N88" s="275"/>
      <c r="O88" s="45"/>
      <c r="P88" s="44" t="s">
        <v>0</v>
      </c>
      <c r="Q88" s="45"/>
      <c r="R88" s="28"/>
      <c r="S88" s="28"/>
      <c r="T88" s="28"/>
      <c r="U88" s="28"/>
      <c r="V88" s="28"/>
      <c r="W88" s="28"/>
      <c r="X88" s="28"/>
      <c r="Y88" s="30"/>
      <c r="Z88" s="28"/>
      <c r="AA88" s="39"/>
      <c r="AB88" s="281" t="s">
        <v>24</v>
      </c>
      <c r="AC88" s="282"/>
      <c r="AD88" s="282"/>
      <c r="AE88" s="282"/>
      <c r="AF88" s="283"/>
      <c r="AG88" s="40"/>
      <c r="AH88" s="19"/>
    </row>
    <row r="89" spans="7:34" ht="16" x14ac:dyDescent="0.2">
      <c r="G89" s="19"/>
      <c r="H89" s="29"/>
      <c r="I89" s="252" t="str">
        <f>I35</f>
        <v>Compte CC — Système</v>
      </c>
      <c r="J89" s="253"/>
      <c r="K89" s="253"/>
      <c r="L89" s="275"/>
      <c r="M89" s="275"/>
      <c r="N89" s="275"/>
      <c r="O89" s="45">
        <f>I62</f>
        <v>0</v>
      </c>
      <c r="P89" s="44" t="s">
        <v>0</v>
      </c>
      <c r="Q89" s="45" t="s">
        <v>0</v>
      </c>
      <c r="R89" s="28"/>
      <c r="S89" s="28"/>
      <c r="T89" s="28"/>
      <c r="U89" s="28"/>
      <c r="V89" s="28"/>
      <c r="W89" s="28"/>
      <c r="X89" s="28"/>
      <c r="Y89" s="30"/>
      <c r="Z89" s="28"/>
      <c r="AA89" s="39"/>
      <c r="AB89" s="286" t="str">
        <f>I35</f>
        <v>Compte CC — Système</v>
      </c>
      <c r="AC89" s="287"/>
      <c r="AD89" s="287"/>
      <c r="AE89" s="287"/>
      <c r="AF89" s="74">
        <f>I62</f>
        <v>0</v>
      </c>
      <c r="AG89" s="40"/>
      <c r="AH89" s="19"/>
    </row>
    <row r="90" spans="7:34" ht="16" x14ac:dyDescent="0.2">
      <c r="G90" s="19"/>
      <c r="H90" s="29"/>
      <c r="I90" s="252" t="str">
        <f>M35</f>
        <v>Revenus nourritures</v>
      </c>
      <c r="J90" s="253"/>
      <c r="K90" s="253"/>
      <c r="L90" s="275"/>
      <c r="M90" s="275"/>
      <c r="N90" s="275"/>
      <c r="O90" s="45" t="s">
        <v>0</v>
      </c>
      <c r="P90" s="44" t="s">
        <v>0</v>
      </c>
      <c r="Q90" s="45">
        <f>N53</f>
        <v>0</v>
      </c>
      <c r="R90" s="28"/>
      <c r="S90" s="28"/>
      <c r="T90" s="28"/>
      <c r="U90" s="28"/>
      <c r="V90" s="28"/>
      <c r="W90" s="28"/>
      <c r="X90" s="28"/>
      <c r="Y90" s="30"/>
      <c r="Z90" s="28"/>
      <c r="AA90" s="39"/>
      <c r="AB90" s="286" t="str">
        <f>M35</f>
        <v>Revenus nourritures</v>
      </c>
      <c r="AC90" s="287"/>
      <c r="AD90" s="287"/>
      <c r="AE90" s="287"/>
      <c r="AF90" s="74">
        <f>N53</f>
        <v>0</v>
      </c>
      <c r="AG90" s="40"/>
      <c r="AH90" s="19"/>
    </row>
    <row r="91" spans="7:34" ht="16" x14ac:dyDescent="0.2">
      <c r="G91" s="19"/>
      <c r="H91" s="29"/>
      <c r="I91" s="238" t="str">
        <f>M57</f>
        <v>Revenus boissons</v>
      </c>
      <c r="J91" s="239"/>
      <c r="K91" s="239"/>
      <c r="L91" s="239"/>
      <c r="M91" s="239"/>
      <c r="N91" s="239"/>
      <c r="O91" s="45"/>
      <c r="P91" s="44"/>
      <c r="Q91" s="45">
        <f>N67</f>
        <v>0</v>
      </c>
      <c r="R91" s="28"/>
      <c r="S91" s="28"/>
      <c r="T91" s="28"/>
      <c r="U91" s="28"/>
      <c r="V91" s="28"/>
      <c r="W91" s="28"/>
      <c r="X91" s="28"/>
      <c r="Y91" s="28"/>
      <c r="Z91" s="28"/>
      <c r="AA91" s="28"/>
      <c r="AB91" s="79" t="str">
        <f>I91</f>
        <v>Revenus boissons</v>
      </c>
      <c r="AC91" s="80"/>
      <c r="AD91" s="80"/>
      <c r="AE91" s="80"/>
      <c r="AF91" s="74">
        <f>N67</f>
        <v>0</v>
      </c>
      <c r="AG91" s="40"/>
      <c r="AH91" s="19"/>
    </row>
    <row r="92" spans="7:34" ht="19" x14ac:dyDescent="0.3">
      <c r="G92" s="19"/>
      <c r="H92" s="29"/>
      <c r="I92" s="261" t="str">
        <f>I71</f>
        <v>TPS à remettre</v>
      </c>
      <c r="J92" s="253"/>
      <c r="K92" s="253"/>
      <c r="L92" s="275"/>
      <c r="M92" s="275"/>
      <c r="N92" s="275"/>
      <c r="O92" s="45" t="s">
        <v>0</v>
      </c>
      <c r="P92" s="44" t="s">
        <v>0</v>
      </c>
      <c r="Q92" s="45">
        <f>J79</f>
        <v>0</v>
      </c>
      <c r="R92" s="270" t="s">
        <v>31</v>
      </c>
      <c r="S92" s="273"/>
      <c r="T92" s="273"/>
      <c r="U92" s="273"/>
      <c r="V92" s="273"/>
      <c r="W92" s="273"/>
      <c r="X92" s="273"/>
      <c r="Y92" s="273"/>
      <c r="Z92" s="273"/>
      <c r="AA92" s="274"/>
      <c r="AB92" s="288" t="str">
        <f>I71</f>
        <v>TPS à remettre</v>
      </c>
      <c r="AC92" s="287"/>
      <c r="AD92" s="287"/>
      <c r="AE92" s="287"/>
      <c r="AF92" s="74">
        <f>J79</f>
        <v>0</v>
      </c>
      <c r="AG92" s="40"/>
      <c r="AH92" s="19"/>
    </row>
    <row r="93" spans="7:34" ht="19" x14ac:dyDescent="0.3">
      <c r="G93" s="19"/>
      <c r="H93" s="29"/>
      <c r="I93" s="261" t="str">
        <f>M71</f>
        <v>TVQ à remettre</v>
      </c>
      <c r="J93" s="253"/>
      <c r="K93" s="253"/>
      <c r="L93" s="275"/>
      <c r="M93" s="275"/>
      <c r="N93" s="275"/>
      <c r="O93" s="45"/>
      <c r="P93" s="44">
        <v>610</v>
      </c>
      <c r="Q93" s="45">
        <f>N79</f>
        <v>0</v>
      </c>
      <c r="R93" s="28"/>
      <c r="S93" s="28"/>
      <c r="T93" s="28"/>
      <c r="U93" s="28"/>
      <c r="V93" s="28"/>
      <c r="W93" s="28"/>
      <c r="X93" s="28"/>
      <c r="Y93" s="30"/>
      <c r="Z93" s="28"/>
      <c r="AA93" s="39"/>
      <c r="AB93" s="285" t="str">
        <f>M71</f>
        <v>TVQ à remettre</v>
      </c>
      <c r="AC93" s="269"/>
      <c r="AD93" s="269"/>
      <c r="AE93" s="269"/>
      <c r="AF93" s="74">
        <f>N79</f>
        <v>0</v>
      </c>
      <c r="AG93" s="40"/>
      <c r="AH93" s="19"/>
    </row>
    <row r="94" spans="7:34" ht="19" x14ac:dyDescent="0.3">
      <c r="G94" s="19"/>
      <c r="H94" s="29"/>
      <c r="I94" s="262" t="str">
        <f>Q35</f>
        <v>Pourboire / frais de service à remettre</v>
      </c>
      <c r="J94" s="253"/>
      <c r="K94" s="253"/>
      <c r="L94" s="275"/>
      <c r="M94" s="275"/>
      <c r="N94" s="275"/>
      <c r="O94" s="45"/>
      <c r="P94" s="44" t="s">
        <v>0</v>
      </c>
      <c r="Q94" s="45">
        <f>R43</f>
        <v>0</v>
      </c>
      <c r="R94" s="28"/>
      <c r="S94" s="28"/>
      <c r="T94" s="28"/>
      <c r="U94" s="28"/>
      <c r="V94" s="28"/>
      <c r="W94" s="28"/>
      <c r="X94" s="28"/>
      <c r="Y94" s="30"/>
      <c r="Z94" s="28"/>
      <c r="AA94" s="39"/>
      <c r="AB94" s="285" t="str">
        <f>Q35</f>
        <v>Pourboire / frais de service à remettre</v>
      </c>
      <c r="AC94" s="269"/>
      <c r="AD94" s="269"/>
      <c r="AE94" s="269"/>
      <c r="AF94" s="74">
        <f>R43</f>
        <v>0</v>
      </c>
      <c r="AG94" s="40"/>
      <c r="AH94" s="19"/>
    </row>
    <row r="95" spans="7:34" ht="19" x14ac:dyDescent="0.3">
      <c r="G95" s="19"/>
      <c r="H95" s="29"/>
      <c r="I95" s="262" t="str">
        <f>U35</f>
        <v>Cash</v>
      </c>
      <c r="J95" s="253"/>
      <c r="K95" s="253"/>
      <c r="L95" s="275"/>
      <c r="M95" s="275"/>
      <c r="N95" s="275"/>
      <c r="O95" s="45">
        <f>U43</f>
        <v>0</v>
      </c>
      <c r="P95" s="44" t="s">
        <v>0</v>
      </c>
      <c r="Q95" s="45"/>
      <c r="R95" s="28"/>
      <c r="S95" s="28"/>
      <c r="T95" s="28"/>
      <c r="U95" s="28"/>
      <c r="V95" s="28"/>
      <c r="W95" s="28"/>
      <c r="X95" s="28"/>
      <c r="Y95" s="30"/>
      <c r="Z95" s="28"/>
      <c r="AA95" s="39"/>
      <c r="AB95" s="285" t="str">
        <f>U35</f>
        <v>Cash</v>
      </c>
      <c r="AC95" s="269"/>
      <c r="AD95" s="269"/>
      <c r="AE95" s="269"/>
      <c r="AF95" s="74">
        <f>U43</f>
        <v>0</v>
      </c>
      <c r="AG95" s="40"/>
      <c r="AH95" s="19"/>
    </row>
    <row r="96" spans="7:34" ht="19" x14ac:dyDescent="0.3">
      <c r="G96" s="19"/>
      <c r="H96" s="29"/>
      <c r="I96" s="262" t="str">
        <f>U71</f>
        <v>Mastercard</v>
      </c>
      <c r="J96" s="253"/>
      <c r="K96" s="253"/>
      <c r="L96" s="275"/>
      <c r="M96" s="275"/>
      <c r="N96" s="275"/>
      <c r="O96" s="45">
        <f>U79</f>
        <v>0</v>
      </c>
      <c r="P96" s="44" t="s">
        <v>0</v>
      </c>
      <c r="Q96" s="45"/>
      <c r="R96" s="28"/>
      <c r="S96" s="28"/>
      <c r="T96" s="28"/>
      <c r="U96" s="28"/>
      <c r="V96" s="28"/>
      <c r="W96" s="28"/>
      <c r="X96" s="28"/>
      <c r="Y96" s="30"/>
      <c r="Z96" s="28"/>
      <c r="AA96" s="39"/>
      <c r="AB96" s="285" t="str">
        <f>U71</f>
        <v>Mastercard</v>
      </c>
      <c r="AC96" s="269"/>
      <c r="AD96" s="269"/>
      <c r="AE96" s="269"/>
      <c r="AF96" s="74">
        <f>U79</f>
        <v>0</v>
      </c>
      <c r="AG96" s="40"/>
      <c r="AH96" s="19"/>
    </row>
    <row r="97" spans="7:34" ht="20" thickBot="1" x14ac:dyDescent="0.35">
      <c r="G97" s="19"/>
      <c r="H97" s="29"/>
      <c r="I97" s="262" t="str">
        <f>Q71</f>
        <v>CC - Transfert à la comptabilité</v>
      </c>
      <c r="J97" s="253"/>
      <c r="K97" s="253"/>
      <c r="L97" s="275"/>
      <c r="M97" s="275"/>
      <c r="N97" s="275"/>
      <c r="O97" s="45">
        <f>Q79</f>
        <v>0</v>
      </c>
      <c r="P97" s="44" t="s">
        <v>0</v>
      </c>
      <c r="Q97" s="45"/>
      <c r="R97" s="28"/>
      <c r="S97" s="28"/>
      <c r="T97" s="28"/>
      <c r="U97" s="28"/>
      <c r="V97" s="28" t="s">
        <v>0</v>
      </c>
      <c r="W97" s="28"/>
      <c r="X97" s="28"/>
      <c r="Y97" s="30"/>
      <c r="Z97" s="28"/>
      <c r="AA97" s="39"/>
      <c r="AB97" s="279" t="str">
        <f>I97</f>
        <v>CC - Transfert à la comptabilité</v>
      </c>
      <c r="AC97" s="280"/>
      <c r="AD97" s="280"/>
      <c r="AE97" s="280"/>
      <c r="AF97" s="75">
        <f>Q79</f>
        <v>0</v>
      </c>
      <c r="AG97" s="40"/>
      <c r="AH97" s="19"/>
    </row>
    <row r="98" spans="7:34" ht="17" thickTop="1" x14ac:dyDescent="0.2">
      <c r="G98" s="19"/>
      <c r="H98" s="29"/>
      <c r="I98" s="47" t="s">
        <v>0</v>
      </c>
      <c r="J98" s="47"/>
      <c r="K98" s="45"/>
      <c r="L98" s="28"/>
      <c r="M98" s="46" t="s">
        <v>0</v>
      </c>
      <c r="N98" s="48" t="s">
        <v>0</v>
      </c>
      <c r="O98" s="45"/>
      <c r="P98" s="44"/>
      <c r="Q98" s="45"/>
      <c r="R98" s="28"/>
      <c r="S98" s="28"/>
      <c r="T98" s="28"/>
      <c r="U98" s="28"/>
      <c r="V98" s="28"/>
      <c r="W98" s="28"/>
      <c r="X98" s="28"/>
      <c r="Y98" s="30"/>
      <c r="Z98" s="28"/>
      <c r="AA98" s="39"/>
      <c r="AB98" s="28"/>
      <c r="AC98" s="28"/>
      <c r="AD98" s="28"/>
      <c r="AE98" s="28"/>
      <c r="AF98" s="28"/>
      <c r="AG98" s="40"/>
      <c r="AH98" s="19"/>
    </row>
    <row r="99" spans="7:34" ht="16" x14ac:dyDescent="0.2">
      <c r="G99" s="19"/>
      <c r="H99" s="29"/>
      <c r="I99" s="28"/>
      <c r="J99" s="28"/>
      <c r="K99" s="28"/>
      <c r="L99" s="28"/>
      <c r="M99" s="28"/>
      <c r="N99" s="28"/>
      <c r="O99" s="49">
        <f>SUM(O88:O97)</f>
        <v>0</v>
      </c>
      <c r="P99" s="44"/>
      <c r="Q99" s="49">
        <f>SUM(Q88:Q97)</f>
        <v>0</v>
      </c>
      <c r="R99" s="28"/>
      <c r="S99" s="28"/>
      <c r="T99" s="28"/>
      <c r="U99" s="28"/>
      <c r="V99" s="28"/>
      <c r="W99" s="28"/>
      <c r="X99" s="28"/>
      <c r="Y99" s="30"/>
      <c r="Z99" s="28"/>
      <c r="AA99" s="39"/>
      <c r="AB99" s="28"/>
      <c r="AC99" s="28"/>
      <c r="AD99" s="28"/>
      <c r="AE99" s="28"/>
      <c r="AF99" s="28"/>
      <c r="AG99" s="40"/>
      <c r="AH99" s="19"/>
    </row>
    <row r="100" spans="7:34" ht="16" x14ac:dyDescent="0.2">
      <c r="G100" s="19"/>
      <c r="H100" s="29"/>
      <c r="I100" s="28"/>
      <c r="J100" s="28"/>
      <c r="K100" s="28"/>
      <c r="L100" s="28"/>
      <c r="M100" s="28"/>
      <c r="N100" s="28"/>
      <c r="O100" s="45">
        <f>O99-Q99</f>
        <v>0</v>
      </c>
      <c r="P100" s="44"/>
      <c r="Q100" s="45"/>
      <c r="R100" s="28"/>
      <c r="S100" s="28"/>
      <c r="T100" s="28"/>
      <c r="U100" s="28"/>
      <c r="V100" s="28"/>
      <c r="W100" s="28"/>
      <c r="X100" s="28"/>
      <c r="Y100" s="30"/>
      <c r="Z100" s="28"/>
      <c r="AA100" s="39"/>
      <c r="AB100" s="278" t="s">
        <v>27</v>
      </c>
      <c r="AC100" s="278"/>
      <c r="AD100" s="278"/>
      <c r="AE100" s="278"/>
      <c r="AF100" s="278"/>
      <c r="AG100" s="40"/>
      <c r="AH100" s="19"/>
    </row>
    <row r="101" spans="7:34" ht="16" x14ac:dyDescent="0.2">
      <c r="G101" s="19"/>
      <c r="H101" s="29"/>
      <c r="I101" s="28"/>
      <c r="J101" s="28"/>
      <c r="K101" s="28"/>
      <c r="L101" s="28"/>
      <c r="M101" s="28"/>
      <c r="N101" s="28"/>
      <c r="O101" s="28"/>
      <c r="P101" s="44"/>
      <c r="Q101" s="28"/>
      <c r="R101" s="28"/>
      <c r="S101" s="28"/>
      <c r="T101" s="28"/>
      <c r="U101" s="28"/>
      <c r="V101" s="28"/>
      <c r="W101" s="28"/>
      <c r="X101" s="28"/>
      <c r="Y101" s="30"/>
      <c r="Z101" s="28"/>
      <c r="AA101" s="39"/>
      <c r="AB101" s="278"/>
      <c r="AC101" s="278"/>
      <c r="AD101" s="278"/>
      <c r="AE101" s="278"/>
      <c r="AF101" s="278"/>
      <c r="AG101" s="40"/>
      <c r="AH101" s="19"/>
    </row>
    <row r="102" spans="7:34" ht="16" x14ac:dyDescent="0.2">
      <c r="G102" s="19"/>
      <c r="H102" s="29"/>
      <c r="I102" s="28"/>
      <c r="J102" s="28"/>
      <c r="K102" s="28"/>
      <c r="L102" s="28"/>
      <c r="M102" s="28"/>
      <c r="N102" s="28"/>
      <c r="O102" s="28"/>
      <c r="P102" s="28"/>
      <c r="Q102" s="28"/>
      <c r="R102" s="28"/>
      <c r="S102" s="28"/>
      <c r="T102" s="28"/>
      <c r="U102" s="28"/>
      <c r="V102" s="28"/>
      <c r="W102" s="28"/>
      <c r="X102" s="28"/>
      <c r="Y102" s="30"/>
      <c r="Z102" s="28"/>
      <c r="AA102" s="39"/>
      <c r="AB102" s="278"/>
      <c r="AC102" s="278"/>
      <c r="AD102" s="278"/>
      <c r="AE102" s="278"/>
      <c r="AF102" s="278"/>
      <c r="AG102" s="40"/>
      <c r="AH102" s="19"/>
    </row>
    <row r="103" spans="7:34" ht="16" x14ac:dyDescent="0.2">
      <c r="G103" s="19"/>
      <c r="H103" s="29"/>
      <c r="I103" s="28"/>
      <c r="J103" s="28"/>
      <c r="K103" s="28"/>
      <c r="L103" s="28"/>
      <c r="M103" s="28"/>
      <c r="N103" s="28"/>
      <c r="O103" s="28"/>
      <c r="P103" s="28"/>
      <c r="Q103" s="28"/>
      <c r="R103" s="28"/>
      <c r="S103" s="28"/>
      <c r="T103" s="28"/>
      <c r="U103" s="28"/>
      <c r="V103" s="28"/>
      <c r="W103" s="28"/>
      <c r="X103" s="28"/>
      <c r="Y103" s="30"/>
      <c r="Z103" s="28"/>
      <c r="AA103" s="39"/>
      <c r="AB103" s="278"/>
      <c r="AC103" s="278"/>
      <c r="AD103" s="278"/>
      <c r="AE103" s="278"/>
      <c r="AF103" s="278"/>
      <c r="AG103" s="40"/>
      <c r="AH103" s="19"/>
    </row>
    <row r="104" spans="7:34" ht="19" x14ac:dyDescent="0.3">
      <c r="G104" s="19"/>
      <c r="H104" s="29"/>
      <c r="I104" s="28"/>
      <c r="J104" s="28"/>
      <c r="K104" s="248" t="s">
        <v>40</v>
      </c>
      <c r="L104" s="249"/>
      <c r="M104" s="249"/>
      <c r="N104" s="249"/>
      <c r="O104" s="249"/>
      <c r="P104" s="249"/>
      <c r="Q104" s="249"/>
      <c r="R104" s="249"/>
      <c r="S104" s="249"/>
      <c r="T104" s="249"/>
      <c r="U104" s="249"/>
      <c r="V104" s="28"/>
      <c r="W104" s="28"/>
      <c r="X104" s="28"/>
      <c r="Y104" s="30"/>
      <c r="Z104" s="28"/>
      <c r="AA104" s="39"/>
      <c r="AB104" s="278"/>
      <c r="AC104" s="278"/>
      <c r="AD104" s="278"/>
      <c r="AE104" s="278"/>
      <c r="AF104" s="278"/>
      <c r="AG104" s="40"/>
      <c r="AH104" s="19"/>
    </row>
    <row r="105" spans="7:34" ht="14" customHeight="1" x14ac:dyDescent="0.2">
      <c r="G105" s="19"/>
      <c r="H105" s="29"/>
      <c r="I105" s="28"/>
      <c r="J105" s="28"/>
      <c r="K105" s="244" t="s">
        <v>39</v>
      </c>
      <c r="L105" s="249"/>
      <c r="M105" s="249"/>
      <c r="N105" s="249"/>
      <c r="O105" s="249"/>
      <c r="P105" s="249"/>
      <c r="Q105" s="249"/>
      <c r="R105" s="249"/>
      <c r="S105" s="249"/>
      <c r="T105" s="249"/>
      <c r="U105" s="249"/>
      <c r="V105" s="28"/>
      <c r="W105" s="28"/>
      <c r="X105" s="28"/>
      <c r="Y105" s="30"/>
      <c r="Z105" s="28"/>
      <c r="AA105" s="39"/>
      <c r="AB105" s="28"/>
      <c r="AC105" s="28"/>
      <c r="AD105" s="28"/>
      <c r="AE105" s="28"/>
      <c r="AF105" s="28"/>
      <c r="AG105" s="40"/>
      <c r="AH105" s="19"/>
    </row>
    <row r="106" spans="7:34" ht="20" thickBot="1" x14ac:dyDescent="0.35">
      <c r="G106" s="19"/>
      <c r="H106" s="29"/>
      <c r="I106" s="28"/>
      <c r="J106" s="28"/>
      <c r="K106" s="28"/>
      <c r="L106" s="28"/>
      <c r="M106" s="28"/>
      <c r="N106" s="28"/>
      <c r="O106" s="41" t="s">
        <v>19</v>
      </c>
      <c r="P106" s="28"/>
      <c r="Q106" s="41" t="s">
        <v>20</v>
      </c>
      <c r="R106" s="42"/>
      <c r="S106" s="28"/>
      <c r="T106" s="28"/>
      <c r="U106" s="28"/>
      <c r="V106" s="28"/>
      <c r="W106" s="28"/>
      <c r="X106" s="28"/>
      <c r="Y106" s="30"/>
      <c r="Z106" s="28"/>
      <c r="AA106" s="39"/>
      <c r="AB106" s="28"/>
      <c r="AC106" s="28"/>
      <c r="AD106" s="28"/>
      <c r="AE106" s="28"/>
      <c r="AF106" s="28"/>
      <c r="AG106" s="40"/>
      <c r="AH106" s="19"/>
    </row>
    <row r="107" spans="7:34" ht="21" thickTop="1" thickBot="1" x14ac:dyDescent="0.35">
      <c r="G107" s="19"/>
      <c r="H107" s="29"/>
      <c r="I107" s="19"/>
      <c r="J107" s="19"/>
      <c r="K107" s="19"/>
      <c r="L107" s="19"/>
      <c r="M107" s="19"/>
      <c r="N107" s="28"/>
      <c r="O107" s="43" t="s">
        <v>0</v>
      </c>
      <c r="P107" s="44" t="s">
        <v>0</v>
      </c>
      <c r="Q107" s="43" t="s">
        <v>0</v>
      </c>
      <c r="R107" s="28"/>
      <c r="S107" s="28"/>
      <c r="T107" s="28"/>
      <c r="U107" s="28"/>
      <c r="V107" s="28"/>
      <c r="W107" s="28"/>
      <c r="X107" s="28"/>
      <c r="Y107" s="30"/>
      <c r="Z107" s="28"/>
      <c r="AA107" s="39"/>
      <c r="AB107" s="256" t="s">
        <v>54</v>
      </c>
      <c r="AC107" s="257"/>
      <c r="AD107" s="257"/>
      <c r="AE107" s="257"/>
      <c r="AF107" s="258"/>
      <c r="AG107" s="40"/>
      <c r="AH107" s="19"/>
    </row>
    <row r="108" spans="7:34" ht="20" thickTop="1" x14ac:dyDescent="0.3">
      <c r="G108" s="19"/>
      <c r="H108" s="29"/>
      <c r="I108" s="250" t="s">
        <v>0</v>
      </c>
      <c r="J108" s="251"/>
      <c r="K108" s="251"/>
      <c r="L108" s="251"/>
      <c r="M108" s="251"/>
      <c r="N108" s="28"/>
      <c r="O108" s="50"/>
      <c r="P108" s="44" t="s">
        <v>0</v>
      </c>
      <c r="Q108" s="34"/>
      <c r="R108" s="28"/>
      <c r="S108" s="28"/>
      <c r="T108" s="28"/>
      <c r="U108" s="28"/>
      <c r="V108" s="28"/>
      <c r="W108" s="28"/>
      <c r="X108" s="28"/>
      <c r="Y108" s="30"/>
      <c r="Z108" s="28"/>
      <c r="AA108" s="39"/>
      <c r="AB108" s="281" t="s">
        <v>24</v>
      </c>
      <c r="AC108" s="282"/>
      <c r="AD108" s="282"/>
      <c r="AE108" s="282"/>
      <c r="AF108" s="283"/>
      <c r="AG108" s="40"/>
      <c r="AH108" s="19"/>
    </row>
    <row r="109" spans="7:34" ht="16" x14ac:dyDescent="0.2">
      <c r="G109" s="19"/>
      <c r="H109" s="29"/>
      <c r="I109" s="252" t="str">
        <f t="shared" ref="I109:I117" si="3">I89</f>
        <v>Compte CC — Système</v>
      </c>
      <c r="J109" s="253"/>
      <c r="K109" s="253"/>
      <c r="L109" s="275"/>
      <c r="M109" s="275"/>
      <c r="N109" s="275"/>
      <c r="O109" s="50">
        <v>0</v>
      </c>
      <c r="P109" s="44" t="s">
        <v>0</v>
      </c>
      <c r="Q109" s="34">
        <f>O89</f>
        <v>0</v>
      </c>
      <c r="R109" s="28"/>
      <c r="S109" s="28"/>
      <c r="T109" s="28"/>
      <c r="U109" s="28"/>
      <c r="V109" s="28"/>
      <c r="W109" s="28"/>
      <c r="X109" s="28"/>
      <c r="Y109" s="30"/>
      <c r="Z109" s="28"/>
      <c r="AA109" s="39"/>
      <c r="AB109" s="265" t="str">
        <f>I35</f>
        <v>Compte CC — Système</v>
      </c>
      <c r="AC109" s="264"/>
      <c r="AD109" s="264"/>
      <c r="AE109" s="236"/>
      <c r="AF109" s="74">
        <f>I62</f>
        <v>0</v>
      </c>
      <c r="AG109" s="40"/>
      <c r="AH109" s="19"/>
    </row>
    <row r="110" spans="7:34" ht="16" x14ac:dyDescent="0.2">
      <c r="G110" s="19"/>
      <c r="H110" s="29"/>
      <c r="I110" s="252" t="str">
        <f t="shared" si="3"/>
        <v>Revenus nourritures</v>
      </c>
      <c r="J110" s="253"/>
      <c r="K110" s="253"/>
      <c r="L110" s="275"/>
      <c r="M110" s="275"/>
      <c r="N110" s="275"/>
      <c r="O110" s="50">
        <f>Q90</f>
        <v>0</v>
      </c>
      <c r="P110" s="44" t="s">
        <v>0</v>
      </c>
      <c r="Q110" s="34">
        <f>N66</f>
        <v>0</v>
      </c>
      <c r="R110" s="28"/>
      <c r="S110" s="28"/>
      <c r="T110" s="28"/>
      <c r="U110" s="28"/>
      <c r="V110" s="28"/>
      <c r="W110" s="28"/>
      <c r="X110" s="28"/>
      <c r="Y110" s="30"/>
      <c r="Z110" s="28"/>
      <c r="AA110" s="39"/>
      <c r="AB110" s="265" t="str">
        <f>M35</f>
        <v>Revenus nourritures</v>
      </c>
      <c r="AC110" s="264"/>
      <c r="AD110" s="264"/>
      <c r="AE110" s="236"/>
      <c r="AF110" s="74">
        <f>M54</f>
        <v>0</v>
      </c>
      <c r="AG110" s="40"/>
      <c r="AH110" s="19"/>
    </row>
    <row r="111" spans="7:34" ht="16" x14ac:dyDescent="0.2">
      <c r="G111" s="19"/>
      <c r="H111" s="29"/>
      <c r="I111" s="238" t="str">
        <f t="shared" si="3"/>
        <v>Revenus boissons</v>
      </c>
      <c r="J111" s="239"/>
      <c r="K111" s="239"/>
      <c r="L111" s="239"/>
      <c r="M111" s="239"/>
      <c r="N111" s="239"/>
      <c r="O111" s="50">
        <f>Q91</f>
        <v>0</v>
      </c>
      <c r="P111" s="44"/>
      <c r="Q111" s="34">
        <v>0</v>
      </c>
      <c r="R111" s="28"/>
      <c r="S111" s="28"/>
      <c r="T111" s="28"/>
      <c r="U111" s="28"/>
      <c r="V111" s="28"/>
      <c r="W111" s="28"/>
      <c r="X111" s="28"/>
      <c r="Y111" s="30"/>
      <c r="Z111" s="28"/>
      <c r="AA111" s="39"/>
      <c r="AB111" s="265" t="str">
        <f>M57</f>
        <v>Revenus boissons</v>
      </c>
      <c r="AC111" s="236"/>
      <c r="AD111" s="236"/>
      <c r="AE111" s="236"/>
      <c r="AF111" s="74">
        <f>M68</f>
        <v>0</v>
      </c>
      <c r="AG111" s="40"/>
      <c r="AH111" s="19"/>
    </row>
    <row r="112" spans="7:34" ht="19" x14ac:dyDescent="0.3">
      <c r="G112" s="19"/>
      <c r="H112" s="29"/>
      <c r="I112" s="261" t="str">
        <f t="shared" si="3"/>
        <v>TPS à remettre</v>
      </c>
      <c r="J112" s="253"/>
      <c r="K112" s="253"/>
      <c r="L112" s="275"/>
      <c r="M112" s="275"/>
      <c r="N112" s="275"/>
      <c r="O112" s="50">
        <f>Q92</f>
        <v>0</v>
      </c>
      <c r="P112" s="44" t="s">
        <v>0</v>
      </c>
      <c r="Q112" s="34">
        <f>J100</f>
        <v>0</v>
      </c>
      <c r="R112" s="28"/>
      <c r="S112" s="28"/>
      <c r="T112" s="28"/>
      <c r="U112" s="46" t="s">
        <v>0</v>
      </c>
      <c r="V112" s="28"/>
      <c r="W112" s="28"/>
      <c r="X112" s="28"/>
      <c r="Y112" s="30"/>
      <c r="Z112" s="28"/>
      <c r="AA112" s="39"/>
      <c r="AB112" s="266" t="str">
        <f>I71</f>
        <v>TPS à remettre</v>
      </c>
      <c r="AC112" s="264"/>
      <c r="AD112" s="264"/>
      <c r="AE112" s="236"/>
      <c r="AF112" s="74">
        <f>I80</f>
        <v>0</v>
      </c>
      <c r="AG112" s="40"/>
      <c r="AH112" s="19"/>
    </row>
    <row r="113" spans="7:34" ht="19" x14ac:dyDescent="0.3">
      <c r="G113" s="19"/>
      <c r="H113" s="29"/>
      <c r="I113" s="261" t="str">
        <f t="shared" si="3"/>
        <v>TVQ à remettre</v>
      </c>
      <c r="J113" s="253"/>
      <c r="K113" s="253"/>
      <c r="L113" s="275"/>
      <c r="M113" s="275"/>
      <c r="N113" s="275"/>
      <c r="O113" s="50">
        <f>Q93</f>
        <v>0</v>
      </c>
      <c r="P113" s="44">
        <v>610</v>
      </c>
      <c r="Q113" s="34">
        <f>N100</f>
        <v>0</v>
      </c>
      <c r="R113" s="270" t="s">
        <v>44</v>
      </c>
      <c r="S113" s="271"/>
      <c r="T113" s="271"/>
      <c r="U113" s="271"/>
      <c r="V113" s="271"/>
      <c r="W113" s="271"/>
      <c r="X113" s="271"/>
      <c r="Y113" s="271"/>
      <c r="Z113" s="271"/>
      <c r="AA113" s="272"/>
      <c r="AB113" s="266" t="str">
        <f>M71</f>
        <v>TVQ à remettre</v>
      </c>
      <c r="AC113" s="264"/>
      <c r="AD113" s="264"/>
      <c r="AE113" s="236"/>
      <c r="AF113" s="74">
        <f>M80</f>
        <v>0</v>
      </c>
      <c r="AG113" s="40"/>
      <c r="AH113" s="19"/>
    </row>
    <row r="114" spans="7:34" ht="19" x14ac:dyDescent="0.3">
      <c r="G114" s="19"/>
      <c r="H114" s="29"/>
      <c r="I114" s="262" t="str">
        <f t="shared" si="3"/>
        <v>Pourboire / frais de service à remettre</v>
      </c>
      <c r="J114" s="253"/>
      <c r="K114" s="253"/>
      <c r="L114" s="275"/>
      <c r="M114" s="275"/>
      <c r="N114" s="275"/>
      <c r="O114" s="50">
        <f>Q94</f>
        <v>0</v>
      </c>
      <c r="P114" s="44" t="s">
        <v>0</v>
      </c>
      <c r="Q114" s="34">
        <f>R66</f>
        <v>0</v>
      </c>
      <c r="R114" s="28"/>
      <c r="S114" s="28"/>
      <c r="T114" s="28"/>
      <c r="U114" s="28"/>
      <c r="V114" s="28"/>
      <c r="W114" s="28"/>
      <c r="X114" s="28"/>
      <c r="Y114" s="30"/>
      <c r="Z114" s="28"/>
      <c r="AA114" s="39"/>
      <c r="AB114" s="263" t="str">
        <f>Q35</f>
        <v>Pourboire / frais de service à remettre</v>
      </c>
      <c r="AC114" s="264"/>
      <c r="AD114" s="264"/>
      <c r="AE114" s="236"/>
      <c r="AF114" s="74">
        <f>Q44</f>
        <v>0</v>
      </c>
      <c r="AG114" s="40"/>
      <c r="AH114" s="19"/>
    </row>
    <row r="115" spans="7:34" ht="19" x14ac:dyDescent="0.3">
      <c r="G115" s="19"/>
      <c r="H115" s="29"/>
      <c r="I115" s="262" t="str">
        <f t="shared" si="3"/>
        <v>Cash</v>
      </c>
      <c r="J115" s="253"/>
      <c r="K115" s="253"/>
      <c r="L115" s="275"/>
      <c r="M115" s="275"/>
      <c r="N115" s="275"/>
      <c r="O115" s="50">
        <f>U66</f>
        <v>0</v>
      </c>
      <c r="P115" s="44" t="s">
        <v>0</v>
      </c>
      <c r="Q115" s="34">
        <f>O95</f>
        <v>0</v>
      </c>
      <c r="R115" s="45"/>
      <c r="S115" s="28"/>
      <c r="T115" s="28"/>
      <c r="U115" s="28"/>
      <c r="V115" s="28"/>
      <c r="W115" s="28"/>
      <c r="X115" s="28"/>
      <c r="Y115" s="30"/>
      <c r="Z115" s="28"/>
      <c r="AA115" s="39"/>
      <c r="AB115" s="263" t="str">
        <f>U35</f>
        <v>Cash</v>
      </c>
      <c r="AC115" s="264"/>
      <c r="AD115" s="264"/>
      <c r="AE115" s="236"/>
      <c r="AF115" s="74">
        <f>V44</f>
        <v>0</v>
      </c>
      <c r="AG115" s="40"/>
      <c r="AH115" s="19"/>
    </row>
    <row r="116" spans="7:34" ht="19" x14ac:dyDescent="0.3">
      <c r="G116" s="19"/>
      <c r="H116" s="29"/>
      <c r="I116" s="262" t="str">
        <f t="shared" si="3"/>
        <v>Mastercard</v>
      </c>
      <c r="J116" s="253"/>
      <c r="K116" s="253"/>
      <c r="L116" s="275"/>
      <c r="M116" s="275"/>
      <c r="N116" s="275"/>
      <c r="O116" s="50">
        <f>U100</f>
        <v>0</v>
      </c>
      <c r="P116" s="44" t="s">
        <v>0</v>
      </c>
      <c r="Q116" s="34">
        <f>O96</f>
        <v>0</v>
      </c>
      <c r="R116" s="28"/>
      <c r="S116" s="28"/>
      <c r="T116" s="28"/>
      <c r="U116" s="28"/>
      <c r="V116" s="28"/>
      <c r="W116" s="28"/>
      <c r="X116" s="28"/>
      <c r="Y116" s="30"/>
      <c r="Z116" s="28"/>
      <c r="AA116" s="39"/>
      <c r="AB116" s="263" t="str">
        <f>U71</f>
        <v>Mastercard</v>
      </c>
      <c r="AC116" s="264"/>
      <c r="AD116" s="264"/>
      <c r="AE116" s="236"/>
      <c r="AF116" s="74">
        <f>V80</f>
        <v>0</v>
      </c>
      <c r="AG116" s="40"/>
      <c r="AH116" s="19"/>
    </row>
    <row r="117" spans="7:34" ht="20" thickBot="1" x14ac:dyDescent="0.35">
      <c r="G117" s="19"/>
      <c r="H117" s="29"/>
      <c r="I117" s="262" t="str">
        <f t="shared" si="3"/>
        <v>CC - Transfert à la comptabilité</v>
      </c>
      <c r="J117" s="253"/>
      <c r="K117" s="253"/>
      <c r="L117" s="275"/>
      <c r="M117" s="275"/>
      <c r="N117" s="275"/>
      <c r="O117" s="50">
        <f>Q100</f>
        <v>0</v>
      </c>
      <c r="P117" s="44" t="s">
        <v>0</v>
      </c>
      <c r="Q117" s="34">
        <f>O97</f>
        <v>0</v>
      </c>
      <c r="R117" s="44"/>
      <c r="S117" s="44"/>
      <c r="T117" s="44"/>
      <c r="U117" s="28"/>
      <c r="V117" s="28"/>
      <c r="W117" s="28"/>
      <c r="X117" s="28"/>
      <c r="Y117" s="30"/>
      <c r="Z117" s="28"/>
      <c r="AA117" s="39"/>
      <c r="AB117" s="322" t="str">
        <f>Q71</f>
        <v>CC - Transfert à la comptabilité</v>
      </c>
      <c r="AC117" s="323"/>
      <c r="AD117" s="323"/>
      <c r="AE117" s="324"/>
      <c r="AF117" s="75">
        <f>R80</f>
        <v>0</v>
      </c>
      <c r="AG117" s="40"/>
      <c r="AH117" s="19"/>
    </row>
    <row r="118" spans="7:34" ht="17" thickTop="1" x14ac:dyDescent="0.2">
      <c r="G118" s="19"/>
      <c r="H118" s="29"/>
      <c r="I118" s="47" t="s">
        <v>0</v>
      </c>
      <c r="J118" s="47"/>
      <c r="K118" s="45"/>
      <c r="L118" s="28"/>
      <c r="M118" s="46" t="s">
        <v>0</v>
      </c>
      <c r="N118" s="48" t="s">
        <v>0</v>
      </c>
      <c r="O118" s="50"/>
      <c r="P118" s="44"/>
      <c r="Q118" s="34"/>
      <c r="R118" s="28"/>
      <c r="S118" s="28"/>
      <c r="T118" s="44"/>
      <c r="U118" s="28"/>
      <c r="V118" s="28"/>
      <c r="W118" s="28"/>
      <c r="X118" s="28"/>
      <c r="Y118" s="30"/>
      <c r="Z118" s="28"/>
      <c r="AA118" s="39"/>
      <c r="AB118" s="28"/>
      <c r="AC118" s="28"/>
      <c r="AD118" s="28"/>
      <c r="AE118" s="28"/>
      <c r="AF118" s="28"/>
      <c r="AG118" s="40"/>
      <c r="AH118" s="19"/>
    </row>
    <row r="119" spans="7:34" ht="17" thickBot="1" x14ac:dyDescent="0.25">
      <c r="G119" s="19"/>
      <c r="H119" s="29"/>
      <c r="I119" s="28"/>
      <c r="J119" s="28"/>
      <c r="K119" s="28"/>
      <c r="L119" s="28"/>
      <c r="M119" s="28"/>
      <c r="N119" s="28"/>
      <c r="O119" s="52">
        <f>SUM(O108:O117)</f>
        <v>0</v>
      </c>
      <c r="P119" s="44"/>
      <c r="Q119" s="53">
        <f>SUM(Q108:Q117)</f>
        <v>0</v>
      </c>
      <c r="R119" s="28"/>
      <c r="S119" s="28"/>
      <c r="T119" s="44"/>
      <c r="U119" s="28"/>
      <c r="V119" s="28"/>
      <c r="W119" s="28"/>
      <c r="X119" s="28"/>
      <c r="Y119" s="30"/>
      <c r="Z119" s="28"/>
      <c r="AA119" s="54"/>
      <c r="AB119" s="55"/>
      <c r="AC119" s="55"/>
      <c r="AD119" s="55"/>
      <c r="AE119" s="55"/>
      <c r="AF119" s="55"/>
      <c r="AG119" s="56"/>
      <c r="AH119" s="19"/>
    </row>
    <row r="120" spans="7:34" ht="16" x14ac:dyDescent="0.2">
      <c r="G120" s="19"/>
      <c r="H120" s="29"/>
      <c r="I120" s="28"/>
      <c r="J120" s="28"/>
      <c r="K120" s="28"/>
      <c r="L120" s="28"/>
      <c r="M120" s="28"/>
      <c r="N120" s="28"/>
      <c r="O120" s="50">
        <f>O119-Q119</f>
        <v>0</v>
      </c>
      <c r="P120" s="44"/>
      <c r="Q120" s="28"/>
      <c r="R120" s="28"/>
      <c r="S120" s="28"/>
      <c r="T120" s="44"/>
      <c r="U120" s="28"/>
      <c r="V120" s="28"/>
      <c r="W120" s="28"/>
      <c r="X120" s="28"/>
      <c r="Y120" s="30"/>
      <c r="Z120" s="28"/>
      <c r="AA120" s="19"/>
      <c r="AB120" s="19"/>
      <c r="AC120" s="19"/>
      <c r="AD120" s="19"/>
      <c r="AE120" s="19"/>
      <c r="AF120" s="19"/>
      <c r="AG120" s="19"/>
      <c r="AH120" s="19"/>
    </row>
    <row r="121" spans="7:34" ht="17" thickBot="1" x14ac:dyDescent="0.25">
      <c r="G121" s="19"/>
      <c r="H121" s="57"/>
      <c r="I121" s="51"/>
      <c r="J121" s="51"/>
      <c r="K121" s="51"/>
      <c r="L121" s="51"/>
      <c r="M121" s="51"/>
      <c r="N121" s="51"/>
      <c r="O121" s="51"/>
      <c r="P121" s="51"/>
      <c r="Q121" s="51"/>
      <c r="R121" s="51"/>
      <c r="S121" s="51"/>
      <c r="T121" s="58"/>
      <c r="U121" s="51"/>
      <c r="V121" s="51"/>
      <c r="W121" s="51"/>
      <c r="X121" s="51"/>
      <c r="Y121" s="59"/>
      <c r="Z121" s="28"/>
      <c r="AA121" s="19"/>
      <c r="AB121" s="19"/>
      <c r="AC121" s="19"/>
      <c r="AD121" s="19"/>
      <c r="AE121" s="19"/>
      <c r="AF121" s="19"/>
      <c r="AG121" s="19"/>
      <c r="AH121" s="19"/>
    </row>
    <row r="122" spans="7:34" ht="17" thickTop="1" x14ac:dyDescent="0.2">
      <c r="G122" s="19"/>
      <c r="H122" s="28"/>
      <c r="I122" s="28"/>
      <c r="J122" s="28"/>
      <c r="K122" s="28"/>
      <c r="L122" s="28"/>
      <c r="M122" s="28"/>
      <c r="N122" s="28"/>
      <c r="O122" s="28"/>
      <c r="P122" s="28"/>
      <c r="Q122" s="28"/>
      <c r="R122" s="28"/>
      <c r="S122" s="28"/>
      <c r="T122" s="44"/>
      <c r="U122" s="28"/>
      <c r="V122" s="28"/>
      <c r="W122" s="28"/>
      <c r="X122" s="28"/>
      <c r="Y122" s="28"/>
      <c r="Z122" s="28"/>
      <c r="AA122" s="19"/>
      <c r="AB122" s="19"/>
      <c r="AC122" s="19"/>
      <c r="AD122" s="19"/>
      <c r="AE122" s="19"/>
      <c r="AF122" s="19"/>
      <c r="AG122" s="19"/>
      <c r="AH122" s="19"/>
    </row>
    <row r="123" spans="7:34" ht="17" thickBot="1" x14ac:dyDescent="0.25">
      <c r="G123" s="19"/>
      <c r="H123" s="28"/>
      <c r="I123" s="28"/>
      <c r="J123" s="28"/>
      <c r="K123" s="28"/>
      <c r="L123" s="28"/>
      <c r="M123" s="28"/>
      <c r="N123" s="28"/>
      <c r="O123" s="28"/>
      <c r="P123" s="28"/>
      <c r="Q123" s="28"/>
      <c r="R123" s="28"/>
      <c r="S123" s="28"/>
      <c r="T123" s="44"/>
      <c r="U123" s="28"/>
      <c r="V123" s="28"/>
      <c r="W123" s="28"/>
      <c r="X123" s="28"/>
      <c r="Y123" s="28"/>
      <c r="Z123" s="28"/>
      <c r="AA123" s="19"/>
      <c r="AB123" s="19"/>
      <c r="AC123" s="19"/>
      <c r="AD123" s="19"/>
      <c r="AE123" s="19"/>
      <c r="AF123" s="19"/>
      <c r="AG123" s="19"/>
      <c r="AH123" s="19"/>
    </row>
    <row r="124" spans="7:34" ht="16" x14ac:dyDescent="0.2">
      <c r="G124" s="60"/>
      <c r="H124" s="61"/>
      <c r="I124" s="61"/>
      <c r="J124" s="61"/>
      <c r="K124" s="61"/>
      <c r="L124" s="61"/>
      <c r="M124" s="61"/>
      <c r="N124" s="61"/>
      <c r="O124" s="61"/>
      <c r="P124" s="61"/>
      <c r="Q124" s="61"/>
      <c r="R124" s="61"/>
      <c r="S124" s="61"/>
      <c r="T124" s="62"/>
      <c r="U124" s="61"/>
      <c r="V124" s="61"/>
      <c r="W124" s="61"/>
      <c r="X124" s="61"/>
      <c r="Y124" s="63"/>
      <c r="Z124" s="28"/>
      <c r="AA124" s="19"/>
      <c r="AB124" s="19"/>
      <c r="AC124" s="19"/>
      <c r="AD124" s="19"/>
      <c r="AE124" s="19"/>
      <c r="AF124" s="19"/>
      <c r="AG124" s="19"/>
      <c r="AH124" s="19"/>
    </row>
    <row r="125" spans="7:34" ht="16" x14ac:dyDescent="0.2">
      <c r="G125" s="245" t="s">
        <v>41</v>
      </c>
      <c r="H125" s="246"/>
      <c r="I125" s="246"/>
      <c r="J125" s="246"/>
      <c r="K125" s="246"/>
      <c r="L125" s="246"/>
      <c r="M125" s="246"/>
      <c r="N125" s="246"/>
      <c r="O125" s="246"/>
      <c r="P125" s="246"/>
      <c r="Q125" s="246"/>
      <c r="R125" s="246"/>
      <c r="S125" s="246"/>
      <c r="T125" s="246"/>
      <c r="U125" s="246"/>
      <c r="V125" s="246"/>
      <c r="W125" s="246"/>
      <c r="X125" s="246"/>
      <c r="Y125" s="247"/>
      <c r="Z125" s="28"/>
      <c r="AA125" s="19"/>
      <c r="AB125" s="19"/>
      <c r="AC125" s="19"/>
      <c r="AD125" s="19"/>
      <c r="AE125" s="19"/>
      <c r="AF125" s="19"/>
      <c r="AG125" s="19"/>
      <c r="AH125" s="19"/>
    </row>
    <row r="126" spans="7:34" ht="16" x14ac:dyDescent="0.2">
      <c r="G126" s="64"/>
      <c r="H126" s="28"/>
      <c r="I126" s="244" t="s">
        <v>43</v>
      </c>
      <c r="J126" s="244"/>
      <c r="K126" s="244"/>
      <c r="L126" s="244"/>
      <c r="M126" s="244"/>
      <c r="N126" s="244"/>
      <c r="O126" s="244"/>
      <c r="P126" s="244"/>
      <c r="Q126" s="244"/>
      <c r="R126" s="244"/>
      <c r="S126" s="244"/>
      <c r="T126" s="244"/>
      <c r="U126" s="244"/>
      <c r="V126" s="244"/>
      <c r="W126" s="28"/>
      <c r="X126" s="28"/>
      <c r="Y126" s="65"/>
      <c r="Z126" s="19"/>
      <c r="AA126" s="19"/>
      <c r="AB126" s="19"/>
      <c r="AC126" s="19"/>
      <c r="AD126" s="19"/>
      <c r="AE126" s="19"/>
      <c r="AF126" s="19"/>
      <c r="AG126" s="19"/>
      <c r="AH126" s="19"/>
    </row>
    <row r="127" spans="7:34" ht="19" x14ac:dyDescent="0.3">
      <c r="G127" s="64"/>
      <c r="H127" s="28"/>
      <c r="I127" s="28"/>
      <c r="J127" s="28"/>
      <c r="K127" s="248" t="s">
        <v>40</v>
      </c>
      <c r="L127" s="269"/>
      <c r="M127" s="269"/>
      <c r="N127" s="269"/>
      <c r="O127" s="269"/>
      <c r="P127" s="269"/>
      <c r="Q127" s="269"/>
      <c r="R127" s="269"/>
      <c r="S127" s="269"/>
      <c r="T127" s="269"/>
      <c r="U127" s="269"/>
      <c r="V127" s="28"/>
      <c r="W127" s="28"/>
      <c r="X127" s="28"/>
      <c r="Y127" s="65"/>
      <c r="Z127" s="19"/>
      <c r="AA127" s="19"/>
      <c r="AB127" s="19"/>
      <c r="AC127" s="19"/>
      <c r="AD127" s="19"/>
      <c r="AE127" s="19"/>
      <c r="AF127" s="19"/>
      <c r="AG127" s="19"/>
      <c r="AH127" s="19"/>
    </row>
    <row r="128" spans="7:34" ht="16" customHeight="1" x14ac:dyDescent="0.2">
      <c r="G128" s="64"/>
      <c r="H128" s="28"/>
      <c r="I128" s="309" t="s">
        <v>42</v>
      </c>
      <c r="J128" s="310"/>
      <c r="K128" s="310"/>
      <c r="L128" s="310"/>
      <c r="M128" s="310"/>
      <c r="N128" s="310"/>
      <c r="O128" s="310"/>
      <c r="P128" s="310"/>
      <c r="Q128" s="310"/>
      <c r="R128" s="310"/>
      <c r="S128" s="310"/>
      <c r="T128" s="310"/>
      <c r="U128" s="310"/>
      <c r="V128" s="310"/>
      <c r="W128" s="28"/>
      <c r="X128" s="28"/>
      <c r="Y128" s="65"/>
      <c r="Z128" s="19"/>
      <c r="AA128" s="19"/>
      <c r="AB128" s="19"/>
      <c r="AC128" s="19"/>
      <c r="AD128" s="19"/>
      <c r="AE128" s="19"/>
      <c r="AF128" s="19"/>
      <c r="AG128" s="19"/>
      <c r="AH128" s="19"/>
    </row>
    <row r="129" spans="7:34" ht="16" x14ac:dyDescent="0.2">
      <c r="G129" s="64"/>
      <c r="H129" s="28"/>
      <c r="I129" s="28"/>
      <c r="J129" s="28"/>
      <c r="K129" s="18"/>
      <c r="L129" s="47"/>
      <c r="M129" s="47"/>
      <c r="N129" s="47"/>
      <c r="O129" s="47"/>
      <c r="P129" s="47"/>
      <c r="Q129" s="47"/>
      <c r="R129" s="47"/>
      <c r="S129" s="47"/>
      <c r="T129" s="47"/>
      <c r="U129" s="47"/>
      <c r="V129" s="28"/>
      <c r="W129" s="28"/>
      <c r="X129" s="28"/>
      <c r="Y129" s="65"/>
      <c r="Z129" s="19"/>
      <c r="AA129" s="19"/>
      <c r="AB129" s="19"/>
      <c r="AC129" s="19"/>
      <c r="AD129" s="19"/>
      <c r="AE129" s="19"/>
      <c r="AF129" s="19"/>
      <c r="AG129" s="19"/>
      <c r="AH129" s="19"/>
    </row>
    <row r="130" spans="7:34" ht="20" thickBot="1" x14ac:dyDescent="0.35">
      <c r="G130" s="64"/>
      <c r="H130" s="28"/>
      <c r="I130" s="28"/>
      <c r="J130" s="28"/>
      <c r="K130" s="28"/>
      <c r="L130" s="28"/>
      <c r="M130" s="28"/>
      <c r="N130" s="28"/>
      <c r="O130" s="41" t="s">
        <v>19</v>
      </c>
      <c r="P130" s="28"/>
      <c r="Q130" s="41" t="s">
        <v>20</v>
      </c>
      <c r="R130" s="42"/>
      <c r="S130" s="28"/>
      <c r="T130" s="28"/>
      <c r="U130" s="28"/>
      <c r="V130" s="28"/>
      <c r="W130" s="28"/>
      <c r="X130" s="28"/>
      <c r="Y130" s="65"/>
      <c r="Z130" s="19"/>
      <c r="AA130" s="19"/>
      <c r="AB130" s="19"/>
      <c r="AC130" s="19"/>
      <c r="AD130" s="19"/>
      <c r="AE130" s="19"/>
      <c r="AF130" s="19"/>
      <c r="AG130" s="19"/>
      <c r="AH130" s="19"/>
    </row>
    <row r="131" spans="7:34" ht="20" thickTop="1" x14ac:dyDescent="0.3">
      <c r="G131" s="64"/>
      <c r="H131" s="28"/>
      <c r="I131" s="28"/>
      <c r="J131" s="28"/>
      <c r="K131" s="28"/>
      <c r="L131" s="28"/>
      <c r="M131" s="28"/>
      <c r="N131" s="28"/>
      <c r="O131" s="43" t="s">
        <v>0</v>
      </c>
      <c r="P131" s="44" t="s">
        <v>0</v>
      </c>
      <c r="Q131" s="43" t="s">
        <v>0</v>
      </c>
      <c r="R131" s="28"/>
      <c r="S131" s="256" t="s">
        <v>25</v>
      </c>
      <c r="T131" s="257"/>
      <c r="U131" s="257"/>
      <c r="V131" s="257"/>
      <c r="W131" s="258"/>
      <c r="X131" s="28"/>
      <c r="Y131" s="65"/>
      <c r="Z131" s="19"/>
      <c r="AA131" s="19"/>
      <c r="AB131" s="19"/>
      <c r="AC131" s="19"/>
      <c r="AD131" s="19"/>
      <c r="AE131" s="19"/>
      <c r="AF131" s="19"/>
      <c r="AG131" s="19"/>
      <c r="AH131" s="19"/>
    </row>
    <row r="132" spans="7:34" ht="19" x14ac:dyDescent="0.3">
      <c r="G132" s="64"/>
      <c r="H132" s="28"/>
      <c r="I132" s="250" t="s">
        <v>0</v>
      </c>
      <c r="J132" s="251"/>
      <c r="K132" s="251"/>
      <c r="L132" s="251"/>
      <c r="M132" s="251"/>
      <c r="N132" s="28"/>
      <c r="O132" s="50"/>
      <c r="P132" s="44" t="s">
        <v>0</v>
      </c>
      <c r="Q132" s="34"/>
      <c r="R132" s="28"/>
      <c r="S132" s="259" t="s">
        <v>24</v>
      </c>
      <c r="T132" s="251"/>
      <c r="U132" s="251"/>
      <c r="V132" s="251"/>
      <c r="W132" s="260"/>
      <c r="X132" s="28"/>
      <c r="Y132" s="65"/>
      <c r="Z132" s="19"/>
      <c r="AA132" s="19"/>
      <c r="AB132" s="19"/>
      <c r="AC132" s="19"/>
      <c r="AD132" s="19"/>
      <c r="AE132" s="19"/>
      <c r="AF132" s="19"/>
      <c r="AG132" s="19"/>
      <c r="AH132" s="19"/>
    </row>
    <row r="133" spans="7:34" ht="16" x14ac:dyDescent="0.2">
      <c r="G133" s="64"/>
      <c r="H133" s="28"/>
      <c r="I133" s="252" t="str">
        <f t="shared" ref="I133:I141" si="4">I109</f>
        <v>Compte CC — Système</v>
      </c>
      <c r="J133" s="253"/>
      <c r="K133" s="253"/>
      <c r="L133" s="253"/>
      <c r="M133" s="253"/>
      <c r="N133" s="253"/>
      <c r="O133" s="50">
        <f t="shared" ref="O133:O139" si="5">O109</f>
        <v>0</v>
      </c>
      <c r="P133" s="44" t="s">
        <v>0</v>
      </c>
      <c r="Q133" s="34">
        <f>Q109</f>
        <v>0</v>
      </c>
      <c r="R133" s="28"/>
      <c r="S133" s="265" t="str">
        <f t="shared" ref="S133:S141" si="6">AB109</f>
        <v>Compte CC — Système</v>
      </c>
      <c r="T133" s="264"/>
      <c r="U133" s="264"/>
      <c r="V133" s="236"/>
      <c r="W133" s="74">
        <f t="shared" ref="W133:W138" si="7">O133</f>
        <v>0</v>
      </c>
      <c r="X133" s="28"/>
      <c r="Y133" s="65"/>
      <c r="Z133" s="19"/>
      <c r="AA133" s="19"/>
      <c r="AB133" s="19"/>
      <c r="AC133" s="19"/>
      <c r="AD133" s="19"/>
      <c r="AE133" s="19"/>
      <c r="AF133" s="19"/>
      <c r="AG133" s="19"/>
      <c r="AH133" s="19"/>
    </row>
    <row r="134" spans="7:34" ht="19" x14ac:dyDescent="0.3">
      <c r="G134" s="64"/>
      <c r="H134" s="28"/>
      <c r="I134" s="261" t="str">
        <f t="shared" si="4"/>
        <v>Revenus nourritures</v>
      </c>
      <c r="J134" s="253"/>
      <c r="K134" s="253"/>
      <c r="L134" s="253"/>
      <c r="M134" s="253"/>
      <c r="N134" s="253"/>
      <c r="O134" s="50">
        <f t="shared" si="5"/>
        <v>0</v>
      </c>
      <c r="P134" s="44" t="s">
        <v>0</v>
      </c>
      <c r="Q134" s="34">
        <f>Q110</f>
        <v>0</v>
      </c>
      <c r="R134" s="28"/>
      <c r="S134" s="265" t="str">
        <f t="shared" si="6"/>
        <v>Revenus nourritures</v>
      </c>
      <c r="T134" s="264"/>
      <c r="U134" s="264"/>
      <c r="V134" s="236"/>
      <c r="W134" s="74">
        <f t="shared" si="7"/>
        <v>0</v>
      </c>
      <c r="X134" s="28"/>
      <c r="Y134" s="65"/>
      <c r="Z134" s="19"/>
      <c r="AA134" s="19"/>
      <c r="AB134" s="19"/>
      <c r="AC134" s="19"/>
      <c r="AD134" s="19"/>
      <c r="AE134" s="19"/>
      <c r="AF134" s="19"/>
      <c r="AG134" s="19"/>
      <c r="AH134" s="19"/>
    </row>
    <row r="135" spans="7:34" ht="18" x14ac:dyDescent="0.3">
      <c r="G135" s="64"/>
      <c r="H135" s="28"/>
      <c r="I135" s="313" t="str">
        <f t="shared" si="4"/>
        <v>Revenus boissons</v>
      </c>
      <c r="J135" s="239"/>
      <c r="K135" s="239"/>
      <c r="L135" s="239"/>
      <c r="M135" s="239"/>
      <c r="N135" s="239"/>
      <c r="O135" s="50">
        <f t="shared" si="5"/>
        <v>0</v>
      </c>
      <c r="P135" s="44"/>
      <c r="Q135" s="34">
        <v>0</v>
      </c>
      <c r="R135" s="28"/>
      <c r="S135" s="265" t="str">
        <f t="shared" si="6"/>
        <v>Revenus boissons</v>
      </c>
      <c r="T135" s="236"/>
      <c r="U135" s="236"/>
      <c r="V135" s="236"/>
      <c r="W135" s="74">
        <f t="shared" si="7"/>
        <v>0</v>
      </c>
      <c r="X135" s="28"/>
      <c r="Y135" s="65"/>
      <c r="Z135" s="19"/>
      <c r="AA135" s="19"/>
      <c r="AB135" s="19"/>
      <c r="AC135" s="19"/>
      <c r="AD135" s="19"/>
      <c r="AE135" s="19"/>
      <c r="AF135" s="19"/>
      <c r="AG135" s="19"/>
      <c r="AH135" s="19"/>
    </row>
    <row r="136" spans="7:34" ht="19" x14ac:dyDescent="0.3">
      <c r="G136" s="64"/>
      <c r="H136" s="28"/>
      <c r="I136" s="261" t="str">
        <f t="shared" si="4"/>
        <v>TPS à remettre</v>
      </c>
      <c r="J136" s="253"/>
      <c r="K136" s="253"/>
      <c r="L136" s="253"/>
      <c r="M136" s="253"/>
      <c r="N136" s="253"/>
      <c r="O136" s="50">
        <f t="shared" si="5"/>
        <v>0</v>
      </c>
      <c r="P136" s="44">
        <v>610</v>
      </c>
      <c r="Q136" s="34">
        <f t="shared" ref="Q136:Q141" si="8">Q112</f>
        <v>0</v>
      </c>
      <c r="R136" s="41" t="s">
        <v>33</v>
      </c>
      <c r="S136" s="266" t="str">
        <f t="shared" si="6"/>
        <v>TPS à remettre</v>
      </c>
      <c r="T136" s="264"/>
      <c r="U136" s="264"/>
      <c r="V136" s="236"/>
      <c r="W136" s="74">
        <f t="shared" si="7"/>
        <v>0</v>
      </c>
      <c r="X136" s="28"/>
      <c r="Y136" s="65"/>
      <c r="Z136" s="19"/>
      <c r="AA136" s="19"/>
      <c r="AB136" s="19"/>
      <c r="AC136" s="19"/>
      <c r="AD136" s="19"/>
      <c r="AE136" s="19"/>
      <c r="AF136" s="19"/>
      <c r="AG136" s="19"/>
      <c r="AH136" s="19"/>
    </row>
    <row r="137" spans="7:34" ht="19" x14ac:dyDescent="0.3">
      <c r="G137" s="64"/>
      <c r="H137" s="28"/>
      <c r="I137" s="262" t="str">
        <f t="shared" si="4"/>
        <v>TVQ à remettre</v>
      </c>
      <c r="J137" s="253"/>
      <c r="K137" s="253"/>
      <c r="L137" s="253"/>
      <c r="M137" s="253"/>
      <c r="N137" s="253"/>
      <c r="O137" s="50">
        <f t="shared" si="5"/>
        <v>0</v>
      </c>
      <c r="P137" s="44" t="s">
        <v>0</v>
      </c>
      <c r="Q137" s="34">
        <f t="shared" si="8"/>
        <v>0</v>
      </c>
      <c r="R137" s="28"/>
      <c r="S137" s="266" t="str">
        <f t="shared" si="6"/>
        <v>TVQ à remettre</v>
      </c>
      <c r="T137" s="264"/>
      <c r="U137" s="264"/>
      <c r="V137" s="236"/>
      <c r="W137" s="74">
        <f t="shared" si="7"/>
        <v>0</v>
      </c>
      <c r="X137" s="28"/>
      <c r="Y137" s="65"/>
      <c r="Z137" s="19"/>
      <c r="AA137" s="19"/>
      <c r="AB137" s="19"/>
      <c r="AC137" s="19"/>
      <c r="AD137" s="19"/>
      <c r="AE137" s="19"/>
      <c r="AF137" s="19"/>
      <c r="AG137" s="19"/>
      <c r="AH137" s="19"/>
    </row>
    <row r="138" spans="7:34" ht="19" x14ac:dyDescent="0.3">
      <c r="G138" s="64"/>
      <c r="H138" s="28"/>
      <c r="I138" s="262" t="str">
        <f t="shared" si="4"/>
        <v>Pourboire / frais de service à remettre</v>
      </c>
      <c r="J138" s="253"/>
      <c r="K138" s="253"/>
      <c r="L138" s="253"/>
      <c r="M138" s="253"/>
      <c r="N138" s="253"/>
      <c r="O138" s="50">
        <f t="shared" si="5"/>
        <v>0</v>
      </c>
      <c r="P138" s="44" t="s">
        <v>0</v>
      </c>
      <c r="Q138" s="34">
        <f t="shared" si="8"/>
        <v>0</v>
      </c>
      <c r="R138" s="28"/>
      <c r="S138" s="263" t="str">
        <f t="shared" si="6"/>
        <v>Pourboire / frais de service à remettre</v>
      </c>
      <c r="T138" s="264"/>
      <c r="U138" s="264"/>
      <c r="V138" s="236"/>
      <c r="W138" s="74">
        <f t="shared" si="7"/>
        <v>0</v>
      </c>
      <c r="X138" s="28"/>
      <c r="Y138" s="65"/>
      <c r="Z138" s="19"/>
      <c r="AA138" s="19"/>
      <c r="AB138" s="19"/>
      <c r="AC138" s="19"/>
      <c r="AD138" s="19"/>
      <c r="AE138" s="19"/>
      <c r="AF138" s="19"/>
      <c r="AG138" s="19"/>
      <c r="AH138" s="19"/>
    </row>
    <row r="139" spans="7:34" ht="19" x14ac:dyDescent="0.3">
      <c r="G139" s="64"/>
      <c r="H139" s="28"/>
      <c r="I139" s="262" t="str">
        <f t="shared" si="4"/>
        <v>Cash</v>
      </c>
      <c r="J139" s="253"/>
      <c r="K139" s="253"/>
      <c r="L139" s="253"/>
      <c r="M139" s="253"/>
      <c r="N139" s="253"/>
      <c r="O139" s="50">
        <f t="shared" si="5"/>
        <v>0</v>
      </c>
      <c r="P139" s="44" t="s">
        <v>0</v>
      </c>
      <c r="Q139" s="34">
        <f t="shared" si="8"/>
        <v>0</v>
      </c>
      <c r="R139" s="28"/>
      <c r="S139" s="263" t="str">
        <f t="shared" si="6"/>
        <v>Cash</v>
      </c>
      <c r="T139" s="264"/>
      <c r="U139" s="264"/>
      <c r="V139" s="236"/>
      <c r="W139" s="74">
        <f>Q139</f>
        <v>0</v>
      </c>
      <c r="X139" s="28"/>
      <c r="Y139" s="65"/>
      <c r="Z139" s="19"/>
      <c r="AA139" s="19"/>
      <c r="AB139" s="19"/>
      <c r="AC139" s="19"/>
      <c r="AD139" s="19"/>
      <c r="AE139" s="19"/>
      <c r="AF139" s="19"/>
      <c r="AG139" s="19"/>
      <c r="AH139" s="19"/>
    </row>
    <row r="140" spans="7:34" ht="19" x14ac:dyDescent="0.3">
      <c r="G140" s="64"/>
      <c r="H140" s="28"/>
      <c r="I140" s="262" t="str">
        <f t="shared" si="4"/>
        <v>Mastercard</v>
      </c>
      <c r="J140" s="253"/>
      <c r="K140" s="253"/>
      <c r="L140" s="253"/>
      <c r="M140" s="253"/>
      <c r="N140" s="253"/>
      <c r="O140" s="50">
        <f>O117</f>
        <v>0</v>
      </c>
      <c r="P140" s="44" t="s">
        <v>0</v>
      </c>
      <c r="Q140" s="34">
        <f t="shared" si="8"/>
        <v>0</v>
      </c>
      <c r="R140" s="28"/>
      <c r="S140" s="263" t="str">
        <f t="shared" si="6"/>
        <v>Mastercard</v>
      </c>
      <c r="T140" s="264"/>
      <c r="U140" s="264"/>
      <c r="V140" s="236"/>
      <c r="W140" s="74">
        <f>Q140</f>
        <v>0</v>
      </c>
      <c r="X140" s="28"/>
      <c r="Y140" s="65"/>
      <c r="Z140" s="19"/>
      <c r="AA140" s="19"/>
      <c r="AB140" s="19"/>
      <c r="AC140" s="19"/>
      <c r="AD140" s="19"/>
      <c r="AE140" s="19"/>
      <c r="AF140" s="19"/>
      <c r="AG140" s="19"/>
      <c r="AH140" s="19"/>
    </row>
    <row r="141" spans="7:34" ht="20" thickBot="1" x14ac:dyDescent="0.35">
      <c r="G141" s="64"/>
      <c r="H141" s="28"/>
      <c r="I141" s="262" t="str">
        <f t="shared" si="4"/>
        <v>CC - Transfert à la comptabilité</v>
      </c>
      <c r="J141" s="253"/>
      <c r="K141" s="253"/>
      <c r="L141" s="253"/>
      <c r="M141" s="253"/>
      <c r="N141" s="253"/>
      <c r="O141" s="50">
        <f>O117</f>
        <v>0</v>
      </c>
      <c r="P141" s="44"/>
      <c r="Q141" s="34">
        <f t="shared" si="8"/>
        <v>0</v>
      </c>
      <c r="R141" s="28"/>
      <c r="S141" s="322" t="str">
        <f t="shared" si="6"/>
        <v>CC - Transfert à la comptabilité</v>
      </c>
      <c r="T141" s="323"/>
      <c r="U141" s="323"/>
      <c r="V141" s="324"/>
      <c r="W141" s="75">
        <f>Q141</f>
        <v>0</v>
      </c>
      <c r="X141" s="28"/>
      <c r="Y141" s="65"/>
      <c r="Z141" s="19"/>
      <c r="AA141" s="19"/>
      <c r="AB141" s="19"/>
      <c r="AC141" s="19"/>
      <c r="AD141" s="19"/>
      <c r="AE141" s="19"/>
      <c r="AF141" s="19"/>
      <c r="AG141" s="19"/>
      <c r="AH141" s="19"/>
    </row>
    <row r="142" spans="7:34" ht="17" thickTop="1" x14ac:dyDescent="0.2">
      <c r="G142" s="64"/>
      <c r="H142" s="28"/>
      <c r="I142" s="28"/>
      <c r="J142" s="28"/>
      <c r="K142" s="28"/>
      <c r="L142" s="28"/>
      <c r="M142" s="28"/>
      <c r="N142" s="28"/>
      <c r="O142" s="52" t="s">
        <v>0</v>
      </c>
      <c r="P142" s="44"/>
      <c r="Q142" s="34" t="s">
        <v>0</v>
      </c>
      <c r="R142" s="28"/>
      <c r="S142" s="28"/>
      <c r="T142" s="28"/>
      <c r="U142" s="28"/>
      <c r="V142" s="28"/>
      <c r="W142" s="28"/>
      <c r="X142" s="28"/>
      <c r="Y142" s="65"/>
      <c r="Z142" s="19"/>
      <c r="AA142" s="19"/>
      <c r="AB142" s="19"/>
      <c r="AC142" s="19"/>
      <c r="AD142" s="19"/>
      <c r="AE142" s="19"/>
      <c r="AF142" s="19"/>
      <c r="AG142" s="19"/>
      <c r="AH142" s="19"/>
    </row>
    <row r="143" spans="7:34" ht="19" x14ac:dyDescent="0.35">
      <c r="G143" s="64"/>
      <c r="H143" s="28"/>
      <c r="I143" s="28"/>
      <c r="J143" s="28"/>
      <c r="K143" s="28"/>
      <c r="L143" s="28"/>
      <c r="M143" s="28"/>
      <c r="N143" s="28"/>
      <c r="O143" s="66">
        <f>SUM(O133:O141)</f>
        <v>0</v>
      </c>
      <c r="P143" s="44"/>
      <c r="Q143" s="31">
        <f>SUM(Q133:Q141)</f>
        <v>0</v>
      </c>
      <c r="R143" s="28"/>
      <c r="S143" s="28"/>
      <c r="T143" s="28"/>
      <c r="U143" s="28"/>
      <c r="V143" s="28"/>
      <c r="W143" s="28"/>
      <c r="X143" s="28"/>
      <c r="Y143" s="65"/>
      <c r="Z143" s="19"/>
      <c r="AA143" s="19"/>
      <c r="AB143" s="19"/>
      <c r="AC143" s="19"/>
      <c r="AD143" s="19"/>
      <c r="AE143" s="19"/>
      <c r="AF143" s="19"/>
      <c r="AG143" s="19"/>
      <c r="AH143" s="19"/>
    </row>
    <row r="144" spans="7:34" ht="16" x14ac:dyDescent="0.2">
      <c r="G144" s="64"/>
      <c r="H144" s="28"/>
      <c r="I144" s="28"/>
      <c r="J144" s="28"/>
      <c r="K144" s="28"/>
      <c r="L144" s="28"/>
      <c r="M144" s="28"/>
      <c r="N144" s="28"/>
      <c r="O144" s="28"/>
      <c r="P144" s="44"/>
      <c r="Q144" s="28"/>
      <c r="R144" s="28"/>
      <c r="S144" s="28"/>
      <c r="T144" s="28"/>
      <c r="U144" s="28"/>
      <c r="V144" s="28"/>
      <c r="W144" s="28"/>
      <c r="X144" s="28"/>
      <c r="Y144" s="65"/>
      <c r="Z144" s="19"/>
      <c r="AA144" s="19"/>
      <c r="AB144" s="19"/>
      <c r="AC144" s="19"/>
      <c r="AD144" s="19"/>
      <c r="AE144" s="19"/>
      <c r="AF144" s="19"/>
      <c r="AG144" s="19"/>
      <c r="AH144" s="19"/>
    </row>
    <row r="145" spans="7:34" ht="16" x14ac:dyDescent="0.2">
      <c r="G145" s="64"/>
      <c r="H145" s="28"/>
      <c r="I145" s="28"/>
      <c r="J145" s="28"/>
      <c r="K145" s="28"/>
      <c r="L145" s="28"/>
      <c r="M145" s="28"/>
      <c r="N145" s="28"/>
      <c r="O145" s="28"/>
      <c r="P145" s="28"/>
      <c r="Q145" s="28"/>
      <c r="R145" s="28"/>
      <c r="S145" s="28"/>
      <c r="T145" s="28"/>
      <c r="U145" s="28"/>
      <c r="V145" s="28"/>
      <c r="W145" s="28"/>
      <c r="X145" s="28"/>
      <c r="Y145" s="65"/>
      <c r="Z145" s="19"/>
      <c r="AA145" s="19"/>
      <c r="AB145" s="19"/>
      <c r="AC145" s="19"/>
      <c r="AD145" s="19"/>
      <c r="AE145" s="19"/>
      <c r="AF145" s="19"/>
      <c r="AG145" s="19"/>
      <c r="AH145" s="19"/>
    </row>
    <row r="146" spans="7:34" ht="16" x14ac:dyDescent="0.2">
      <c r="G146" s="64"/>
      <c r="H146" s="28"/>
      <c r="I146" s="28"/>
      <c r="J146" s="28"/>
      <c r="K146" s="28"/>
      <c r="L146" s="28"/>
      <c r="M146" s="28"/>
      <c r="N146" s="28"/>
      <c r="O146" s="28"/>
      <c r="P146" s="28"/>
      <c r="Q146" s="28"/>
      <c r="R146" s="28"/>
      <c r="S146" s="28"/>
      <c r="T146" s="28"/>
      <c r="U146" s="28"/>
      <c r="V146" s="28"/>
      <c r="W146" s="28"/>
      <c r="X146" s="28"/>
      <c r="Y146" s="65"/>
      <c r="Z146" s="19"/>
      <c r="AA146" s="19"/>
      <c r="AB146" s="19"/>
      <c r="AC146" s="19"/>
      <c r="AD146" s="19"/>
      <c r="AE146" s="19"/>
      <c r="AF146" s="19"/>
      <c r="AG146" s="19"/>
      <c r="AH146" s="19"/>
    </row>
    <row r="147" spans="7:34" ht="16" x14ac:dyDescent="0.2">
      <c r="G147" s="64"/>
      <c r="H147" s="28"/>
      <c r="I147" s="28"/>
      <c r="J147" s="28"/>
      <c r="K147" s="28"/>
      <c r="L147" s="28"/>
      <c r="M147" s="28"/>
      <c r="N147" s="28"/>
      <c r="O147" s="28"/>
      <c r="P147" s="28"/>
      <c r="Q147" s="28"/>
      <c r="R147" s="28"/>
      <c r="S147" s="28"/>
      <c r="T147" s="28"/>
      <c r="U147" s="28"/>
      <c r="V147" s="28"/>
      <c r="W147" s="28"/>
      <c r="X147" s="28"/>
      <c r="Y147" s="65"/>
      <c r="Z147" s="19"/>
      <c r="AA147" s="19"/>
      <c r="AB147" s="19"/>
      <c r="AC147" s="19"/>
      <c r="AD147" s="19"/>
      <c r="AE147" s="19"/>
      <c r="AF147" s="19"/>
      <c r="AG147" s="19"/>
      <c r="AH147" s="19"/>
    </row>
    <row r="148" spans="7:34" ht="19" x14ac:dyDescent="0.3">
      <c r="G148" s="64"/>
      <c r="H148" s="28"/>
      <c r="I148" s="28"/>
      <c r="J148" s="28"/>
      <c r="K148" s="254" t="s">
        <v>47</v>
      </c>
      <c r="L148" s="255"/>
      <c r="M148" s="255"/>
      <c r="N148" s="255"/>
      <c r="O148" s="255"/>
      <c r="P148" s="255"/>
      <c r="Q148" s="255"/>
      <c r="R148" s="255"/>
      <c r="S148" s="255"/>
      <c r="T148" s="255"/>
      <c r="U148" s="255"/>
      <c r="V148" s="28"/>
      <c r="W148" s="28"/>
      <c r="X148" s="28"/>
      <c r="Y148" s="65"/>
      <c r="Z148" s="19"/>
      <c r="AA148" s="19"/>
      <c r="AB148" s="19"/>
      <c r="AC148" s="19"/>
      <c r="AD148" s="19"/>
      <c r="AE148" s="19"/>
      <c r="AF148" s="19"/>
      <c r="AG148" s="19"/>
      <c r="AH148" s="19"/>
    </row>
    <row r="149" spans="7:34" ht="19" x14ac:dyDescent="0.3">
      <c r="G149" s="64"/>
      <c r="H149" s="28"/>
      <c r="I149" s="28"/>
      <c r="J149" s="28"/>
      <c r="K149" s="28"/>
      <c r="L149" s="28"/>
      <c r="M149" s="28"/>
      <c r="N149" s="28"/>
      <c r="O149" s="41" t="s">
        <v>19</v>
      </c>
      <c r="P149" s="28"/>
      <c r="Q149" s="41" t="s">
        <v>20</v>
      </c>
      <c r="R149" s="42"/>
      <c r="S149" s="28"/>
      <c r="T149" s="28"/>
      <c r="U149" s="28"/>
      <c r="V149" s="28"/>
      <c r="W149" s="28"/>
      <c r="X149" s="28"/>
      <c r="Y149" s="65"/>
      <c r="Z149" s="19"/>
      <c r="AA149" s="19"/>
      <c r="AB149" s="19"/>
      <c r="AC149" s="19"/>
      <c r="AD149" s="19"/>
      <c r="AE149" s="19"/>
      <c r="AF149" s="19"/>
      <c r="AG149" s="19"/>
      <c r="AH149" s="19"/>
    </row>
    <row r="150" spans="7:34" ht="16" x14ac:dyDescent="0.2">
      <c r="G150" s="64"/>
      <c r="H150" s="28"/>
      <c r="I150" s="28"/>
      <c r="J150" s="28"/>
      <c r="K150" s="28"/>
      <c r="L150" s="28"/>
      <c r="M150" s="28"/>
      <c r="N150" s="28"/>
      <c r="O150" s="43" t="s">
        <v>0</v>
      </c>
      <c r="P150" s="44" t="s">
        <v>0</v>
      </c>
      <c r="Q150" s="43" t="s">
        <v>0</v>
      </c>
      <c r="R150" s="28"/>
      <c r="S150" s="28"/>
      <c r="T150" s="28"/>
      <c r="U150" s="28"/>
      <c r="V150" s="28"/>
      <c r="W150" s="28"/>
      <c r="X150" s="28"/>
      <c r="Y150" s="65"/>
      <c r="Z150" s="19"/>
      <c r="AA150" s="19"/>
      <c r="AB150" s="19"/>
      <c r="AC150" s="19"/>
      <c r="AD150" s="19"/>
      <c r="AE150" s="19"/>
      <c r="AF150" s="19"/>
      <c r="AG150" s="19"/>
      <c r="AH150" s="19"/>
    </row>
    <row r="151" spans="7:34" ht="19" x14ac:dyDescent="0.3">
      <c r="G151" s="64"/>
      <c r="H151" s="28"/>
      <c r="I151" s="250" t="s">
        <v>0</v>
      </c>
      <c r="J151" s="251"/>
      <c r="K151" s="251"/>
      <c r="L151" s="251"/>
      <c r="M151" s="251"/>
      <c r="N151" s="28"/>
      <c r="O151" s="50"/>
      <c r="P151" s="44" t="s">
        <v>0</v>
      </c>
      <c r="Q151" s="34"/>
      <c r="R151" s="28"/>
      <c r="S151" s="28"/>
      <c r="T151" s="28"/>
      <c r="U151" s="28"/>
      <c r="V151" s="28"/>
      <c r="W151" s="28"/>
      <c r="X151" s="28"/>
      <c r="Y151" s="65"/>
      <c r="Z151" s="19"/>
      <c r="AA151" s="19"/>
      <c r="AB151" s="19"/>
      <c r="AC151" s="19"/>
      <c r="AD151" s="19"/>
      <c r="AE151" s="19"/>
      <c r="AF151" s="19"/>
      <c r="AG151" s="19"/>
      <c r="AH151" s="19"/>
    </row>
    <row r="152" spans="7:34" ht="16" x14ac:dyDescent="0.2">
      <c r="G152" s="64"/>
      <c r="H152" s="28"/>
      <c r="I152" s="252" t="str">
        <f>I133</f>
        <v>Compte CC — Système</v>
      </c>
      <c r="J152" s="253"/>
      <c r="K152" s="253"/>
      <c r="L152" s="253"/>
      <c r="M152" s="253"/>
      <c r="N152" s="253"/>
      <c r="O152" s="50">
        <f>O133</f>
        <v>0</v>
      </c>
      <c r="P152" s="44" t="s">
        <v>0</v>
      </c>
      <c r="Q152" s="34">
        <f>Q133</f>
        <v>0</v>
      </c>
      <c r="R152" s="28"/>
      <c r="S152" s="28"/>
      <c r="T152" s="28"/>
      <c r="U152" s="28"/>
      <c r="V152" s="28"/>
      <c r="W152" s="28"/>
      <c r="X152" s="28"/>
      <c r="Y152" s="65"/>
      <c r="Z152" s="19"/>
      <c r="AA152" s="19"/>
      <c r="AB152" s="19"/>
      <c r="AC152" s="19"/>
      <c r="AD152" s="19"/>
      <c r="AE152" s="19"/>
      <c r="AF152" s="19"/>
      <c r="AG152" s="19"/>
      <c r="AH152" s="19"/>
    </row>
    <row r="153" spans="7:34" ht="19" x14ac:dyDescent="0.3">
      <c r="G153" s="64"/>
      <c r="H153" s="28"/>
      <c r="I153" s="261" t="str">
        <f>I134</f>
        <v>Revenus nourritures</v>
      </c>
      <c r="J153" s="253"/>
      <c r="K153" s="253"/>
      <c r="L153" s="253"/>
      <c r="M153" s="253"/>
      <c r="N153" s="253"/>
      <c r="O153" s="50" t="s">
        <v>0</v>
      </c>
      <c r="P153" s="44" t="s">
        <v>0</v>
      </c>
      <c r="Q153" s="34">
        <f>O134</f>
        <v>0</v>
      </c>
      <c r="R153" s="28"/>
      <c r="S153" s="28"/>
      <c r="T153" s="28"/>
      <c r="U153" s="28"/>
      <c r="V153" s="28"/>
      <c r="W153" s="28"/>
      <c r="X153" s="28"/>
      <c r="Y153" s="65"/>
      <c r="Z153" s="19"/>
      <c r="AA153" s="19"/>
      <c r="AB153" s="19"/>
      <c r="AC153" s="19"/>
      <c r="AD153" s="19"/>
      <c r="AE153" s="19"/>
      <c r="AF153" s="19"/>
      <c r="AG153" s="19"/>
      <c r="AH153" s="19"/>
    </row>
    <row r="154" spans="7:34" ht="18" x14ac:dyDescent="0.3">
      <c r="G154" s="64"/>
      <c r="H154" s="28"/>
      <c r="I154" s="313" t="str">
        <f>I135</f>
        <v>Revenus boissons</v>
      </c>
      <c r="J154" s="239"/>
      <c r="K154" s="239"/>
      <c r="L154" s="239"/>
      <c r="M154" s="239"/>
      <c r="N154" s="239"/>
      <c r="O154" s="50"/>
      <c r="P154" s="44"/>
      <c r="Q154" s="34">
        <f>O135</f>
        <v>0</v>
      </c>
      <c r="R154" s="28"/>
      <c r="S154" s="28"/>
      <c r="T154" s="28"/>
      <c r="U154" s="28"/>
      <c r="V154" s="28"/>
      <c r="W154" s="28"/>
      <c r="X154" s="28"/>
      <c r="Y154" s="65"/>
      <c r="Z154" s="19"/>
      <c r="AA154" s="19"/>
      <c r="AB154" s="19"/>
      <c r="AC154" s="19"/>
      <c r="AD154" s="19"/>
      <c r="AE154" s="19"/>
      <c r="AF154" s="19"/>
      <c r="AG154" s="19"/>
      <c r="AH154" s="19"/>
    </row>
    <row r="155" spans="7:34" ht="19" x14ac:dyDescent="0.3">
      <c r="G155" s="64"/>
      <c r="H155" s="28"/>
      <c r="I155" s="261" t="str">
        <f t="shared" ref="I155:I160" si="9">I136</f>
        <v>TPS à remettre</v>
      </c>
      <c r="J155" s="253"/>
      <c r="K155" s="253"/>
      <c r="L155" s="253"/>
      <c r="M155" s="253"/>
      <c r="N155" s="253"/>
      <c r="O155" s="50" t="s">
        <v>0</v>
      </c>
      <c r="P155" s="44">
        <v>610</v>
      </c>
      <c r="Q155" s="34">
        <f>O136</f>
        <v>0</v>
      </c>
      <c r="R155" s="28"/>
      <c r="S155" s="28"/>
      <c r="T155" s="28"/>
      <c r="U155" s="28"/>
      <c r="V155" s="28"/>
      <c r="W155" s="28"/>
      <c r="X155" s="28"/>
      <c r="Y155" s="65"/>
      <c r="Z155" s="19"/>
      <c r="AA155" s="19"/>
      <c r="AB155" s="19"/>
      <c r="AC155" s="19"/>
      <c r="AD155" s="19"/>
      <c r="AE155" s="19"/>
      <c r="AF155" s="19"/>
      <c r="AG155" s="19"/>
      <c r="AH155" s="19"/>
    </row>
    <row r="156" spans="7:34" ht="19" x14ac:dyDescent="0.3">
      <c r="G156" s="64"/>
      <c r="H156" s="28"/>
      <c r="I156" s="262" t="str">
        <f t="shared" si="9"/>
        <v>TVQ à remettre</v>
      </c>
      <c r="J156" s="253"/>
      <c r="K156" s="253"/>
      <c r="L156" s="253"/>
      <c r="M156" s="253"/>
      <c r="N156" s="253"/>
      <c r="O156" s="50" t="s">
        <v>0</v>
      </c>
      <c r="P156" s="44" t="s">
        <v>0</v>
      </c>
      <c r="Q156" s="34">
        <f>O137</f>
        <v>0</v>
      </c>
      <c r="R156" s="28"/>
      <c r="S156" s="28"/>
      <c r="T156" s="28"/>
      <c r="U156" s="28"/>
      <c r="V156" s="28"/>
      <c r="W156" s="28"/>
      <c r="X156" s="28"/>
      <c r="Y156" s="65"/>
      <c r="Z156" s="19"/>
      <c r="AA156" s="19"/>
      <c r="AB156" s="19"/>
      <c r="AC156" s="19"/>
      <c r="AD156" s="19"/>
      <c r="AE156" s="19"/>
      <c r="AF156" s="19"/>
      <c r="AG156" s="19"/>
      <c r="AH156" s="19"/>
    </row>
    <row r="157" spans="7:34" ht="19" x14ac:dyDescent="0.3">
      <c r="G157" s="64"/>
      <c r="H157" s="28"/>
      <c r="I157" s="262" t="str">
        <f t="shared" si="9"/>
        <v>Pourboire / frais de service à remettre</v>
      </c>
      <c r="J157" s="253"/>
      <c r="K157" s="253"/>
      <c r="L157" s="253"/>
      <c r="M157" s="253"/>
      <c r="N157" s="253"/>
      <c r="O157" s="50" t="s">
        <v>0</v>
      </c>
      <c r="P157" s="44" t="s">
        <v>0</v>
      </c>
      <c r="Q157" s="34">
        <f>O138</f>
        <v>0</v>
      </c>
      <c r="R157" s="28"/>
      <c r="S157" s="28"/>
      <c r="T157" s="28"/>
      <c r="U157" s="28"/>
      <c r="V157" s="28"/>
      <c r="W157" s="28"/>
      <c r="X157" s="28"/>
      <c r="Y157" s="65"/>
      <c r="Z157" s="19"/>
      <c r="AA157" s="19"/>
      <c r="AB157" s="19"/>
      <c r="AC157" s="19"/>
      <c r="AD157" s="19"/>
      <c r="AE157" s="19"/>
      <c r="AF157" s="19"/>
      <c r="AG157" s="19"/>
      <c r="AH157" s="19"/>
    </row>
    <row r="158" spans="7:34" ht="19" x14ac:dyDescent="0.3">
      <c r="G158" s="64"/>
      <c r="H158" s="28"/>
      <c r="I158" s="262" t="str">
        <f t="shared" si="9"/>
        <v>Cash</v>
      </c>
      <c r="J158" s="253"/>
      <c r="K158" s="253"/>
      <c r="L158" s="253"/>
      <c r="M158" s="253"/>
      <c r="N158" s="253"/>
      <c r="O158" s="50">
        <f>Q139</f>
        <v>0</v>
      </c>
      <c r="P158" s="44" t="s">
        <v>0</v>
      </c>
      <c r="Q158" s="34" t="s">
        <v>0</v>
      </c>
      <c r="R158" s="28"/>
      <c r="S158" s="28"/>
      <c r="T158" s="28"/>
      <c r="U158" s="28"/>
      <c r="V158" s="28"/>
      <c r="W158" s="28"/>
      <c r="X158" s="28"/>
      <c r="Y158" s="65"/>
      <c r="Z158" s="19"/>
      <c r="AA158" s="19"/>
      <c r="AB158" s="19"/>
      <c r="AC158" s="19"/>
      <c r="AD158" s="19"/>
      <c r="AE158" s="19"/>
      <c r="AF158" s="19"/>
      <c r="AG158" s="19"/>
      <c r="AH158" s="19"/>
    </row>
    <row r="159" spans="7:34" ht="20" thickBot="1" x14ac:dyDescent="0.35">
      <c r="G159" s="64"/>
      <c r="H159" s="28"/>
      <c r="I159" s="262" t="str">
        <f t="shared" si="9"/>
        <v>Mastercard</v>
      </c>
      <c r="J159" s="253"/>
      <c r="K159" s="253"/>
      <c r="L159" s="253"/>
      <c r="M159" s="253"/>
      <c r="N159" s="253"/>
      <c r="O159" s="50">
        <f>Q140</f>
        <v>0</v>
      </c>
      <c r="P159" s="44" t="s">
        <v>0</v>
      </c>
      <c r="Q159" s="34" t="s">
        <v>0</v>
      </c>
      <c r="R159" s="28"/>
      <c r="S159" s="28"/>
      <c r="T159" s="28"/>
      <c r="U159" s="28"/>
      <c r="V159" s="28"/>
      <c r="W159" s="28"/>
      <c r="X159" s="28"/>
      <c r="Y159" s="65"/>
      <c r="Z159" s="19"/>
      <c r="AA159" s="19"/>
      <c r="AB159" s="19"/>
      <c r="AC159" s="19"/>
      <c r="AD159" s="19"/>
      <c r="AE159" s="19"/>
      <c r="AF159" s="19"/>
      <c r="AG159" s="19"/>
      <c r="AH159" s="19"/>
    </row>
    <row r="160" spans="7:34" ht="20" thickTop="1" x14ac:dyDescent="0.3">
      <c r="G160" s="64"/>
      <c r="H160" s="28"/>
      <c r="I160" s="241" t="str">
        <f t="shared" si="9"/>
        <v>CC - Transfert à la comptabilité</v>
      </c>
      <c r="J160" s="242"/>
      <c r="K160" s="242"/>
      <c r="L160" s="242"/>
      <c r="M160" s="242"/>
      <c r="N160" s="243"/>
      <c r="O160" s="50">
        <f>Q141</f>
        <v>0</v>
      </c>
      <c r="P160" s="44"/>
      <c r="Q160" s="34" t="s">
        <v>0</v>
      </c>
      <c r="R160" s="28"/>
      <c r="S160" s="28"/>
      <c r="T160" s="28"/>
      <c r="U160" s="28"/>
      <c r="V160" s="28"/>
      <c r="W160" s="28"/>
      <c r="X160" s="28"/>
      <c r="Y160" s="65"/>
      <c r="Z160" s="19"/>
      <c r="AA160" s="19"/>
      <c r="AB160" s="19"/>
      <c r="AC160" s="19"/>
      <c r="AD160" s="19"/>
      <c r="AE160" s="19"/>
      <c r="AF160" s="19"/>
      <c r="AG160" s="19"/>
      <c r="AH160" s="19"/>
    </row>
    <row r="161" spans="7:34" ht="17" thickBot="1" x14ac:dyDescent="0.25">
      <c r="G161" s="64"/>
      <c r="H161" s="28"/>
      <c r="I161" s="306" t="s">
        <v>46</v>
      </c>
      <c r="J161" s="307"/>
      <c r="K161" s="307"/>
      <c r="L161" s="307"/>
      <c r="M161" s="307"/>
      <c r="N161" s="308"/>
      <c r="O161" s="50" t="s">
        <v>0</v>
      </c>
      <c r="P161" s="44"/>
      <c r="Q161" s="34" t="s">
        <v>0</v>
      </c>
      <c r="R161" s="28"/>
      <c r="S161" s="28"/>
      <c r="T161" s="28"/>
      <c r="U161" s="28"/>
      <c r="V161" s="28"/>
      <c r="W161" s="28"/>
      <c r="X161" s="28"/>
      <c r="Y161" s="65"/>
      <c r="Z161" s="19"/>
      <c r="AA161" s="19"/>
      <c r="AB161" s="19"/>
      <c r="AC161" s="19"/>
      <c r="AD161" s="19"/>
      <c r="AE161" s="19"/>
      <c r="AF161" s="19"/>
      <c r="AG161" s="19"/>
      <c r="AH161" s="19"/>
    </row>
    <row r="162" spans="7:34" ht="20" thickTop="1" x14ac:dyDescent="0.35">
      <c r="G162" s="64"/>
      <c r="H162" s="28"/>
      <c r="I162" s="21"/>
      <c r="J162" s="28"/>
      <c r="K162" s="28"/>
      <c r="L162" s="28"/>
      <c r="M162" s="28"/>
      <c r="N162" s="28"/>
      <c r="O162" s="66">
        <f>SUM(O152:O160)</f>
        <v>0</v>
      </c>
      <c r="P162" s="44"/>
      <c r="Q162" s="31">
        <f>SUM(Q152:Q160)</f>
        <v>0</v>
      </c>
      <c r="R162" s="28"/>
      <c r="S162" s="28"/>
      <c r="T162" s="28"/>
      <c r="U162" s="28"/>
      <c r="V162" s="28"/>
      <c r="W162" s="28"/>
      <c r="X162" s="28"/>
      <c r="Y162" s="65"/>
      <c r="Z162" s="19"/>
      <c r="AA162" s="19"/>
      <c r="AB162" s="19"/>
      <c r="AC162" s="19"/>
      <c r="AD162" s="19"/>
      <c r="AE162" s="19"/>
      <c r="AF162" s="19"/>
      <c r="AG162" s="19"/>
      <c r="AH162" s="19"/>
    </row>
    <row r="163" spans="7:34" ht="16" x14ac:dyDescent="0.2">
      <c r="G163" s="64"/>
      <c r="H163" s="28"/>
      <c r="I163" s="28"/>
      <c r="J163" s="28"/>
      <c r="K163" s="28"/>
      <c r="L163" s="28"/>
      <c r="M163" s="28"/>
      <c r="N163" s="28"/>
      <c r="O163" s="28"/>
      <c r="P163" s="28"/>
      <c r="Q163" s="28"/>
      <c r="R163" s="28"/>
      <c r="S163" s="28"/>
      <c r="T163" s="28"/>
      <c r="U163" s="28"/>
      <c r="V163" s="28"/>
      <c r="W163" s="28"/>
      <c r="X163" s="28"/>
      <c r="Y163" s="65"/>
      <c r="Z163" s="19"/>
      <c r="AA163" s="19"/>
      <c r="AB163" s="19"/>
      <c r="AC163" s="19"/>
      <c r="AD163" s="19"/>
      <c r="AE163" s="19"/>
      <c r="AF163" s="19"/>
      <c r="AG163" s="19"/>
      <c r="AH163" s="19"/>
    </row>
    <row r="164" spans="7:34" ht="17" thickBot="1" x14ac:dyDescent="0.25">
      <c r="G164" s="67"/>
      <c r="H164" s="68"/>
      <c r="I164" s="68"/>
      <c r="J164" s="68"/>
      <c r="K164" s="68"/>
      <c r="L164" s="68"/>
      <c r="M164" s="68"/>
      <c r="N164" s="68"/>
      <c r="O164" s="68"/>
      <c r="P164" s="68"/>
      <c r="Q164" s="68"/>
      <c r="R164" s="68"/>
      <c r="S164" s="68"/>
      <c r="T164" s="68"/>
      <c r="U164" s="68"/>
      <c r="V164" s="68"/>
      <c r="W164" s="68"/>
      <c r="X164" s="68"/>
      <c r="Y164" s="69"/>
      <c r="Z164" s="19"/>
      <c r="AA164" s="19"/>
      <c r="AB164" s="19"/>
      <c r="AC164" s="19"/>
      <c r="AD164" s="19"/>
      <c r="AE164" s="19"/>
      <c r="AF164" s="19"/>
      <c r="AG164" s="19"/>
      <c r="AH164" s="19"/>
    </row>
    <row r="165" spans="7:34" ht="16" x14ac:dyDescent="0.2">
      <c r="G165" s="19"/>
      <c r="H165" s="28"/>
      <c r="I165" s="28"/>
      <c r="J165" s="28"/>
      <c r="K165" s="28"/>
      <c r="L165" s="28"/>
      <c r="M165" s="28"/>
      <c r="N165" s="28"/>
      <c r="O165" s="28"/>
      <c r="P165" s="28"/>
      <c r="Q165" s="28"/>
      <c r="R165" s="28"/>
      <c r="S165" s="28"/>
      <c r="T165" s="28"/>
      <c r="U165" s="28"/>
      <c r="V165" s="28"/>
      <c r="W165" s="28"/>
      <c r="X165" s="28"/>
      <c r="Y165" s="28"/>
      <c r="Z165" s="19"/>
      <c r="AA165" s="19"/>
      <c r="AB165" s="19"/>
      <c r="AC165" s="19"/>
      <c r="AD165" s="19"/>
      <c r="AE165" s="19"/>
      <c r="AF165" s="19"/>
      <c r="AG165" s="19"/>
      <c r="AH165" s="19"/>
    </row>
    <row r="166" spans="7:34" ht="16" x14ac:dyDescent="0.2">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row>
    <row r="167" spans="7:34" ht="16" x14ac:dyDescent="0.2">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row>
    <row r="168" spans="7:34" ht="16" x14ac:dyDescent="0.2">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row>
    <row r="169" spans="7:34" ht="16" x14ac:dyDescent="0.2">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row>
    <row r="170" spans="7:34" ht="16" x14ac:dyDescent="0.2">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row>
    <row r="171" spans="7:34" ht="16" x14ac:dyDescent="0.2">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row>
    <row r="172" spans="7:34" ht="16" x14ac:dyDescent="0.2">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row>
    <row r="173" spans="7:34" ht="16" x14ac:dyDescent="0.2">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row>
    <row r="174" spans="7:34" ht="16" x14ac:dyDescent="0.2">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row>
    <row r="175" spans="7:34" ht="16" x14ac:dyDescent="0.2">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row>
    <row r="176" spans="7:34" ht="16" x14ac:dyDescent="0.2">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row>
    <row r="177" spans="7:34" ht="16" x14ac:dyDescent="0.2">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row>
    <row r="178" spans="7:34" ht="16" x14ac:dyDescent="0.2">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row>
    <row r="179" spans="7:34" ht="16" x14ac:dyDescent="0.2">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row>
  </sheetData>
  <sheetProtection algorithmName="SHA-512" hashValue="SGykNbvfdwSS/v9+CXW0vo1icIgeEu3In8pnJxzSF1hYP++sUphP8vo93CXZgStGOb3U59qzOMMG3i++Nway8Q==" saltValue="COa6LGVzgz4Y09jlEWZYwg==" spinCount="100000" sheet="1" objects="1" scenarios="1"/>
  <mergeCells count="215">
    <mergeCell ref="C56:D56"/>
    <mergeCell ref="C57:D57"/>
    <mergeCell ref="C58:D58"/>
    <mergeCell ref="C23:E23"/>
    <mergeCell ref="C36:D36"/>
    <mergeCell ref="C37:D37"/>
    <mergeCell ref="C39:D39"/>
    <mergeCell ref="C40:D40"/>
    <mergeCell ref="C41:D41"/>
    <mergeCell ref="C45:D45"/>
    <mergeCell ref="C47:D47"/>
    <mergeCell ref="C48:D48"/>
    <mergeCell ref="C28:D28"/>
    <mergeCell ref="C29:D29"/>
    <mergeCell ref="I135:N135"/>
    <mergeCell ref="S135:V135"/>
    <mergeCell ref="AB111:AE111"/>
    <mergeCell ref="I154:N154"/>
    <mergeCell ref="C25:D25"/>
    <mergeCell ref="C27:D27"/>
    <mergeCell ref="C35:D35"/>
    <mergeCell ref="C43:D43"/>
    <mergeCell ref="C31:D31"/>
    <mergeCell ref="C44:D44"/>
    <mergeCell ref="C53:D53"/>
    <mergeCell ref="C49:D49"/>
    <mergeCell ref="C52:D52"/>
    <mergeCell ref="C51:D51"/>
    <mergeCell ref="C32:D32"/>
    <mergeCell ref="C33:D33"/>
    <mergeCell ref="I115:N115"/>
    <mergeCell ref="S141:V141"/>
    <mergeCell ref="S138:V138"/>
    <mergeCell ref="S139:V139"/>
    <mergeCell ref="AB115:AE115"/>
    <mergeCell ref="AB116:AE116"/>
    <mergeCell ref="AB117:AE117"/>
    <mergeCell ref="S133:V133"/>
    <mergeCell ref="AD7:AE7"/>
    <mergeCell ref="AD9:AE9"/>
    <mergeCell ref="I8:J8"/>
    <mergeCell ref="M8:N8"/>
    <mergeCell ref="Q8:R8"/>
    <mergeCell ref="U8:V8"/>
    <mergeCell ref="Y8:AA8"/>
    <mergeCell ref="AD8:AE8"/>
    <mergeCell ref="I10:J10"/>
    <mergeCell ref="I9:J9"/>
    <mergeCell ref="M7:N7"/>
    <mergeCell ref="M9:N9"/>
    <mergeCell ref="Q7:R7"/>
    <mergeCell ref="Q9:R9"/>
    <mergeCell ref="U7:V7"/>
    <mergeCell ref="U9:V9"/>
    <mergeCell ref="Y7:AA7"/>
    <mergeCell ref="Y9:AA9"/>
    <mergeCell ref="Q10:R10"/>
    <mergeCell ref="Y10:Z10"/>
    <mergeCell ref="AD10:AE10"/>
    <mergeCell ref="I7:J7"/>
    <mergeCell ref="I161:N161"/>
    <mergeCell ref="I128:V128"/>
    <mergeCell ref="I24:S24"/>
    <mergeCell ref="I25:S25"/>
    <mergeCell ref="I26:S26"/>
    <mergeCell ref="I27:S27"/>
    <mergeCell ref="I28:S28"/>
    <mergeCell ref="I29:S29"/>
    <mergeCell ref="I30:S30"/>
    <mergeCell ref="I151:M151"/>
    <mergeCell ref="I152:N152"/>
    <mergeCell ref="I153:N153"/>
    <mergeCell ref="I71:J71"/>
    <mergeCell ref="M71:N71"/>
    <mergeCell ref="Q71:R71"/>
    <mergeCell ref="U71:V71"/>
    <mergeCell ref="I112:N112"/>
    <mergeCell ref="I113:N113"/>
    <mergeCell ref="I139:N139"/>
    <mergeCell ref="I140:N140"/>
    <mergeCell ref="I136:N136"/>
    <mergeCell ref="I114:N114"/>
    <mergeCell ref="I111:N111"/>
    <mergeCell ref="S137:V137"/>
    <mergeCell ref="M4:O4"/>
    <mergeCell ref="Q3:S3"/>
    <mergeCell ref="Q4:S4"/>
    <mergeCell ref="I108:M108"/>
    <mergeCell ref="I109:N109"/>
    <mergeCell ref="I110:N110"/>
    <mergeCell ref="AD22:AF22"/>
    <mergeCell ref="AD3:AF3"/>
    <mergeCell ref="AD4:AF4"/>
    <mergeCell ref="AD20:AF20"/>
    <mergeCell ref="AD21:AF21"/>
    <mergeCell ref="U22:W22"/>
    <mergeCell ref="Y3:AB3"/>
    <mergeCell ref="Y4:AB4"/>
    <mergeCell ref="Y20:AB20"/>
    <mergeCell ref="Y21:AB21"/>
    <mergeCell ref="Y22:AB22"/>
    <mergeCell ref="U3:W3"/>
    <mergeCell ref="I6:J6"/>
    <mergeCell ref="M6:N6"/>
    <mergeCell ref="Q6:R6"/>
    <mergeCell ref="U6:V6"/>
    <mergeCell ref="Y6:AA6"/>
    <mergeCell ref="AD6:AE6"/>
    <mergeCell ref="U4:W4"/>
    <mergeCell ref="U20:W20"/>
    <mergeCell ref="U21:W21"/>
    <mergeCell ref="I3:K3"/>
    <mergeCell ref="I4:K4"/>
    <mergeCell ref="I35:J35"/>
    <mergeCell ref="I33:W33"/>
    <mergeCell ref="Q35:R35"/>
    <mergeCell ref="M35:N35"/>
    <mergeCell ref="U35:V35"/>
    <mergeCell ref="I22:K22"/>
    <mergeCell ref="M22:O22"/>
    <mergeCell ref="Q22:S22"/>
    <mergeCell ref="I20:K20"/>
    <mergeCell ref="M20:O20"/>
    <mergeCell ref="Q20:S20"/>
    <mergeCell ref="Q21:S21"/>
    <mergeCell ref="M21:O21"/>
    <mergeCell ref="I21:K21"/>
    <mergeCell ref="M3:O3"/>
    <mergeCell ref="M10:N10"/>
    <mergeCell ref="M14:N14"/>
    <mergeCell ref="M12:N12"/>
    <mergeCell ref="M16:N16"/>
    <mergeCell ref="AB110:AE110"/>
    <mergeCell ref="AB112:AE112"/>
    <mergeCell ref="AB113:AE113"/>
    <mergeCell ref="AB108:AF108"/>
    <mergeCell ref="AB95:AE95"/>
    <mergeCell ref="AB96:AE96"/>
    <mergeCell ref="AB89:AE89"/>
    <mergeCell ref="AB90:AE90"/>
    <mergeCell ref="AB92:AE92"/>
    <mergeCell ref="AB93:AE93"/>
    <mergeCell ref="AB94:AE94"/>
    <mergeCell ref="U18:V18"/>
    <mergeCell ref="AB84:AF85"/>
    <mergeCell ref="K127:U127"/>
    <mergeCell ref="R113:AA113"/>
    <mergeCell ref="R92:AA92"/>
    <mergeCell ref="I95:N95"/>
    <mergeCell ref="I96:N96"/>
    <mergeCell ref="I97:N97"/>
    <mergeCell ref="I88:N88"/>
    <mergeCell ref="I89:N89"/>
    <mergeCell ref="AB100:AF104"/>
    <mergeCell ref="AB97:AE97"/>
    <mergeCell ref="I116:N116"/>
    <mergeCell ref="I117:N117"/>
    <mergeCell ref="AB87:AF87"/>
    <mergeCell ref="AB88:AF88"/>
    <mergeCell ref="I87:M87"/>
    <mergeCell ref="AB107:AF107"/>
    <mergeCell ref="I90:N90"/>
    <mergeCell ref="I92:N92"/>
    <mergeCell ref="I93:N93"/>
    <mergeCell ref="I94:N94"/>
    <mergeCell ref="AB114:AE114"/>
    <mergeCell ref="AB109:AE109"/>
    <mergeCell ref="I160:N160"/>
    <mergeCell ref="I126:V126"/>
    <mergeCell ref="G125:Y125"/>
    <mergeCell ref="K84:U84"/>
    <mergeCell ref="K85:U85"/>
    <mergeCell ref="K105:U105"/>
    <mergeCell ref="K104:U104"/>
    <mergeCell ref="I132:M132"/>
    <mergeCell ref="I133:N133"/>
    <mergeCell ref="K148:U148"/>
    <mergeCell ref="S131:W131"/>
    <mergeCell ref="S132:W132"/>
    <mergeCell ref="I134:N134"/>
    <mergeCell ref="I137:N137"/>
    <mergeCell ref="I138:N138"/>
    <mergeCell ref="I159:N159"/>
    <mergeCell ref="I155:N155"/>
    <mergeCell ref="I156:N156"/>
    <mergeCell ref="I157:N157"/>
    <mergeCell ref="I158:N158"/>
    <mergeCell ref="I141:N141"/>
    <mergeCell ref="S140:V140"/>
    <mergeCell ref="S134:V134"/>
    <mergeCell ref="S136:V136"/>
    <mergeCell ref="Y18:Z18"/>
    <mergeCell ref="AD18:AE18"/>
    <mergeCell ref="M57:N57"/>
    <mergeCell ref="I91:N91"/>
    <mergeCell ref="Y12:Z12"/>
    <mergeCell ref="Y14:Z14"/>
    <mergeCell ref="Y16:Z16"/>
    <mergeCell ref="U12:V12"/>
    <mergeCell ref="AD12:AE12"/>
    <mergeCell ref="I17:J17"/>
    <mergeCell ref="M17:N17"/>
    <mergeCell ref="Q17:R17"/>
    <mergeCell ref="U17:V17"/>
    <mergeCell ref="Y17:Z17"/>
    <mergeCell ref="AD17:AE17"/>
    <mergeCell ref="I12:J12"/>
    <mergeCell ref="I14:J14"/>
    <mergeCell ref="I16:J16"/>
    <mergeCell ref="Q12:R12"/>
    <mergeCell ref="Q14:R14"/>
    <mergeCell ref="Q16:R16"/>
    <mergeCell ref="I18:J18"/>
    <mergeCell ref="M18:N18"/>
    <mergeCell ref="Q18:R18"/>
  </mergeCells>
  <phoneticPr fontId="2" type="noConversion"/>
  <printOptions horizontalCentered="1" verticalCentered="1"/>
  <pageMargins left="0.19685039370078741" right="0.19685039370078741" top="0.17" bottom="0.17" header="0.19" footer="0.17"/>
  <pageSetup paperSize="5" orientation="landscape"/>
  <headerFooter alignWithMargins="0"/>
  <ignoredErrors>
    <ignoredError sqref="K15 K13 O13 O15 S13 S15 W13 W15 AB13 AB15 AF13 AF15" formula="1"/>
  </ignoredError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E9810-ECCD-E44D-B80F-1EDBBD312412}">
  <dimension ref="A1:T582"/>
  <sheetViews>
    <sheetView topLeftCell="A9" zoomScale="110" zoomScaleNormal="110" workbookViewId="0">
      <selection activeCell="D29" sqref="D29"/>
    </sheetView>
  </sheetViews>
  <sheetFormatPr baseColWidth="10" defaultColWidth="10.6640625" defaultRowHeight="13" x14ac:dyDescent="0.15"/>
  <cols>
    <col min="1" max="1" width="10.6640625" style="90"/>
    <col min="2" max="2" width="5.33203125" style="90" customWidth="1"/>
    <col min="3" max="3" width="3.6640625" style="90" customWidth="1"/>
    <col min="4" max="4" width="69" style="90" bestFit="1" customWidth="1"/>
    <col min="5" max="5" width="52.1640625" style="90" bestFit="1" customWidth="1"/>
    <col min="6" max="6" width="21.6640625" style="90" bestFit="1" customWidth="1"/>
    <col min="7" max="7" width="30.1640625" style="90" bestFit="1" customWidth="1"/>
    <col min="8" max="8" width="47.5" style="90" bestFit="1" customWidth="1"/>
    <col min="9" max="9" width="9.33203125" style="90" customWidth="1"/>
    <col min="10" max="10" width="11.33203125" style="90" customWidth="1"/>
    <col min="11" max="11" width="92.33203125" style="90" bestFit="1" customWidth="1"/>
    <col min="12" max="12" width="10.6640625" style="90" customWidth="1"/>
    <col min="13" max="13" width="5" style="90" customWidth="1"/>
    <col min="14" max="14" width="2.5" style="90" customWidth="1"/>
    <col min="15" max="15" width="1.5" style="90" customWidth="1"/>
    <col min="16" max="16" width="7" style="90" customWidth="1"/>
    <col min="17" max="18" width="1.6640625" style="90" customWidth="1"/>
    <col min="19" max="19" width="4.6640625" style="90" customWidth="1"/>
    <col min="20" max="16384" width="10.6640625" style="90"/>
  </cols>
  <sheetData>
    <row r="1" spans="1:14" ht="13" customHeight="1" x14ac:dyDescent="0.15">
      <c r="A1" s="344" t="s">
        <v>68</v>
      </c>
      <c r="K1" s="91"/>
      <c r="L1" s="91"/>
      <c r="M1" s="91"/>
      <c r="N1" s="91"/>
    </row>
    <row r="2" spans="1:14" ht="22" x14ac:dyDescent="0.25">
      <c r="A2" s="345"/>
      <c r="D2" s="92" t="s">
        <v>69</v>
      </c>
      <c r="F2" s="93"/>
      <c r="K2" s="91"/>
      <c r="L2" s="91"/>
      <c r="M2" s="91"/>
      <c r="N2" s="91"/>
    </row>
    <row r="3" spans="1:14" ht="23" thickBot="1" x14ac:dyDescent="0.3">
      <c r="A3" s="345"/>
      <c r="D3" s="94"/>
      <c r="K3" s="91"/>
      <c r="L3" s="91"/>
      <c r="M3" s="91"/>
      <c r="N3" s="91"/>
    </row>
    <row r="4" spans="1:14" ht="23" customHeight="1" thickTop="1" x14ac:dyDescent="0.25">
      <c r="A4" s="345"/>
      <c r="D4" s="94"/>
      <c r="E4" s="339" t="s">
        <v>70</v>
      </c>
      <c r="F4" s="339" t="s">
        <v>71</v>
      </c>
      <c r="G4" s="339" t="s">
        <v>72</v>
      </c>
      <c r="H4" s="339" t="s">
        <v>73</v>
      </c>
      <c r="I4" s="95"/>
      <c r="K4" s="91"/>
      <c r="L4" s="91"/>
      <c r="M4" s="91"/>
      <c r="N4" s="91"/>
    </row>
    <row r="5" spans="1:14" ht="22" x14ac:dyDescent="0.25">
      <c r="A5" s="345"/>
      <c r="D5" s="94"/>
      <c r="E5" s="340"/>
      <c r="F5" s="342"/>
      <c r="G5" s="342"/>
      <c r="H5" s="342"/>
      <c r="I5" s="96"/>
      <c r="K5" s="91"/>
      <c r="L5" s="91"/>
      <c r="M5" s="91"/>
      <c r="N5" s="91"/>
    </row>
    <row r="6" spans="1:14" ht="17" customHeight="1" thickBot="1" x14ac:dyDescent="0.2">
      <c r="A6" s="345"/>
      <c r="E6" s="341"/>
      <c r="F6" s="343"/>
      <c r="G6" s="343"/>
      <c r="H6" s="343"/>
      <c r="I6" s="96"/>
      <c r="K6" s="91"/>
      <c r="L6" s="91"/>
      <c r="M6" s="91"/>
      <c r="N6" s="91"/>
    </row>
    <row r="7" spans="1:14" ht="14" thickTop="1" x14ac:dyDescent="0.15">
      <c r="A7" s="345"/>
      <c r="B7" s="90" t="s">
        <v>0</v>
      </c>
      <c r="E7" s="93"/>
      <c r="F7" s="93"/>
      <c r="G7" s="97"/>
      <c r="K7" s="91"/>
      <c r="L7" s="91"/>
      <c r="M7" s="91"/>
      <c r="N7" s="91"/>
    </row>
    <row r="8" spans="1:14" ht="16" x14ac:dyDescent="0.2">
      <c r="A8" s="345"/>
      <c r="B8" s="98"/>
      <c r="C8" s="98"/>
      <c r="D8" s="99" t="s">
        <v>143</v>
      </c>
      <c r="E8" s="100"/>
      <c r="F8" s="100"/>
      <c r="G8" s="101"/>
      <c r="H8" s="98"/>
      <c r="I8" s="98"/>
      <c r="J8" s="98"/>
      <c r="K8" s="91"/>
      <c r="L8" s="91"/>
      <c r="M8" s="91"/>
      <c r="N8" s="91"/>
    </row>
    <row r="9" spans="1:14" ht="16" x14ac:dyDescent="0.2">
      <c r="A9" s="345"/>
      <c r="B9" s="98">
        <v>1</v>
      </c>
      <c r="C9" s="98">
        <v>1</v>
      </c>
      <c r="D9" s="98" t="s">
        <v>74</v>
      </c>
      <c r="E9" s="102">
        <v>1.21</v>
      </c>
      <c r="F9" s="102">
        <v>3.3</v>
      </c>
      <c r="G9" s="103">
        <f t="shared" ref="G9:G21" si="0">E9/F9</f>
        <v>0.3666666666666667</v>
      </c>
      <c r="H9" s="104">
        <f t="shared" ref="H9:H21" si="1">F9-E9</f>
        <v>2.09</v>
      </c>
      <c r="I9" s="100">
        <f>F9</f>
        <v>3.3</v>
      </c>
      <c r="J9" s="337">
        <f>3/12</f>
        <v>0.25</v>
      </c>
      <c r="K9" s="91"/>
      <c r="L9" s="91"/>
      <c r="M9" s="91"/>
      <c r="N9" s="91"/>
    </row>
    <row r="10" spans="1:14" ht="16" x14ac:dyDescent="0.2">
      <c r="A10" s="345"/>
      <c r="B10" s="98">
        <v>2</v>
      </c>
      <c r="C10" s="98">
        <v>2</v>
      </c>
      <c r="D10" s="98" t="s">
        <v>75</v>
      </c>
      <c r="E10" s="102">
        <v>1.31</v>
      </c>
      <c r="F10" s="102">
        <v>3.8</v>
      </c>
      <c r="G10" s="103">
        <f t="shared" si="0"/>
        <v>0.34473684210526317</v>
      </c>
      <c r="H10" s="104">
        <f t="shared" si="1"/>
        <v>2.4899999999999998</v>
      </c>
      <c r="I10" s="100"/>
      <c r="J10" s="336"/>
      <c r="K10" s="91"/>
      <c r="L10" s="91"/>
      <c r="M10" s="91"/>
      <c r="N10" s="91"/>
    </row>
    <row r="11" spans="1:14" ht="17" thickBot="1" x14ac:dyDescent="0.25">
      <c r="A11" s="345"/>
      <c r="B11" s="105">
        <v>3</v>
      </c>
      <c r="C11" s="105">
        <v>3</v>
      </c>
      <c r="D11" s="105" t="s">
        <v>76</v>
      </c>
      <c r="E11" s="106">
        <v>1.35</v>
      </c>
      <c r="F11" s="106">
        <v>4</v>
      </c>
      <c r="G11" s="107">
        <f t="shared" si="0"/>
        <v>0.33750000000000002</v>
      </c>
      <c r="H11" s="108">
        <f t="shared" si="1"/>
        <v>2.65</v>
      </c>
      <c r="I11" s="109">
        <f>+I9+1.1</f>
        <v>4.4000000000000004</v>
      </c>
      <c r="J11" s="338"/>
      <c r="K11" s="91"/>
      <c r="L11" s="91"/>
      <c r="M11" s="91"/>
      <c r="N11" s="91"/>
    </row>
    <row r="12" spans="1:14" ht="16" x14ac:dyDescent="0.2">
      <c r="A12" s="345"/>
      <c r="B12" s="98">
        <v>4</v>
      </c>
      <c r="C12" s="98">
        <v>4</v>
      </c>
      <c r="D12" s="98" t="s">
        <v>77</v>
      </c>
      <c r="E12" s="102">
        <v>1.4</v>
      </c>
      <c r="F12" s="102">
        <v>4.5</v>
      </c>
      <c r="G12" s="103">
        <f t="shared" si="0"/>
        <v>0.31111111111111112</v>
      </c>
      <c r="H12" s="104">
        <f t="shared" si="1"/>
        <v>3.1</v>
      </c>
      <c r="I12" s="100">
        <f>+I11+0.01</f>
        <v>4.41</v>
      </c>
      <c r="J12" s="335">
        <f>7/12</f>
        <v>0.58333333333333337</v>
      </c>
      <c r="K12" s="91"/>
      <c r="L12" s="91"/>
      <c r="M12" s="91"/>
      <c r="N12" s="91"/>
    </row>
    <row r="13" spans="1:14" ht="16" x14ac:dyDescent="0.2">
      <c r="A13" s="345"/>
      <c r="B13" s="98">
        <v>5</v>
      </c>
      <c r="C13" s="98">
        <v>5</v>
      </c>
      <c r="D13" s="98" t="s">
        <v>78</v>
      </c>
      <c r="E13" s="102">
        <v>1.24</v>
      </c>
      <c r="F13" s="102">
        <v>4.5999999999999996</v>
      </c>
      <c r="G13" s="103">
        <f t="shared" si="0"/>
        <v>0.26956521739130435</v>
      </c>
      <c r="H13" s="104">
        <f t="shared" si="1"/>
        <v>3.3599999999999994</v>
      </c>
      <c r="I13" s="100"/>
      <c r="J13" s="336"/>
      <c r="K13" s="91"/>
      <c r="L13" s="91"/>
      <c r="M13" s="91"/>
      <c r="N13" s="91"/>
    </row>
    <row r="14" spans="1:14" ht="16" x14ac:dyDescent="0.2">
      <c r="A14" s="345"/>
      <c r="B14" s="98">
        <v>6</v>
      </c>
      <c r="C14" s="98">
        <v>6</v>
      </c>
      <c r="D14" s="98" t="s">
        <v>79</v>
      </c>
      <c r="E14" s="102">
        <v>1.39</v>
      </c>
      <c r="F14" s="102">
        <v>4.7</v>
      </c>
      <c r="G14" s="103">
        <f t="shared" si="0"/>
        <v>0.29574468085106381</v>
      </c>
      <c r="H14" s="104">
        <f t="shared" si="1"/>
        <v>3.3100000000000005</v>
      </c>
      <c r="I14" s="100"/>
      <c r="J14" s="336"/>
      <c r="K14" s="91"/>
      <c r="L14" s="91"/>
      <c r="M14" s="91"/>
      <c r="N14" s="91"/>
    </row>
    <row r="15" spans="1:14" ht="16" x14ac:dyDescent="0.2">
      <c r="A15" s="345"/>
      <c r="B15" s="98">
        <v>7</v>
      </c>
      <c r="C15" s="98">
        <v>7</v>
      </c>
      <c r="D15" s="98" t="s">
        <v>80</v>
      </c>
      <c r="E15" s="102">
        <v>1.51</v>
      </c>
      <c r="F15" s="102">
        <v>4.8</v>
      </c>
      <c r="G15" s="103">
        <f t="shared" si="0"/>
        <v>0.31458333333333333</v>
      </c>
      <c r="H15" s="104">
        <f t="shared" si="1"/>
        <v>3.29</v>
      </c>
      <c r="I15" s="100"/>
      <c r="J15" s="336"/>
      <c r="K15" s="91"/>
      <c r="L15" s="91"/>
      <c r="M15" s="91"/>
      <c r="N15" s="91"/>
    </row>
    <row r="16" spans="1:14" ht="16" x14ac:dyDescent="0.2">
      <c r="A16" s="345"/>
      <c r="B16" s="98">
        <v>8</v>
      </c>
      <c r="C16" s="98">
        <v>8</v>
      </c>
      <c r="D16" s="98" t="s">
        <v>81</v>
      </c>
      <c r="E16" s="102">
        <v>1.53</v>
      </c>
      <c r="F16" s="102">
        <v>4.9000000000000004</v>
      </c>
      <c r="G16" s="103">
        <f t="shared" si="0"/>
        <v>0.31224489795918364</v>
      </c>
      <c r="H16" s="104">
        <f t="shared" si="1"/>
        <v>3.37</v>
      </c>
      <c r="I16" s="100"/>
      <c r="J16" s="336"/>
      <c r="K16" s="91"/>
      <c r="L16" s="91"/>
      <c r="M16" s="91"/>
      <c r="N16" s="91"/>
    </row>
    <row r="17" spans="1:14" ht="16" x14ac:dyDescent="0.2">
      <c r="A17" s="345"/>
      <c r="B17" s="98">
        <v>9</v>
      </c>
      <c r="C17" s="98">
        <v>9</v>
      </c>
      <c r="D17" s="98" t="s">
        <v>82</v>
      </c>
      <c r="E17" s="102">
        <v>1.55</v>
      </c>
      <c r="F17" s="102">
        <v>5</v>
      </c>
      <c r="G17" s="103">
        <f t="shared" si="0"/>
        <v>0.31</v>
      </c>
      <c r="H17" s="104">
        <f t="shared" si="1"/>
        <v>3.45</v>
      </c>
      <c r="I17" s="100"/>
      <c r="J17" s="336"/>
      <c r="K17" s="91"/>
      <c r="L17" s="91"/>
      <c r="M17" s="91"/>
      <c r="N17" s="91"/>
    </row>
    <row r="18" spans="1:14" ht="17" thickBot="1" x14ac:dyDescent="0.25">
      <c r="A18" s="345"/>
      <c r="B18" s="105">
        <v>10</v>
      </c>
      <c r="C18" s="105">
        <v>10</v>
      </c>
      <c r="D18" s="105" t="s">
        <v>83</v>
      </c>
      <c r="E18" s="106">
        <v>1.59</v>
      </c>
      <c r="F18" s="106">
        <v>5.2</v>
      </c>
      <c r="G18" s="107">
        <f t="shared" si="0"/>
        <v>0.30576923076923079</v>
      </c>
      <c r="H18" s="108">
        <f t="shared" si="1"/>
        <v>3.6100000000000003</v>
      </c>
      <c r="I18" s="109">
        <f>+I11+1.1</f>
        <v>5.5</v>
      </c>
      <c r="J18" s="338"/>
      <c r="K18" s="91"/>
      <c r="L18" s="91"/>
      <c r="M18" s="91"/>
      <c r="N18" s="91"/>
    </row>
    <row r="19" spans="1:14" ht="16" x14ac:dyDescent="0.2">
      <c r="A19" s="345"/>
      <c r="B19" s="98">
        <v>11</v>
      </c>
      <c r="C19" s="98">
        <v>11</v>
      </c>
      <c r="D19" s="98" t="s">
        <v>84</v>
      </c>
      <c r="E19" s="102">
        <v>1.83</v>
      </c>
      <c r="F19" s="102">
        <v>6.4</v>
      </c>
      <c r="G19" s="103">
        <f t="shared" si="0"/>
        <v>0.28593750000000001</v>
      </c>
      <c r="H19" s="104">
        <f t="shared" si="1"/>
        <v>4.57</v>
      </c>
      <c r="I19" s="100">
        <f>+I18+0.01</f>
        <v>5.51</v>
      </c>
      <c r="J19" s="335">
        <f>2/12</f>
        <v>0.16666666666666666</v>
      </c>
      <c r="K19" s="91"/>
      <c r="L19" s="91"/>
      <c r="M19" s="91"/>
      <c r="N19" s="91"/>
    </row>
    <row r="20" spans="1:14" ht="16" x14ac:dyDescent="0.2">
      <c r="A20" s="345"/>
      <c r="B20" s="98">
        <v>12</v>
      </c>
      <c r="C20" s="98">
        <v>12</v>
      </c>
      <c r="D20" s="98" t="s">
        <v>85</v>
      </c>
      <c r="E20" s="102">
        <v>1.87</v>
      </c>
      <c r="F20" s="102">
        <v>6.6</v>
      </c>
      <c r="G20" s="103">
        <f t="shared" si="0"/>
        <v>0.28333333333333338</v>
      </c>
      <c r="H20" s="104">
        <f t="shared" si="1"/>
        <v>4.7299999999999995</v>
      </c>
      <c r="I20" s="100">
        <f>F20</f>
        <v>6.6</v>
      </c>
      <c r="J20" s="336"/>
      <c r="K20" s="91"/>
      <c r="L20" s="91"/>
      <c r="M20" s="91"/>
      <c r="N20" s="91"/>
    </row>
    <row r="21" spans="1:14" ht="19" x14ac:dyDescent="0.35">
      <c r="A21" s="345"/>
      <c r="B21" s="98"/>
      <c r="C21" s="98"/>
      <c r="D21" s="99" t="s">
        <v>86</v>
      </c>
      <c r="E21" s="110">
        <f>SUM(E9:E20)/C20</f>
        <v>1.4816666666666667</v>
      </c>
      <c r="F21" s="111">
        <f>SUM(F9:F20)/C20</f>
        <v>4.8166666666666673</v>
      </c>
      <c r="G21" s="112">
        <f t="shared" si="0"/>
        <v>0.30761245674740478</v>
      </c>
      <c r="H21" s="113">
        <f t="shared" si="1"/>
        <v>3.3350000000000009</v>
      </c>
      <c r="I21" s="114"/>
      <c r="J21" s="98"/>
      <c r="K21" s="91"/>
      <c r="L21" s="91"/>
      <c r="M21" s="91"/>
      <c r="N21" s="91"/>
    </row>
    <row r="22" spans="1:14" ht="16" x14ac:dyDescent="0.2">
      <c r="A22" s="345"/>
      <c r="B22" s="98" t="s">
        <v>0</v>
      </c>
      <c r="C22" s="98"/>
      <c r="D22" s="98"/>
      <c r="E22" s="102"/>
      <c r="F22" s="102"/>
      <c r="G22" s="103"/>
      <c r="H22" s="115"/>
      <c r="I22" s="100"/>
      <c r="J22" s="98"/>
      <c r="K22" s="91"/>
      <c r="L22" s="91"/>
      <c r="M22" s="91"/>
      <c r="N22" s="91"/>
    </row>
    <row r="23" spans="1:14" ht="16" x14ac:dyDescent="0.2">
      <c r="A23" s="345"/>
      <c r="B23" s="98"/>
      <c r="C23" s="98"/>
      <c r="D23" s="99" t="s">
        <v>87</v>
      </c>
      <c r="E23" s="102"/>
      <c r="F23" s="102"/>
      <c r="G23" s="103"/>
      <c r="H23" s="115"/>
      <c r="I23" s="100"/>
      <c r="J23" s="98"/>
      <c r="K23" s="91"/>
      <c r="L23" s="91"/>
      <c r="M23" s="91"/>
      <c r="N23" s="91"/>
    </row>
    <row r="24" spans="1:14" ht="16" x14ac:dyDescent="0.2">
      <c r="A24" s="345"/>
      <c r="B24" s="98">
        <v>13</v>
      </c>
      <c r="C24" s="98">
        <v>1</v>
      </c>
      <c r="D24" s="98" t="s">
        <v>131</v>
      </c>
      <c r="E24" s="102">
        <f>1.14*2</f>
        <v>2.2799999999999998</v>
      </c>
      <c r="F24" s="102">
        <f>3.3*2</f>
        <v>6.6</v>
      </c>
      <c r="G24" s="103">
        <f>E24/F24</f>
        <v>0.34545454545454546</v>
      </c>
      <c r="H24" s="104">
        <f>F24-E24</f>
        <v>4.32</v>
      </c>
      <c r="I24" s="100">
        <f>F24</f>
        <v>6.6</v>
      </c>
      <c r="J24" s="337">
        <f>3/12</f>
        <v>0.25</v>
      </c>
      <c r="K24" s="91"/>
      <c r="L24" s="91"/>
      <c r="M24" s="91"/>
      <c r="N24" s="91"/>
    </row>
    <row r="25" spans="1:14" ht="16" x14ac:dyDescent="0.2">
      <c r="A25" s="345"/>
      <c r="B25" s="98">
        <v>14</v>
      </c>
      <c r="C25" s="98">
        <v>2</v>
      </c>
      <c r="D25" s="98" t="s">
        <v>132</v>
      </c>
      <c r="E25" s="102">
        <f>1.33*2</f>
        <v>2.66</v>
      </c>
      <c r="F25" s="102">
        <f>3.8*2</f>
        <v>7.6</v>
      </c>
      <c r="G25" s="103">
        <f>E25/F25</f>
        <v>0.35000000000000003</v>
      </c>
      <c r="H25" s="104">
        <f>F25-E25</f>
        <v>4.9399999999999995</v>
      </c>
      <c r="I25" s="100"/>
      <c r="J25" s="336"/>
      <c r="K25" s="91"/>
      <c r="L25" s="91"/>
      <c r="M25" s="91"/>
      <c r="N25" s="91"/>
    </row>
    <row r="26" spans="1:14" ht="17" thickBot="1" x14ac:dyDescent="0.25">
      <c r="A26" s="345"/>
      <c r="B26" s="105">
        <v>15</v>
      </c>
      <c r="C26" s="105">
        <v>3</v>
      </c>
      <c r="D26" s="105" t="s">
        <v>133</v>
      </c>
      <c r="E26" s="106">
        <f>1.37*2</f>
        <v>2.74</v>
      </c>
      <c r="F26" s="106">
        <f>4*2</f>
        <v>8</v>
      </c>
      <c r="G26" s="107">
        <f>E26/F26</f>
        <v>0.34250000000000003</v>
      </c>
      <c r="H26" s="108">
        <f>F26-E26</f>
        <v>5.26</v>
      </c>
      <c r="I26" s="109">
        <f>+I24+2.2</f>
        <v>8.8000000000000007</v>
      </c>
      <c r="J26" s="338"/>
      <c r="K26" s="91"/>
      <c r="L26" s="91"/>
      <c r="M26" s="91"/>
      <c r="N26" s="91"/>
    </row>
    <row r="27" spans="1:14" ht="16" x14ac:dyDescent="0.2">
      <c r="A27" s="345"/>
      <c r="B27" s="98">
        <v>16</v>
      </c>
      <c r="C27" s="98">
        <v>4</v>
      </c>
      <c r="D27" s="98" t="s">
        <v>134</v>
      </c>
      <c r="E27" s="102">
        <f>1.36*2</f>
        <v>2.72</v>
      </c>
      <c r="F27" s="102">
        <f>4.5*2</f>
        <v>9</v>
      </c>
      <c r="G27" s="103">
        <f t="shared" ref="G27:G34" si="2">E27/F27</f>
        <v>0.30222222222222223</v>
      </c>
      <c r="H27" s="104">
        <f t="shared" ref="H27:H34" si="3">F27-E27</f>
        <v>6.2799999999999994</v>
      </c>
      <c r="I27" s="100">
        <f>+I26+0.01</f>
        <v>8.81</v>
      </c>
      <c r="J27" s="335">
        <f>7/12</f>
        <v>0.58333333333333337</v>
      </c>
      <c r="K27" s="91"/>
      <c r="L27" s="91"/>
      <c r="M27" s="91"/>
      <c r="N27" s="91"/>
    </row>
    <row r="28" spans="1:14" ht="16" x14ac:dyDescent="0.2">
      <c r="A28" s="345"/>
      <c r="B28" s="98">
        <v>17</v>
      </c>
      <c r="C28" s="98">
        <v>5</v>
      </c>
      <c r="D28" s="98" t="s">
        <v>135</v>
      </c>
      <c r="E28" s="102">
        <f>1.38*2</f>
        <v>2.76</v>
      </c>
      <c r="F28" s="102">
        <f>4.6*2</f>
        <v>9.1999999999999993</v>
      </c>
      <c r="G28" s="103">
        <f t="shared" si="2"/>
        <v>0.3</v>
      </c>
      <c r="H28" s="104">
        <f t="shared" si="3"/>
        <v>6.4399999999999995</v>
      </c>
      <c r="I28" s="100"/>
      <c r="J28" s="336"/>
      <c r="K28" s="91"/>
      <c r="L28" s="91"/>
      <c r="M28" s="91"/>
      <c r="N28" s="91"/>
    </row>
    <row r="29" spans="1:14" ht="16" x14ac:dyDescent="0.2">
      <c r="A29" s="345"/>
      <c r="B29" s="98">
        <v>18</v>
      </c>
      <c r="C29" s="98">
        <v>6</v>
      </c>
      <c r="D29" s="98" t="s">
        <v>136</v>
      </c>
      <c r="E29" s="102">
        <f>1.4*2</f>
        <v>2.8</v>
      </c>
      <c r="F29" s="102">
        <f>4.7*2</f>
        <v>9.4</v>
      </c>
      <c r="G29" s="103">
        <f t="shared" si="2"/>
        <v>0.2978723404255319</v>
      </c>
      <c r="H29" s="104">
        <f t="shared" si="3"/>
        <v>6.6000000000000005</v>
      </c>
      <c r="I29" s="100"/>
      <c r="J29" s="336"/>
      <c r="K29" s="91"/>
      <c r="L29" s="91"/>
      <c r="M29" s="91"/>
      <c r="N29" s="91"/>
    </row>
    <row r="30" spans="1:14" ht="16" x14ac:dyDescent="0.2">
      <c r="A30" s="345"/>
      <c r="B30" s="98">
        <v>19</v>
      </c>
      <c r="C30" s="98">
        <v>7</v>
      </c>
      <c r="D30" s="98" t="s">
        <v>137</v>
      </c>
      <c r="E30" s="102">
        <f>1.41*2</f>
        <v>2.82</v>
      </c>
      <c r="F30" s="102">
        <f>4.8*2</f>
        <v>9.6</v>
      </c>
      <c r="G30" s="103">
        <f t="shared" si="2"/>
        <v>0.29375000000000001</v>
      </c>
      <c r="H30" s="104">
        <f t="shared" si="3"/>
        <v>6.7799999999999994</v>
      </c>
      <c r="I30" s="100"/>
      <c r="J30" s="336"/>
      <c r="K30" s="91"/>
      <c r="L30" s="91"/>
      <c r="M30" s="91"/>
      <c r="N30" s="91"/>
    </row>
    <row r="31" spans="1:14" ht="16" x14ac:dyDescent="0.2">
      <c r="A31" s="345"/>
      <c r="B31" s="98">
        <v>20</v>
      </c>
      <c r="C31" s="98">
        <v>8</v>
      </c>
      <c r="D31" s="98" t="s">
        <v>138</v>
      </c>
      <c r="E31" s="102">
        <f>1.43*2</f>
        <v>2.86</v>
      </c>
      <c r="F31" s="102">
        <f>4.9*2</f>
        <v>9.8000000000000007</v>
      </c>
      <c r="G31" s="103">
        <f t="shared" si="2"/>
        <v>0.2918367346938775</v>
      </c>
      <c r="H31" s="104">
        <f t="shared" si="3"/>
        <v>6.9400000000000013</v>
      </c>
      <c r="I31" s="100"/>
      <c r="J31" s="336"/>
      <c r="K31" s="91"/>
      <c r="L31" s="91"/>
      <c r="M31" s="91"/>
      <c r="N31" s="91"/>
    </row>
    <row r="32" spans="1:14" ht="16" x14ac:dyDescent="0.2">
      <c r="A32" s="345"/>
      <c r="B32" s="98">
        <v>21</v>
      </c>
      <c r="C32" s="98">
        <v>9</v>
      </c>
      <c r="D32" s="98" t="s">
        <v>139</v>
      </c>
      <c r="E32" s="102">
        <f>1.45*2</f>
        <v>2.9</v>
      </c>
      <c r="F32" s="102">
        <f>5*2</f>
        <v>10</v>
      </c>
      <c r="G32" s="103">
        <f t="shared" si="2"/>
        <v>0.28999999999999998</v>
      </c>
      <c r="H32" s="104">
        <f t="shared" si="3"/>
        <v>7.1</v>
      </c>
      <c r="I32" s="100"/>
      <c r="J32" s="336"/>
      <c r="K32" s="91"/>
      <c r="L32" s="91"/>
      <c r="M32" s="91"/>
      <c r="N32" s="91"/>
    </row>
    <row r="33" spans="1:20" ht="17" thickBot="1" x14ac:dyDescent="0.25">
      <c r="A33" s="345"/>
      <c r="B33" s="105">
        <v>22</v>
      </c>
      <c r="C33" s="105">
        <v>10</v>
      </c>
      <c r="D33" s="105" t="s">
        <v>140</v>
      </c>
      <c r="E33" s="106">
        <f>1.49*2</f>
        <v>2.98</v>
      </c>
      <c r="F33" s="106">
        <f>5.2*2</f>
        <v>10.4</v>
      </c>
      <c r="G33" s="107">
        <f t="shared" si="2"/>
        <v>0.28653846153846152</v>
      </c>
      <c r="H33" s="108">
        <f t="shared" si="3"/>
        <v>7.42</v>
      </c>
      <c r="I33" s="109">
        <f>+I26+2.2</f>
        <v>11</v>
      </c>
      <c r="J33" s="338"/>
      <c r="K33" s="91"/>
      <c r="L33" s="91"/>
      <c r="M33" s="91"/>
      <c r="N33" s="91"/>
    </row>
    <row r="34" spans="1:20" ht="16" x14ac:dyDescent="0.2">
      <c r="A34" s="345"/>
      <c r="B34" s="98">
        <v>23</v>
      </c>
      <c r="C34" s="98">
        <v>11</v>
      </c>
      <c r="D34" s="98" t="s">
        <v>141</v>
      </c>
      <c r="E34" s="102">
        <f>1.59*2</f>
        <v>3.18</v>
      </c>
      <c r="F34" s="102">
        <f>5.8*2</f>
        <v>11.6</v>
      </c>
      <c r="G34" s="103">
        <f t="shared" si="2"/>
        <v>0.27413793103448281</v>
      </c>
      <c r="H34" s="104">
        <f t="shared" si="3"/>
        <v>8.42</v>
      </c>
      <c r="I34" s="100">
        <f>+I33+0.01</f>
        <v>11.01</v>
      </c>
      <c r="J34" s="335">
        <f>2/12</f>
        <v>0.16666666666666666</v>
      </c>
      <c r="K34" s="91"/>
      <c r="L34" s="91"/>
      <c r="M34" s="91"/>
      <c r="N34" s="91"/>
    </row>
    <row r="35" spans="1:20" ht="16" x14ac:dyDescent="0.2">
      <c r="A35" s="345"/>
      <c r="B35" s="98">
        <v>24</v>
      </c>
      <c r="C35" s="98">
        <v>12</v>
      </c>
      <c r="D35" s="98" t="s">
        <v>142</v>
      </c>
      <c r="E35" s="102">
        <f>1.74*2</f>
        <v>3.48</v>
      </c>
      <c r="F35" s="102">
        <f>6.6*2</f>
        <v>13.2</v>
      </c>
      <c r="G35" s="103">
        <f>E35/F35</f>
        <v>0.26363636363636367</v>
      </c>
      <c r="H35" s="104">
        <f>F35-E35</f>
        <v>9.7199999999999989</v>
      </c>
      <c r="I35" s="100">
        <f>F35</f>
        <v>13.2</v>
      </c>
      <c r="J35" s="336"/>
      <c r="K35" s="91"/>
      <c r="L35" s="91"/>
      <c r="M35" s="91"/>
      <c r="N35" s="91"/>
    </row>
    <row r="36" spans="1:20" ht="19" x14ac:dyDescent="0.35">
      <c r="A36" s="345"/>
      <c r="B36" s="98"/>
      <c r="C36" s="98"/>
      <c r="D36" s="99" t="s">
        <v>88</v>
      </c>
      <c r="E36" s="110">
        <f>SUM(E24:E35)/C35</f>
        <v>2.8483333333333332</v>
      </c>
      <c r="F36" s="111">
        <f>SUM(F24:F35)/C35</f>
        <v>9.5333333333333332</v>
      </c>
      <c r="G36" s="116">
        <f>E36/F36</f>
        <v>0.29877622377622376</v>
      </c>
      <c r="H36" s="113">
        <f>F36-E36</f>
        <v>6.6850000000000005</v>
      </c>
      <c r="I36" s="114"/>
      <c r="J36" s="98"/>
      <c r="K36" s="91"/>
      <c r="L36" s="91"/>
      <c r="M36" s="91"/>
      <c r="N36" s="91"/>
    </row>
    <row r="37" spans="1:20" ht="17" thickBot="1" x14ac:dyDescent="0.25">
      <c r="A37" s="345"/>
      <c r="B37" s="98"/>
      <c r="C37" s="98"/>
      <c r="D37" s="98"/>
      <c r="E37" s="102"/>
      <c r="F37" s="102"/>
      <c r="G37" s="101"/>
      <c r="H37" s="115"/>
      <c r="I37" s="98"/>
      <c r="J37" s="98"/>
      <c r="K37" s="91"/>
      <c r="L37" s="91"/>
      <c r="M37" s="91"/>
      <c r="N37" s="91"/>
    </row>
    <row r="38" spans="1:20" ht="21" thickTop="1" thickBot="1" x14ac:dyDescent="0.4">
      <c r="A38" s="345"/>
      <c r="B38" s="98"/>
      <c r="C38" s="117"/>
      <c r="D38" s="118"/>
      <c r="E38" s="119"/>
      <c r="F38" s="119"/>
      <c r="G38" s="120"/>
      <c r="H38" s="121"/>
      <c r="I38" s="122"/>
      <c r="J38" s="98"/>
      <c r="K38" s="91"/>
      <c r="L38" s="91"/>
      <c r="M38" s="91"/>
      <c r="N38" s="91"/>
      <c r="O38" s="91"/>
      <c r="P38" s="91"/>
      <c r="Q38" s="91"/>
      <c r="R38" s="91"/>
      <c r="S38" s="91"/>
      <c r="T38" s="91"/>
    </row>
    <row r="39" spans="1:20" ht="18" thickTop="1" thickBot="1" x14ac:dyDescent="0.25">
      <c r="A39" s="345"/>
      <c r="B39" s="98"/>
      <c r="C39" s="123"/>
      <c r="D39" s="99"/>
      <c r="E39" s="124" t="s">
        <v>89</v>
      </c>
      <c r="F39" s="124" t="s">
        <v>90</v>
      </c>
      <c r="G39" s="125" t="s">
        <v>91</v>
      </c>
      <c r="H39" s="126" t="s">
        <v>92</v>
      </c>
      <c r="I39" s="127"/>
      <c r="J39" s="98"/>
      <c r="K39" s="91"/>
      <c r="L39" s="91"/>
      <c r="M39" s="91"/>
      <c r="N39" s="91"/>
      <c r="O39" s="91"/>
      <c r="P39" s="91"/>
      <c r="Q39" s="91"/>
      <c r="R39" s="91"/>
      <c r="S39" s="91"/>
      <c r="T39" s="91"/>
    </row>
    <row r="40" spans="1:20" ht="17" thickTop="1" x14ac:dyDescent="0.2">
      <c r="A40" s="345"/>
      <c r="B40" s="98"/>
      <c r="C40" s="123"/>
      <c r="D40" s="128" t="s">
        <v>93</v>
      </c>
      <c r="E40" s="102"/>
      <c r="F40" s="102"/>
      <c r="G40" s="101"/>
      <c r="H40" s="115"/>
      <c r="I40" s="129"/>
      <c r="J40" s="98"/>
      <c r="K40" s="91"/>
      <c r="L40" s="91"/>
      <c r="M40" s="91"/>
      <c r="N40" s="91"/>
      <c r="O40" s="91"/>
      <c r="P40" s="91"/>
      <c r="Q40" s="91"/>
      <c r="R40" s="91"/>
      <c r="S40" s="91"/>
      <c r="T40" s="91"/>
    </row>
    <row r="41" spans="1:20" ht="19" x14ac:dyDescent="0.35">
      <c r="A41" s="345"/>
      <c r="B41" s="98"/>
      <c r="C41" s="123"/>
      <c r="D41" s="99" t="s">
        <v>94</v>
      </c>
      <c r="E41" s="111">
        <f>+(E9+E10+E11+E12+E13+E14+E15+E16+E17+E18+E19+E20+E24+E25+E26+E27+E28+E29+E30+E31+E32+E33+E34+E35)/B35</f>
        <v>2.1649999999999996</v>
      </c>
      <c r="F41" s="111">
        <f>+(F9+F10+F11+F12+F13+F14+F15+F16+F17+F18+F19+F20+F24+F25+F26+F27+F28+F29+F30+F31+F32+F33+F34+F35)/B35</f>
        <v>7.1749999999999998</v>
      </c>
      <c r="G41" s="130">
        <f>E41/F41</f>
        <v>0.30174216027874562</v>
      </c>
      <c r="H41" s="131">
        <f>F41-E41</f>
        <v>5.01</v>
      </c>
      <c r="I41" s="132"/>
      <c r="J41" s="98"/>
      <c r="K41" s="91"/>
      <c r="L41" s="91"/>
      <c r="M41" s="91"/>
      <c r="N41" s="91"/>
      <c r="O41" s="91"/>
      <c r="P41" s="91"/>
      <c r="Q41" s="91"/>
      <c r="R41" s="91"/>
      <c r="S41" s="91"/>
      <c r="T41" s="91"/>
    </row>
    <row r="42" spans="1:20" ht="16" x14ac:dyDescent="0.2">
      <c r="A42" s="345"/>
      <c r="B42" s="98"/>
      <c r="C42" s="123"/>
      <c r="D42" s="98"/>
      <c r="E42" s="133"/>
      <c r="F42" s="133"/>
      <c r="G42" s="134"/>
      <c r="H42" s="135"/>
      <c r="I42" s="136"/>
      <c r="J42" s="98"/>
      <c r="K42" s="91"/>
      <c r="L42" s="91"/>
      <c r="M42" s="91"/>
      <c r="N42" s="91"/>
      <c r="O42" s="91"/>
      <c r="P42" s="91"/>
      <c r="Q42" s="91"/>
      <c r="R42" s="91"/>
      <c r="S42" s="91"/>
      <c r="T42" s="91"/>
    </row>
    <row r="43" spans="1:20" ht="17" thickBot="1" x14ac:dyDescent="0.25">
      <c r="A43" s="345"/>
      <c r="B43" s="98"/>
      <c r="C43" s="137"/>
      <c r="D43" s="138"/>
      <c r="E43" s="139"/>
      <c r="F43" s="139"/>
      <c r="G43" s="140"/>
      <c r="H43" s="141"/>
      <c r="I43" s="142"/>
      <c r="J43" s="98"/>
      <c r="K43" s="91"/>
      <c r="L43" s="91"/>
      <c r="M43" s="91"/>
      <c r="N43" s="91"/>
      <c r="O43" s="91"/>
      <c r="P43" s="91"/>
      <c r="Q43" s="91"/>
      <c r="R43" s="91"/>
      <c r="S43" s="91"/>
      <c r="T43" s="91"/>
    </row>
    <row r="44" spans="1:20" ht="17" thickTop="1" x14ac:dyDescent="0.2">
      <c r="A44" s="345"/>
      <c r="B44" s="98"/>
      <c r="C44" s="98"/>
      <c r="D44" s="98"/>
      <c r="E44" s="98"/>
      <c r="F44" s="98" t="s">
        <v>0</v>
      </c>
      <c r="G44" s="98"/>
      <c r="H44" s="98"/>
      <c r="I44" s="98"/>
      <c r="J44" s="98"/>
      <c r="K44" s="91"/>
      <c r="L44" s="91"/>
      <c r="M44" s="91"/>
      <c r="N44" s="91"/>
      <c r="O44" s="91"/>
      <c r="P44" s="91"/>
      <c r="Q44" s="91"/>
      <c r="R44" s="91"/>
      <c r="S44" s="91"/>
      <c r="T44" s="91"/>
    </row>
    <row r="45" spans="1:20" ht="22" x14ac:dyDescent="0.25">
      <c r="A45" s="345"/>
      <c r="D45" s="92" t="s">
        <v>95</v>
      </c>
      <c r="F45" s="93"/>
      <c r="K45" s="91"/>
      <c r="L45" s="91"/>
      <c r="M45" s="91"/>
      <c r="N45" s="91"/>
      <c r="O45" s="91"/>
      <c r="P45" s="91"/>
      <c r="Q45" s="91"/>
      <c r="R45" s="91"/>
      <c r="S45" s="91"/>
      <c r="T45" s="91"/>
    </row>
    <row r="46" spans="1:20" ht="23" thickBot="1" x14ac:dyDescent="0.3">
      <c r="A46" s="345"/>
      <c r="D46" s="94"/>
      <c r="K46" s="91"/>
      <c r="L46" s="91"/>
      <c r="M46" s="91"/>
      <c r="N46" s="91"/>
    </row>
    <row r="47" spans="1:20" ht="23" customHeight="1" thickTop="1" x14ac:dyDescent="0.25">
      <c r="A47" s="345"/>
      <c r="D47" s="94"/>
      <c r="E47" s="339" t="str">
        <f>E4</f>
        <v>Coûts des ressources alimentaires pour chaque produit offert (voir recettes standardisées)</v>
      </c>
      <c r="F47" s="339" t="str">
        <f>F4</f>
        <v>Prix de vente par produit offert</v>
      </c>
      <c r="G47" s="339" t="str">
        <f>G4</f>
        <v xml:space="preserve">« Food &amp; Beverage Cost » </v>
      </c>
      <c r="H47" s="339" t="str">
        <f>+H4</f>
        <v>Marge brute gagnée sur la vente de chaque produit offert</v>
      </c>
      <c r="I47" s="95"/>
      <c r="K47" s="91"/>
      <c r="L47" s="91"/>
      <c r="M47" s="91"/>
      <c r="N47" s="91"/>
    </row>
    <row r="48" spans="1:20" ht="22" x14ac:dyDescent="0.25">
      <c r="A48" s="345"/>
      <c r="D48" s="94"/>
      <c r="E48" s="340"/>
      <c r="F48" s="342"/>
      <c r="G48" s="342"/>
      <c r="H48" s="342"/>
      <c r="I48" s="96"/>
      <c r="K48" s="91"/>
      <c r="L48" s="91"/>
      <c r="M48" s="91"/>
      <c r="N48" s="91"/>
    </row>
    <row r="49" spans="1:14" ht="14" customHeight="1" thickBot="1" x14ac:dyDescent="0.2">
      <c r="A49" s="345"/>
      <c r="E49" s="341"/>
      <c r="F49" s="343"/>
      <c r="G49" s="343"/>
      <c r="H49" s="343"/>
      <c r="I49" s="96"/>
      <c r="K49" s="91"/>
      <c r="L49" s="91"/>
      <c r="M49" s="91"/>
      <c r="N49" s="91"/>
    </row>
    <row r="50" spans="1:14" ht="14" thickTop="1" x14ac:dyDescent="0.15">
      <c r="A50" s="345"/>
      <c r="B50" s="90" t="s">
        <v>0</v>
      </c>
      <c r="E50" s="93"/>
      <c r="F50" s="93"/>
      <c r="G50" s="97"/>
      <c r="K50" s="91"/>
      <c r="L50" s="91"/>
      <c r="M50" s="91"/>
      <c r="N50" s="91"/>
    </row>
    <row r="51" spans="1:14" ht="16" x14ac:dyDescent="0.2">
      <c r="A51" s="345"/>
      <c r="B51" s="98"/>
      <c r="C51" s="98"/>
      <c r="D51" s="99" t="str">
        <f t="shared" ref="D51:F64" si="4">D8</f>
        <v>Les Petites Gâteries</v>
      </c>
      <c r="E51" s="100"/>
      <c r="F51" s="100"/>
      <c r="G51" s="101"/>
      <c r="H51" s="98"/>
      <c r="I51" s="98"/>
      <c r="J51" s="98"/>
      <c r="K51" s="91"/>
      <c r="L51" s="91"/>
      <c r="M51" s="91"/>
      <c r="N51" s="91"/>
    </row>
    <row r="52" spans="1:14" ht="16" x14ac:dyDescent="0.2">
      <c r="A52" s="345"/>
      <c r="B52" s="98">
        <f t="shared" ref="B52:C63" si="5">B9</f>
        <v>1</v>
      </c>
      <c r="C52" s="98">
        <f t="shared" si="5"/>
        <v>1</v>
      </c>
      <c r="D52" s="98" t="str">
        <f t="shared" si="4"/>
        <v>Petite Gâterie 1</v>
      </c>
      <c r="E52" s="102">
        <f t="shared" si="4"/>
        <v>1.21</v>
      </c>
      <c r="F52" s="143">
        <f t="shared" si="4"/>
        <v>3.3</v>
      </c>
      <c r="G52" s="103">
        <f t="shared" ref="G52:G64" si="6">E52/F52</f>
        <v>0.3666666666666667</v>
      </c>
      <c r="H52" s="104">
        <f t="shared" ref="H52:H64" si="7">F52-E52</f>
        <v>2.09</v>
      </c>
      <c r="I52" s="100">
        <f>F52</f>
        <v>3.3</v>
      </c>
      <c r="J52" s="337">
        <f>3/12</f>
        <v>0.25</v>
      </c>
      <c r="K52" s="91"/>
      <c r="L52" s="91"/>
      <c r="M52" s="91"/>
      <c r="N52" s="91"/>
    </row>
    <row r="53" spans="1:14" ht="16" x14ac:dyDescent="0.2">
      <c r="A53" s="345"/>
      <c r="B53" s="98">
        <f t="shared" si="5"/>
        <v>2</v>
      </c>
      <c r="C53" s="98">
        <f t="shared" si="5"/>
        <v>2</v>
      </c>
      <c r="D53" s="98" t="str">
        <f t="shared" si="4"/>
        <v>Petite Gâterie 2</v>
      </c>
      <c r="E53" s="102">
        <f t="shared" si="4"/>
        <v>1.31</v>
      </c>
      <c r="F53" s="102">
        <f t="shared" si="4"/>
        <v>3.8</v>
      </c>
      <c r="G53" s="103">
        <f t="shared" si="6"/>
        <v>0.34473684210526317</v>
      </c>
      <c r="H53" s="104">
        <f t="shared" si="7"/>
        <v>2.4899999999999998</v>
      </c>
      <c r="I53" s="100"/>
      <c r="J53" s="336"/>
      <c r="K53" s="91"/>
      <c r="L53" s="91"/>
      <c r="M53" s="91"/>
      <c r="N53" s="91"/>
    </row>
    <row r="54" spans="1:14" ht="17" thickBot="1" x14ac:dyDescent="0.25">
      <c r="A54" s="345"/>
      <c r="B54" s="98">
        <f t="shared" si="5"/>
        <v>3</v>
      </c>
      <c r="C54" s="98">
        <f t="shared" si="5"/>
        <v>3</v>
      </c>
      <c r="D54" s="98" t="str">
        <f t="shared" si="4"/>
        <v>Petite Gâterie 3</v>
      </c>
      <c r="E54" s="102">
        <f t="shared" si="4"/>
        <v>1.35</v>
      </c>
      <c r="F54" s="102">
        <f t="shared" si="4"/>
        <v>4</v>
      </c>
      <c r="G54" s="103">
        <f t="shared" si="6"/>
        <v>0.33750000000000002</v>
      </c>
      <c r="H54" s="104">
        <f t="shared" si="7"/>
        <v>2.65</v>
      </c>
      <c r="I54" s="109">
        <f>+I52+1.1</f>
        <v>4.4000000000000004</v>
      </c>
      <c r="J54" s="338"/>
      <c r="K54" s="91"/>
      <c r="L54" s="91"/>
      <c r="M54" s="91"/>
      <c r="N54" s="91"/>
    </row>
    <row r="55" spans="1:14" ht="16" x14ac:dyDescent="0.2">
      <c r="A55" s="345"/>
      <c r="B55" s="98">
        <f t="shared" si="5"/>
        <v>4</v>
      </c>
      <c r="C55" s="98">
        <f t="shared" si="5"/>
        <v>4</v>
      </c>
      <c r="D55" s="98" t="str">
        <f t="shared" si="4"/>
        <v>Petite Gâterie 4</v>
      </c>
      <c r="E55" s="102">
        <f t="shared" si="4"/>
        <v>1.4</v>
      </c>
      <c r="F55" s="102">
        <f t="shared" si="4"/>
        <v>4.5</v>
      </c>
      <c r="G55" s="103">
        <f t="shared" si="6"/>
        <v>0.31111111111111112</v>
      </c>
      <c r="H55" s="104">
        <f t="shared" si="7"/>
        <v>3.1</v>
      </c>
      <c r="I55" s="100">
        <f>+I54+0.01</f>
        <v>4.41</v>
      </c>
      <c r="J55" s="335">
        <f>7/12</f>
        <v>0.58333333333333337</v>
      </c>
      <c r="K55" s="91"/>
      <c r="L55" s="91"/>
      <c r="M55" s="91"/>
      <c r="N55" s="91"/>
    </row>
    <row r="56" spans="1:14" ht="16" x14ac:dyDescent="0.2">
      <c r="A56" s="345"/>
      <c r="B56" s="98">
        <f t="shared" si="5"/>
        <v>5</v>
      </c>
      <c r="C56" s="98">
        <f t="shared" si="5"/>
        <v>5</v>
      </c>
      <c r="D56" s="98" t="str">
        <f t="shared" si="4"/>
        <v>Petite Gâterie 5</v>
      </c>
      <c r="E56" s="102">
        <f t="shared" si="4"/>
        <v>1.24</v>
      </c>
      <c r="F56" s="102">
        <f t="shared" si="4"/>
        <v>4.5999999999999996</v>
      </c>
      <c r="G56" s="103">
        <f t="shared" si="6"/>
        <v>0.26956521739130435</v>
      </c>
      <c r="H56" s="104">
        <f t="shared" si="7"/>
        <v>3.3599999999999994</v>
      </c>
      <c r="I56" s="100"/>
      <c r="J56" s="336"/>
      <c r="K56" s="91"/>
      <c r="L56" s="91"/>
      <c r="M56" s="91"/>
      <c r="N56" s="91"/>
    </row>
    <row r="57" spans="1:14" ht="16" x14ac:dyDescent="0.2">
      <c r="A57" s="345"/>
      <c r="B57" s="98">
        <f t="shared" si="5"/>
        <v>6</v>
      </c>
      <c r="C57" s="98">
        <f t="shared" si="5"/>
        <v>6</v>
      </c>
      <c r="D57" s="98" t="str">
        <f t="shared" si="4"/>
        <v>Petite Gâterie 6</v>
      </c>
      <c r="E57" s="102">
        <f t="shared" si="4"/>
        <v>1.39</v>
      </c>
      <c r="F57" s="102">
        <f t="shared" si="4"/>
        <v>4.7</v>
      </c>
      <c r="G57" s="103">
        <f t="shared" si="6"/>
        <v>0.29574468085106381</v>
      </c>
      <c r="H57" s="104">
        <f t="shared" si="7"/>
        <v>3.3100000000000005</v>
      </c>
      <c r="I57" s="100"/>
      <c r="J57" s="336"/>
      <c r="K57" s="91"/>
      <c r="L57" s="91"/>
      <c r="M57" s="91"/>
      <c r="N57" s="91"/>
    </row>
    <row r="58" spans="1:14" ht="16" x14ac:dyDescent="0.2">
      <c r="A58" s="345"/>
      <c r="B58" s="98">
        <f t="shared" si="5"/>
        <v>7</v>
      </c>
      <c r="C58" s="98">
        <f t="shared" si="5"/>
        <v>7</v>
      </c>
      <c r="D58" s="98" t="str">
        <f t="shared" si="4"/>
        <v>Petite Gâterie 7</v>
      </c>
      <c r="E58" s="102">
        <f t="shared" si="4"/>
        <v>1.51</v>
      </c>
      <c r="F58" s="102">
        <f t="shared" si="4"/>
        <v>4.8</v>
      </c>
      <c r="G58" s="103">
        <f t="shared" si="6"/>
        <v>0.31458333333333333</v>
      </c>
      <c r="H58" s="104">
        <f t="shared" si="7"/>
        <v>3.29</v>
      </c>
      <c r="I58" s="100"/>
      <c r="J58" s="336"/>
      <c r="K58" s="91"/>
      <c r="L58" s="91"/>
      <c r="M58" s="91"/>
      <c r="N58" s="91"/>
    </row>
    <row r="59" spans="1:14" ht="16" x14ac:dyDescent="0.2">
      <c r="A59" s="345"/>
      <c r="B59" s="98">
        <f t="shared" si="5"/>
        <v>8</v>
      </c>
      <c r="C59" s="98">
        <f t="shared" si="5"/>
        <v>8</v>
      </c>
      <c r="D59" s="98" t="str">
        <f t="shared" si="4"/>
        <v>Petite Gâterie 8</v>
      </c>
      <c r="E59" s="102">
        <f t="shared" si="4"/>
        <v>1.53</v>
      </c>
      <c r="F59" s="102">
        <f t="shared" si="4"/>
        <v>4.9000000000000004</v>
      </c>
      <c r="G59" s="103">
        <f t="shared" si="6"/>
        <v>0.31224489795918364</v>
      </c>
      <c r="H59" s="104">
        <f t="shared" si="7"/>
        <v>3.37</v>
      </c>
      <c r="I59" s="100"/>
      <c r="J59" s="336"/>
      <c r="K59" s="91"/>
      <c r="L59" s="91"/>
      <c r="M59" s="91"/>
      <c r="N59" s="91"/>
    </row>
    <row r="60" spans="1:14" ht="16" x14ac:dyDescent="0.2">
      <c r="A60" s="345"/>
      <c r="B60" s="98">
        <f t="shared" si="5"/>
        <v>9</v>
      </c>
      <c r="C60" s="98">
        <f t="shared" si="5"/>
        <v>9</v>
      </c>
      <c r="D60" s="98" t="str">
        <f t="shared" si="4"/>
        <v>Petite Gâterie 9</v>
      </c>
      <c r="E60" s="102">
        <f t="shared" si="4"/>
        <v>1.55</v>
      </c>
      <c r="F60" s="102">
        <f t="shared" si="4"/>
        <v>5</v>
      </c>
      <c r="G60" s="103">
        <f t="shared" si="6"/>
        <v>0.31</v>
      </c>
      <c r="H60" s="104">
        <f t="shared" si="7"/>
        <v>3.45</v>
      </c>
      <c r="I60" s="100"/>
      <c r="J60" s="336"/>
      <c r="K60" s="91"/>
      <c r="L60" s="91"/>
      <c r="M60" s="91"/>
      <c r="N60" s="91"/>
    </row>
    <row r="61" spans="1:14" ht="17" thickBot="1" x14ac:dyDescent="0.25">
      <c r="A61" s="345"/>
      <c r="B61" s="98">
        <f t="shared" si="5"/>
        <v>10</v>
      </c>
      <c r="C61" s="98">
        <f t="shared" si="5"/>
        <v>10</v>
      </c>
      <c r="D61" s="98" t="str">
        <f t="shared" si="4"/>
        <v>Petite Gâterie 10</v>
      </c>
      <c r="E61" s="102">
        <f t="shared" si="4"/>
        <v>1.59</v>
      </c>
      <c r="F61" s="102">
        <f t="shared" si="4"/>
        <v>5.2</v>
      </c>
      <c r="G61" s="103">
        <f t="shared" si="6"/>
        <v>0.30576923076923079</v>
      </c>
      <c r="H61" s="104">
        <f t="shared" si="7"/>
        <v>3.6100000000000003</v>
      </c>
      <c r="I61" s="109">
        <f>+I54+1.1</f>
        <v>5.5</v>
      </c>
      <c r="J61" s="338"/>
      <c r="K61" s="91"/>
      <c r="L61" s="91"/>
      <c r="M61" s="91"/>
      <c r="N61" s="91"/>
    </row>
    <row r="62" spans="1:14" ht="16" x14ac:dyDescent="0.2">
      <c r="A62" s="345"/>
      <c r="B62" s="98">
        <f t="shared" si="5"/>
        <v>11</v>
      </c>
      <c r="C62" s="98">
        <f t="shared" si="5"/>
        <v>11</v>
      </c>
      <c r="D62" s="98" t="str">
        <f t="shared" si="4"/>
        <v>Petite Gâterie 11</v>
      </c>
      <c r="E62" s="102">
        <f t="shared" si="4"/>
        <v>1.83</v>
      </c>
      <c r="F62" s="102">
        <f t="shared" si="4"/>
        <v>6.4</v>
      </c>
      <c r="G62" s="103">
        <f t="shared" si="6"/>
        <v>0.28593750000000001</v>
      </c>
      <c r="H62" s="104">
        <f t="shared" si="7"/>
        <v>4.57</v>
      </c>
      <c r="I62" s="100">
        <f>+I61+0.01</f>
        <v>5.51</v>
      </c>
      <c r="J62" s="335">
        <f>2/12</f>
        <v>0.16666666666666666</v>
      </c>
      <c r="K62" s="91"/>
      <c r="L62" s="91"/>
      <c r="M62" s="91"/>
      <c r="N62" s="91"/>
    </row>
    <row r="63" spans="1:14" ht="16" x14ac:dyDescent="0.2">
      <c r="A63" s="345"/>
      <c r="B63" s="98">
        <f t="shared" si="5"/>
        <v>12</v>
      </c>
      <c r="C63" s="98">
        <f t="shared" si="5"/>
        <v>12</v>
      </c>
      <c r="D63" s="98" t="str">
        <f t="shared" si="4"/>
        <v>Petite Gâterie 12</v>
      </c>
      <c r="E63" s="102">
        <f t="shared" si="4"/>
        <v>1.87</v>
      </c>
      <c r="F63" s="102">
        <f t="shared" si="4"/>
        <v>6.6</v>
      </c>
      <c r="G63" s="103">
        <f t="shared" si="6"/>
        <v>0.28333333333333338</v>
      </c>
      <c r="H63" s="104">
        <f t="shared" si="7"/>
        <v>4.7299999999999995</v>
      </c>
      <c r="I63" s="100">
        <f>F63</f>
        <v>6.6</v>
      </c>
      <c r="J63" s="336"/>
      <c r="K63" s="91"/>
      <c r="L63" s="91"/>
      <c r="M63" s="91"/>
      <c r="N63" s="91"/>
    </row>
    <row r="64" spans="1:14" ht="19" x14ac:dyDescent="0.35">
      <c r="A64" s="345"/>
      <c r="B64" s="98"/>
      <c r="C64" s="98"/>
      <c r="D64" s="99" t="str">
        <f t="shared" si="4"/>
        <v>CmO—PmO—Food Cost—BmO</v>
      </c>
      <c r="E64" s="110">
        <f>SUM(E52:E63)/C63</f>
        <v>1.4816666666666667</v>
      </c>
      <c r="F64" s="111">
        <f>SUM(F52:F63)/C63</f>
        <v>4.8166666666666673</v>
      </c>
      <c r="G64" s="112">
        <f t="shared" si="6"/>
        <v>0.30761245674740478</v>
      </c>
      <c r="H64" s="113">
        <f t="shared" si="7"/>
        <v>3.3350000000000009</v>
      </c>
      <c r="I64" s="114"/>
      <c r="J64" s="98"/>
      <c r="K64" s="91"/>
      <c r="L64" s="91"/>
      <c r="M64" s="91"/>
      <c r="N64" s="91"/>
    </row>
    <row r="65" spans="1:15" ht="16" x14ac:dyDescent="0.2">
      <c r="A65" s="345"/>
      <c r="B65" s="98" t="s">
        <v>0</v>
      </c>
      <c r="C65" s="98"/>
      <c r="D65" s="98"/>
      <c r="E65" s="102"/>
      <c r="F65" s="102"/>
      <c r="G65" s="103"/>
      <c r="H65" s="115"/>
      <c r="I65" s="100"/>
      <c r="J65" s="98"/>
      <c r="K65" s="91"/>
      <c r="L65" s="91"/>
      <c r="M65" s="91"/>
      <c r="N65" s="91"/>
    </row>
    <row r="66" spans="1:15" ht="16" x14ac:dyDescent="0.2">
      <c r="A66" s="345"/>
      <c r="B66" s="98"/>
      <c r="C66" s="98"/>
      <c r="D66" s="99" t="str">
        <f t="shared" ref="D66:F79" si="8">D23</f>
        <v>Les Boissons  Gâteries</v>
      </c>
      <c r="E66" s="102"/>
      <c r="F66" s="102"/>
      <c r="G66" s="103"/>
      <c r="H66" s="115"/>
      <c r="I66" s="100"/>
      <c r="J66" s="98"/>
      <c r="K66" s="91"/>
      <c r="L66" s="91"/>
      <c r="M66" s="91"/>
      <c r="N66" s="91"/>
    </row>
    <row r="67" spans="1:15" ht="16" x14ac:dyDescent="0.2">
      <c r="A67" s="345"/>
      <c r="B67" s="98">
        <f t="shared" ref="B67:C78" si="9">B24</f>
        <v>13</v>
      </c>
      <c r="C67" s="98">
        <f t="shared" si="9"/>
        <v>1</v>
      </c>
      <c r="D67" s="98" t="str">
        <f t="shared" si="8"/>
        <v>Boisson spéciale numéro 1</v>
      </c>
      <c r="E67" s="102">
        <f t="shared" si="8"/>
        <v>2.2799999999999998</v>
      </c>
      <c r="F67" s="143">
        <f t="shared" si="8"/>
        <v>6.6</v>
      </c>
      <c r="G67" s="103">
        <f>E67/F67</f>
        <v>0.34545454545454546</v>
      </c>
      <c r="H67" s="104">
        <f>F67-E67</f>
        <v>4.32</v>
      </c>
      <c r="I67" s="100">
        <f>F67</f>
        <v>6.6</v>
      </c>
      <c r="J67" s="337">
        <f>3/12</f>
        <v>0.25</v>
      </c>
      <c r="K67" s="91"/>
      <c r="L67" s="91"/>
      <c r="M67" s="91"/>
      <c r="N67" s="91"/>
    </row>
    <row r="68" spans="1:15" ht="16" x14ac:dyDescent="0.2">
      <c r="A68" s="345"/>
      <c r="B68" s="98">
        <f t="shared" si="9"/>
        <v>14</v>
      </c>
      <c r="C68" s="98">
        <f t="shared" si="9"/>
        <v>2</v>
      </c>
      <c r="D68" s="98" t="str">
        <f t="shared" si="8"/>
        <v>Boisson spéciale numéro 2</v>
      </c>
      <c r="E68" s="102">
        <f t="shared" si="8"/>
        <v>2.66</v>
      </c>
      <c r="F68" s="102">
        <f t="shared" si="8"/>
        <v>7.6</v>
      </c>
      <c r="G68" s="103">
        <f>E68/F68</f>
        <v>0.35000000000000003</v>
      </c>
      <c r="H68" s="104">
        <f>F68-E68</f>
        <v>4.9399999999999995</v>
      </c>
      <c r="I68" s="100"/>
      <c r="J68" s="336"/>
      <c r="K68" s="91"/>
      <c r="L68" s="91"/>
      <c r="M68" s="91"/>
      <c r="N68" s="91"/>
      <c r="O68" s="91"/>
    </row>
    <row r="69" spans="1:15" ht="17" thickBot="1" x14ac:dyDescent="0.25">
      <c r="A69" s="345"/>
      <c r="B69" s="98">
        <f t="shared" si="9"/>
        <v>15</v>
      </c>
      <c r="C69" s="98">
        <f t="shared" si="9"/>
        <v>3</v>
      </c>
      <c r="D69" s="98" t="str">
        <f t="shared" si="8"/>
        <v>Boisson spéciale numéro 3</v>
      </c>
      <c r="E69" s="102">
        <f t="shared" si="8"/>
        <v>2.74</v>
      </c>
      <c r="F69" s="102">
        <f t="shared" si="8"/>
        <v>8</v>
      </c>
      <c r="G69" s="103">
        <f>E69/F69</f>
        <v>0.34250000000000003</v>
      </c>
      <c r="H69" s="104">
        <f>F69-E69</f>
        <v>5.26</v>
      </c>
      <c r="I69" s="109">
        <f>+I67+2.2</f>
        <v>8.8000000000000007</v>
      </c>
      <c r="J69" s="338"/>
      <c r="K69" s="91"/>
      <c r="L69" s="91"/>
      <c r="M69" s="91"/>
      <c r="N69" s="91"/>
      <c r="O69" s="91"/>
    </row>
    <row r="70" spans="1:15" ht="16" x14ac:dyDescent="0.2">
      <c r="A70" s="345"/>
      <c r="B70" s="98">
        <f t="shared" si="9"/>
        <v>16</v>
      </c>
      <c r="C70" s="98">
        <f t="shared" si="9"/>
        <v>4</v>
      </c>
      <c r="D70" s="98" t="str">
        <f t="shared" si="8"/>
        <v>Boisson spéciale numéro 4</v>
      </c>
      <c r="E70" s="102">
        <f t="shared" si="8"/>
        <v>2.72</v>
      </c>
      <c r="F70" s="102">
        <f t="shared" si="8"/>
        <v>9</v>
      </c>
      <c r="G70" s="103">
        <f t="shared" ref="G70:G77" si="10">E70/F70</f>
        <v>0.30222222222222223</v>
      </c>
      <c r="H70" s="104">
        <f t="shared" ref="H70:H77" si="11">F70-E70</f>
        <v>6.2799999999999994</v>
      </c>
      <c r="I70" s="100">
        <f>+I69+0.01</f>
        <v>8.81</v>
      </c>
      <c r="J70" s="335">
        <f>7/12</f>
        <v>0.58333333333333337</v>
      </c>
      <c r="K70" s="91"/>
      <c r="L70" s="91"/>
      <c r="M70" s="91"/>
      <c r="N70" s="91"/>
      <c r="O70" s="91"/>
    </row>
    <row r="71" spans="1:15" ht="16" x14ac:dyDescent="0.2">
      <c r="A71" s="345"/>
      <c r="B71" s="98">
        <f t="shared" si="9"/>
        <v>17</v>
      </c>
      <c r="C71" s="98">
        <f t="shared" si="9"/>
        <v>5</v>
      </c>
      <c r="D71" s="98" t="str">
        <f t="shared" si="8"/>
        <v>Boisson spéciale numéro 5</v>
      </c>
      <c r="E71" s="102">
        <f t="shared" si="8"/>
        <v>2.76</v>
      </c>
      <c r="F71" s="102">
        <f t="shared" si="8"/>
        <v>9.1999999999999993</v>
      </c>
      <c r="G71" s="103">
        <f t="shared" si="10"/>
        <v>0.3</v>
      </c>
      <c r="H71" s="104">
        <f t="shared" si="11"/>
        <v>6.4399999999999995</v>
      </c>
      <c r="I71" s="100"/>
      <c r="J71" s="336"/>
      <c r="K71" s="91"/>
      <c r="L71" s="91"/>
      <c r="M71" s="91"/>
      <c r="N71" s="91"/>
      <c r="O71" s="91"/>
    </row>
    <row r="72" spans="1:15" ht="16" x14ac:dyDescent="0.2">
      <c r="A72" s="345"/>
      <c r="B72" s="98">
        <f t="shared" si="9"/>
        <v>18</v>
      </c>
      <c r="C72" s="98">
        <f t="shared" si="9"/>
        <v>6</v>
      </c>
      <c r="D72" s="98" t="str">
        <f t="shared" si="8"/>
        <v>Boisson spéciale numéro 6</v>
      </c>
      <c r="E72" s="102">
        <f t="shared" si="8"/>
        <v>2.8</v>
      </c>
      <c r="F72" s="102">
        <f t="shared" si="8"/>
        <v>9.4</v>
      </c>
      <c r="G72" s="103">
        <f t="shared" si="10"/>
        <v>0.2978723404255319</v>
      </c>
      <c r="H72" s="104">
        <f t="shared" si="11"/>
        <v>6.6000000000000005</v>
      </c>
      <c r="I72" s="100"/>
      <c r="J72" s="336"/>
      <c r="K72" s="91"/>
      <c r="L72" s="91"/>
      <c r="M72" s="91"/>
      <c r="N72" s="91"/>
      <c r="O72" s="91"/>
    </row>
    <row r="73" spans="1:15" ht="16" x14ac:dyDescent="0.2">
      <c r="A73" s="345"/>
      <c r="B73" s="98">
        <f t="shared" si="9"/>
        <v>19</v>
      </c>
      <c r="C73" s="98">
        <f t="shared" si="9"/>
        <v>7</v>
      </c>
      <c r="D73" s="98" t="str">
        <f t="shared" si="8"/>
        <v>Boisson spéciale numéro 7</v>
      </c>
      <c r="E73" s="102">
        <f t="shared" si="8"/>
        <v>2.82</v>
      </c>
      <c r="F73" s="102">
        <f t="shared" si="8"/>
        <v>9.6</v>
      </c>
      <c r="G73" s="103">
        <f t="shared" si="10"/>
        <v>0.29375000000000001</v>
      </c>
      <c r="H73" s="104">
        <f t="shared" si="11"/>
        <v>6.7799999999999994</v>
      </c>
      <c r="I73" s="100"/>
      <c r="J73" s="336"/>
      <c r="K73" s="91"/>
      <c r="L73" s="91"/>
      <c r="M73" s="91"/>
      <c r="N73" s="91"/>
      <c r="O73" s="91"/>
    </row>
    <row r="74" spans="1:15" ht="16" x14ac:dyDescent="0.2">
      <c r="A74" s="345"/>
      <c r="B74" s="98">
        <f t="shared" si="9"/>
        <v>20</v>
      </c>
      <c r="C74" s="98">
        <f t="shared" si="9"/>
        <v>8</v>
      </c>
      <c r="D74" s="98" t="str">
        <f t="shared" si="8"/>
        <v>Boisson spéciale numéro 8</v>
      </c>
      <c r="E74" s="102">
        <f t="shared" si="8"/>
        <v>2.86</v>
      </c>
      <c r="F74" s="102">
        <f t="shared" si="8"/>
        <v>9.8000000000000007</v>
      </c>
      <c r="G74" s="103">
        <f t="shared" si="10"/>
        <v>0.2918367346938775</v>
      </c>
      <c r="H74" s="104">
        <f t="shared" si="11"/>
        <v>6.9400000000000013</v>
      </c>
      <c r="I74" s="100"/>
      <c r="J74" s="336"/>
      <c r="K74" s="91"/>
      <c r="L74" s="91"/>
      <c r="M74" s="91"/>
      <c r="N74" s="91"/>
      <c r="O74" s="91"/>
    </row>
    <row r="75" spans="1:15" ht="16" x14ac:dyDescent="0.2">
      <c r="A75" s="345"/>
      <c r="B75" s="98">
        <f t="shared" si="9"/>
        <v>21</v>
      </c>
      <c r="C75" s="98">
        <f t="shared" si="9"/>
        <v>9</v>
      </c>
      <c r="D75" s="98" t="str">
        <f t="shared" si="8"/>
        <v>Boisson spéciale numéro 9</v>
      </c>
      <c r="E75" s="102">
        <f t="shared" si="8"/>
        <v>2.9</v>
      </c>
      <c r="F75" s="102">
        <f t="shared" si="8"/>
        <v>10</v>
      </c>
      <c r="G75" s="103">
        <f t="shared" si="10"/>
        <v>0.28999999999999998</v>
      </c>
      <c r="H75" s="104">
        <f t="shared" si="11"/>
        <v>7.1</v>
      </c>
      <c r="I75" s="100"/>
      <c r="J75" s="336"/>
      <c r="K75" s="91"/>
      <c r="L75" s="91"/>
      <c r="M75" s="91"/>
      <c r="N75" s="91"/>
      <c r="O75" s="91"/>
    </row>
    <row r="76" spans="1:15" ht="17" thickBot="1" x14ac:dyDescent="0.25">
      <c r="A76" s="345"/>
      <c r="B76" s="98">
        <f t="shared" si="9"/>
        <v>22</v>
      </c>
      <c r="C76" s="98">
        <f t="shared" si="9"/>
        <v>10</v>
      </c>
      <c r="D76" s="98" t="str">
        <f t="shared" si="8"/>
        <v>Boisson spéciale numéro 10</v>
      </c>
      <c r="E76" s="102">
        <f t="shared" si="8"/>
        <v>2.98</v>
      </c>
      <c r="F76" s="102">
        <f t="shared" si="8"/>
        <v>10.4</v>
      </c>
      <c r="G76" s="103">
        <f t="shared" si="10"/>
        <v>0.28653846153846152</v>
      </c>
      <c r="H76" s="104">
        <f t="shared" si="11"/>
        <v>7.42</v>
      </c>
      <c r="I76" s="109">
        <f>+I69+2.2</f>
        <v>11</v>
      </c>
      <c r="J76" s="338"/>
      <c r="K76" s="91"/>
      <c r="L76" s="91"/>
      <c r="M76" s="91"/>
      <c r="N76" s="91"/>
    </row>
    <row r="77" spans="1:15" ht="16" x14ac:dyDescent="0.2">
      <c r="A77" s="345"/>
      <c r="B77" s="98">
        <f t="shared" si="9"/>
        <v>23</v>
      </c>
      <c r="C77" s="98">
        <f t="shared" si="9"/>
        <v>11</v>
      </c>
      <c r="D77" s="98" t="str">
        <f t="shared" si="8"/>
        <v>Boisson spéciale numéro 11</v>
      </c>
      <c r="E77" s="102">
        <f t="shared" si="8"/>
        <v>3.18</v>
      </c>
      <c r="F77" s="102">
        <f t="shared" si="8"/>
        <v>11.6</v>
      </c>
      <c r="G77" s="103">
        <f t="shared" si="10"/>
        <v>0.27413793103448281</v>
      </c>
      <c r="H77" s="104">
        <f t="shared" si="11"/>
        <v>8.42</v>
      </c>
      <c r="I77" s="100">
        <f>+I76+0.01</f>
        <v>11.01</v>
      </c>
      <c r="J77" s="335">
        <f>2/12</f>
        <v>0.16666666666666666</v>
      </c>
      <c r="K77" s="91"/>
      <c r="L77" s="91"/>
      <c r="M77" s="91"/>
      <c r="N77" s="91"/>
    </row>
    <row r="78" spans="1:15" ht="16" x14ac:dyDescent="0.2">
      <c r="A78" s="345"/>
      <c r="B78" s="98">
        <f t="shared" si="9"/>
        <v>24</v>
      </c>
      <c r="C78" s="98">
        <f t="shared" si="9"/>
        <v>12</v>
      </c>
      <c r="D78" s="98" t="str">
        <f t="shared" si="8"/>
        <v>Boisson spéciale numéro 12</v>
      </c>
      <c r="E78" s="102">
        <f t="shared" si="8"/>
        <v>3.48</v>
      </c>
      <c r="F78" s="102">
        <f t="shared" si="8"/>
        <v>13.2</v>
      </c>
      <c r="G78" s="103">
        <f>E78/F78</f>
        <v>0.26363636363636367</v>
      </c>
      <c r="H78" s="104">
        <f>F78-E78</f>
        <v>9.7199999999999989</v>
      </c>
      <c r="I78" s="100">
        <f>F78</f>
        <v>13.2</v>
      </c>
      <c r="J78" s="336"/>
      <c r="K78" s="91"/>
      <c r="L78" s="91"/>
      <c r="M78" s="91"/>
      <c r="N78" s="91"/>
    </row>
    <row r="79" spans="1:15" ht="19" x14ac:dyDescent="0.35">
      <c r="A79" s="345"/>
      <c r="B79" s="98"/>
      <c r="C79" s="98"/>
      <c r="D79" s="99" t="str">
        <f t="shared" si="8"/>
        <v>CmO—PmO—Beverage Cost—Marge brute</v>
      </c>
      <c r="E79" s="110">
        <f>SUM(E67:E78)/C78</f>
        <v>2.8483333333333332</v>
      </c>
      <c r="F79" s="111">
        <f>SUM(F67:F78)/C78</f>
        <v>9.5333333333333332</v>
      </c>
      <c r="G79" s="116">
        <f>E79/F79</f>
        <v>0.29877622377622376</v>
      </c>
      <c r="H79" s="113">
        <f>F79-E79</f>
        <v>6.6850000000000005</v>
      </c>
      <c r="I79" s="114"/>
      <c r="J79" s="98"/>
      <c r="K79" s="91"/>
      <c r="L79" s="91"/>
      <c r="M79" s="91"/>
      <c r="N79" s="91"/>
    </row>
    <row r="80" spans="1:15" ht="17" thickBot="1" x14ac:dyDescent="0.25">
      <c r="A80" s="345"/>
      <c r="B80" s="98"/>
      <c r="C80" s="98"/>
      <c r="D80" s="98"/>
      <c r="E80" s="102"/>
      <c r="F80" s="102"/>
      <c r="G80" s="101"/>
      <c r="H80" s="115"/>
      <c r="I80" s="98"/>
      <c r="J80" s="98"/>
      <c r="K80" s="91"/>
      <c r="L80" s="91"/>
      <c r="M80" s="91"/>
      <c r="N80" s="91"/>
    </row>
    <row r="81" spans="1:14" ht="21" thickTop="1" thickBot="1" x14ac:dyDescent="0.4">
      <c r="A81" s="345"/>
      <c r="B81" s="98"/>
      <c r="C81" s="117"/>
      <c r="D81" s="118"/>
      <c r="E81" s="119"/>
      <c r="F81" s="119"/>
      <c r="G81" s="120"/>
      <c r="H81" s="121"/>
      <c r="I81" s="122"/>
      <c r="J81" s="98"/>
      <c r="K81" s="91"/>
      <c r="L81" s="91"/>
      <c r="M81" s="91"/>
      <c r="N81" s="91"/>
    </row>
    <row r="82" spans="1:14" ht="18" thickTop="1" thickBot="1" x14ac:dyDescent="0.25">
      <c r="A82" s="345"/>
      <c r="B82" s="98"/>
      <c r="C82" s="123"/>
      <c r="D82" s="99"/>
      <c r="E82" s="124" t="str">
        <f>E39</f>
        <v>CmO</v>
      </c>
      <c r="F82" s="124" t="str">
        <f>F39</f>
        <v>PmO</v>
      </c>
      <c r="G82" s="125" t="str">
        <f>G39</f>
        <v>F&amp;BCmO</v>
      </c>
      <c r="H82" s="126" t="str">
        <f>H39</f>
        <v>BmO</v>
      </c>
      <c r="I82" s="127"/>
      <c r="J82" s="98"/>
      <c r="K82" s="91"/>
      <c r="L82" s="91"/>
      <c r="M82" s="91"/>
      <c r="N82" s="91"/>
    </row>
    <row r="83" spans="1:14" ht="17" thickTop="1" x14ac:dyDescent="0.2">
      <c r="A83" s="345"/>
      <c r="B83" s="98"/>
      <c r="C83" s="123"/>
      <c r="D83" s="128" t="str">
        <f>D40</f>
        <v>OFFRE TOTALE AVEC LES GÂTERIES ET LES CAFÉS GÂTERIES</v>
      </c>
      <c r="E83" s="102"/>
      <c r="F83" s="102"/>
      <c r="G83" s="101"/>
      <c r="H83" s="115"/>
      <c r="I83" s="129"/>
      <c r="J83" s="98"/>
      <c r="K83" s="91"/>
      <c r="L83" s="91"/>
      <c r="M83" s="91"/>
      <c r="N83" s="91"/>
    </row>
    <row r="84" spans="1:14" ht="19" x14ac:dyDescent="0.35">
      <c r="A84" s="345"/>
      <c r="B84" s="98"/>
      <c r="C84" s="123"/>
      <c r="D84" s="99" t="str">
        <f>D41</f>
        <v>CmO—PmO—F&amp;B cost moyen offert—Marge brute</v>
      </c>
      <c r="E84" s="111">
        <f>+(E52+E53+E54+E55+E56+E57+E58+E59+E60+E61+E62+E63+E67+E68+E69+E70+E71+E72+E73+E74+E75+E76+E77+E78)/B78</f>
        <v>2.1649999999999996</v>
      </c>
      <c r="F84" s="111">
        <f>+(F52+F53+F54+F55+F56+F57+F58+F59+F60+F61+F62+F63+F67+F68+F69+F70+F71+F72+F73+F74+F75+F76+F77+F78)/B78</f>
        <v>7.1749999999999998</v>
      </c>
      <c r="G84" s="130">
        <f>E84/F84</f>
        <v>0.30174216027874562</v>
      </c>
      <c r="H84" s="131">
        <f>F84-E84</f>
        <v>5.01</v>
      </c>
      <c r="I84" s="132"/>
      <c r="J84" s="98"/>
      <c r="K84" s="91"/>
      <c r="L84" s="91"/>
      <c r="M84" s="91"/>
      <c r="N84" s="91"/>
    </row>
    <row r="85" spans="1:14" ht="16" x14ac:dyDescent="0.2">
      <c r="A85" s="345"/>
      <c r="B85" s="98"/>
      <c r="C85" s="123"/>
      <c r="D85" s="98"/>
      <c r="E85" s="133"/>
      <c r="F85" s="133"/>
      <c r="G85" s="134"/>
      <c r="H85" s="135"/>
      <c r="I85" s="136"/>
      <c r="J85" s="98"/>
      <c r="K85" s="91"/>
      <c r="L85" s="91"/>
      <c r="M85" s="91"/>
      <c r="N85" s="91"/>
    </row>
    <row r="86" spans="1:14" ht="17" thickBot="1" x14ac:dyDescent="0.25">
      <c r="A86" s="345"/>
      <c r="B86" s="98"/>
      <c r="C86" s="137"/>
      <c r="D86" s="138"/>
      <c r="E86" s="139"/>
      <c r="F86" s="139"/>
      <c r="G86" s="140"/>
      <c r="H86" s="141"/>
      <c r="I86" s="142"/>
      <c r="J86" s="98"/>
      <c r="K86" s="91"/>
      <c r="L86" s="91"/>
      <c r="M86" s="91"/>
      <c r="N86" s="91"/>
    </row>
    <row r="87" spans="1:14" ht="17" thickTop="1" x14ac:dyDescent="0.2">
      <c r="A87" s="345"/>
      <c r="B87" s="144"/>
      <c r="C87" s="144"/>
      <c r="D87" s="144"/>
      <c r="E87" s="144"/>
      <c r="F87" s="144"/>
      <c r="G87" s="144"/>
      <c r="H87" s="144"/>
      <c r="I87" s="144"/>
      <c r="J87" s="98"/>
      <c r="K87" s="91"/>
      <c r="L87" s="91"/>
      <c r="M87" s="91"/>
      <c r="N87" s="91"/>
    </row>
    <row r="88" spans="1:14" ht="22" x14ac:dyDescent="0.25">
      <c r="A88" s="345"/>
      <c r="D88" s="92" t="s">
        <v>96</v>
      </c>
      <c r="F88" s="93"/>
      <c r="K88" s="91"/>
      <c r="L88" s="91"/>
      <c r="M88" s="91"/>
      <c r="N88" s="91"/>
    </row>
    <row r="89" spans="1:14" ht="23" thickBot="1" x14ac:dyDescent="0.3">
      <c r="A89" s="345"/>
      <c r="D89" s="94"/>
      <c r="K89" s="91"/>
      <c r="L89" s="91"/>
      <c r="M89" s="91"/>
      <c r="N89" s="91"/>
    </row>
    <row r="90" spans="1:14" ht="23" customHeight="1" thickTop="1" x14ac:dyDescent="0.25">
      <c r="A90" s="345"/>
      <c r="D90" s="94"/>
      <c r="E90" s="339" t="str">
        <f>E47</f>
        <v>Coûts des ressources alimentaires pour chaque produit offert (voir recettes standardisées)</v>
      </c>
      <c r="F90" s="339" t="str">
        <f>F47</f>
        <v>Prix de vente par produit offert</v>
      </c>
      <c r="G90" s="339" t="str">
        <f>G47</f>
        <v xml:space="preserve">« Food &amp; Beverage Cost » </v>
      </c>
      <c r="H90" s="339" t="str">
        <f>H47</f>
        <v>Marge brute gagnée sur la vente de chaque produit offert</v>
      </c>
      <c r="I90" s="95"/>
      <c r="K90" s="91"/>
      <c r="L90" s="91"/>
      <c r="M90" s="91"/>
      <c r="N90" s="91"/>
    </row>
    <row r="91" spans="1:14" ht="22" x14ac:dyDescent="0.25">
      <c r="A91" s="345"/>
      <c r="D91" s="94"/>
      <c r="E91" s="340"/>
      <c r="F91" s="342"/>
      <c r="G91" s="342"/>
      <c r="H91" s="342"/>
      <c r="I91" s="96"/>
      <c r="K91" s="91"/>
      <c r="L91" s="91"/>
      <c r="M91" s="91"/>
      <c r="N91" s="91"/>
    </row>
    <row r="92" spans="1:14" ht="14" customHeight="1" thickBot="1" x14ac:dyDescent="0.2">
      <c r="A92" s="345"/>
      <c r="E92" s="341"/>
      <c r="F92" s="343"/>
      <c r="G92" s="343"/>
      <c r="H92" s="343"/>
      <c r="I92" s="96"/>
      <c r="K92" s="91"/>
      <c r="L92" s="91"/>
      <c r="M92" s="91"/>
      <c r="N92" s="91"/>
    </row>
    <row r="93" spans="1:14" ht="14" thickTop="1" x14ac:dyDescent="0.15">
      <c r="A93" s="345"/>
      <c r="B93" s="90" t="s">
        <v>0</v>
      </c>
      <c r="E93" s="93"/>
      <c r="F93" s="93"/>
      <c r="G93" s="97"/>
      <c r="K93" s="91"/>
      <c r="L93" s="91"/>
      <c r="M93" s="91"/>
      <c r="N93" s="91"/>
    </row>
    <row r="94" spans="1:14" ht="16" x14ac:dyDescent="0.2">
      <c r="A94" s="345"/>
      <c r="B94" s="98"/>
      <c r="C94" s="98"/>
      <c r="D94" s="99" t="str">
        <f t="shared" ref="D94:F107" si="12">D51</f>
        <v>Les Petites Gâteries</v>
      </c>
      <c r="E94" s="100"/>
      <c r="F94" s="100"/>
      <c r="G94" s="101"/>
      <c r="H94" s="98"/>
      <c r="I94" s="98"/>
      <c r="J94" s="98"/>
      <c r="K94" s="91"/>
      <c r="L94" s="91"/>
      <c r="M94" s="91"/>
      <c r="N94" s="91"/>
    </row>
    <row r="95" spans="1:14" ht="16" x14ac:dyDescent="0.2">
      <c r="A95" s="345"/>
      <c r="B95" s="98">
        <f t="shared" ref="B95:C106" si="13">B52</f>
        <v>1</v>
      </c>
      <c r="C95" s="98">
        <f t="shared" si="13"/>
        <v>1</v>
      </c>
      <c r="D95" s="98" t="str">
        <f t="shared" si="12"/>
        <v>Petite Gâterie 1</v>
      </c>
      <c r="E95" s="102">
        <f t="shared" si="12"/>
        <v>1.21</v>
      </c>
      <c r="F95" s="102">
        <f t="shared" si="12"/>
        <v>3.3</v>
      </c>
      <c r="G95" s="103">
        <f t="shared" ref="G95:G107" si="14">E95/F95</f>
        <v>0.3666666666666667</v>
      </c>
      <c r="H95" s="104">
        <f t="shared" ref="H95:H107" si="15">F95-E95</f>
        <v>2.09</v>
      </c>
      <c r="I95" s="100">
        <f>F95</f>
        <v>3.3</v>
      </c>
      <c r="J95" s="337">
        <f>3/12</f>
        <v>0.25</v>
      </c>
      <c r="K95" s="91"/>
      <c r="L95" s="91"/>
      <c r="M95" s="91"/>
      <c r="N95" s="91"/>
    </row>
    <row r="96" spans="1:14" ht="16" x14ac:dyDescent="0.2">
      <c r="A96" s="345"/>
      <c r="B96" s="98">
        <f t="shared" si="13"/>
        <v>2</v>
      </c>
      <c r="C96" s="98">
        <f t="shared" si="13"/>
        <v>2</v>
      </c>
      <c r="D96" s="98" t="str">
        <f t="shared" si="12"/>
        <v>Petite Gâterie 2</v>
      </c>
      <c r="E96" s="102">
        <f t="shared" si="12"/>
        <v>1.31</v>
      </c>
      <c r="F96" s="102">
        <f t="shared" si="12"/>
        <v>3.8</v>
      </c>
      <c r="G96" s="103">
        <f t="shared" si="14"/>
        <v>0.34473684210526317</v>
      </c>
      <c r="H96" s="104">
        <f t="shared" si="15"/>
        <v>2.4899999999999998</v>
      </c>
      <c r="I96" s="100"/>
      <c r="J96" s="336"/>
      <c r="K96" s="91"/>
      <c r="L96" s="91"/>
      <c r="M96" s="91"/>
      <c r="N96" s="91"/>
    </row>
    <row r="97" spans="1:14" ht="17" thickBot="1" x14ac:dyDescent="0.25">
      <c r="A97" s="345"/>
      <c r="B97" s="98">
        <f t="shared" si="13"/>
        <v>3</v>
      </c>
      <c r="C97" s="98">
        <f t="shared" si="13"/>
        <v>3</v>
      </c>
      <c r="D97" s="98" t="str">
        <f t="shared" si="12"/>
        <v>Petite Gâterie 3</v>
      </c>
      <c r="E97" s="102">
        <f t="shared" si="12"/>
        <v>1.35</v>
      </c>
      <c r="F97" s="102">
        <f t="shared" si="12"/>
        <v>4</v>
      </c>
      <c r="G97" s="103">
        <f t="shared" si="14"/>
        <v>0.33750000000000002</v>
      </c>
      <c r="H97" s="104">
        <f t="shared" si="15"/>
        <v>2.65</v>
      </c>
      <c r="I97" s="109">
        <f>+I95+1.1</f>
        <v>4.4000000000000004</v>
      </c>
      <c r="J97" s="338"/>
      <c r="K97" s="91"/>
      <c r="L97" s="91"/>
      <c r="M97" s="91"/>
      <c r="N97" s="91"/>
    </row>
    <row r="98" spans="1:14" ht="16" x14ac:dyDescent="0.2">
      <c r="A98" s="345"/>
      <c r="B98" s="98">
        <f t="shared" si="13"/>
        <v>4</v>
      </c>
      <c r="C98" s="98">
        <f t="shared" si="13"/>
        <v>4</v>
      </c>
      <c r="D98" s="98" t="str">
        <f t="shared" si="12"/>
        <v>Petite Gâterie 4</v>
      </c>
      <c r="E98" s="102">
        <f t="shared" si="12"/>
        <v>1.4</v>
      </c>
      <c r="F98" s="102">
        <f t="shared" si="12"/>
        <v>4.5</v>
      </c>
      <c r="G98" s="103">
        <f t="shared" si="14"/>
        <v>0.31111111111111112</v>
      </c>
      <c r="H98" s="104">
        <f t="shared" si="15"/>
        <v>3.1</v>
      </c>
      <c r="I98" s="100">
        <f>+I97+0.01</f>
        <v>4.41</v>
      </c>
      <c r="J98" s="335">
        <f>7/12</f>
        <v>0.58333333333333337</v>
      </c>
      <c r="K98" s="91"/>
      <c r="L98" s="91"/>
      <c r="M98" s="91"/>
      <c r="N98" s="91"/>
    </row>
    <row r="99" spans="1:14" ht="16" x14ac:dyDescent="0.2">
      <c r="A99" s="345"/>
      <c r="B99" s="98">
        <f t="shared" si="13"/>
        <v>5</v>
      </c>
      <c r="C99" s="98">
        <f t="shared" si="13"/>
        <v>5</v>
      </c>
      <c r="D99" s="98" t="str">
        <f t="shared" si="12"/>
        <v>Petite Gâterie 5</v>
      </c>
      <c r="E99" s="102">
        <f t="shared" si="12"/>
        <v>1.24</v>
      </c>
      <c r="F99" s="102">
        <f t="shared" si="12"/>
        <v>4.5999999999999996</v>
      </c>
      <c r="G99" s="103">
        <f t="shared" si="14"/>
        <v>0.26956521739130435</v>
      </c>
      <c r="H99" s="104">
        <f t="shared" si="15"/>
        <v>3.3599999999999994</v>
      </c>
      <c r="I99" s="100"/>
      <c r="J99" s="336"/>
      <c r="K99" s="91"/>
      <c r="L99" s="91"/>
      <c r="M99" s="91"/>
      <c r="N99" s="91"/>
    </row>
    <row r="100" spans="1:14" ht="16" x14ac:dyDescent="0.2">
      <c r="A100" s="345"/>
      <c r="B100" s="98">
        <f t="shared" si="13"/>
        <v>6</v>
      </c>
      <c r="C100" s="98">
        <f t="shared" si="13"/>
        <v>6</v>
      </c>
      <c r="D100" s="98" t="str">
        <f t="shared" si="12"/>
        <v>Petite Gâterie 6</v>
      </c>
      <c r="E100" s="102">
        <f t="shared" si="12"/>
        <v>1.39</v>
      </c>
      <c r="F100" s="102">
        <f t="shared" si="12"/>
        <v>4.7</v>
      </c>
      <c r="G100" s="103">
        <f t="shared" si="14"/>
        <v>0.29574468085106381</v>
      </c>
      <c r="H100" s="104">
        <f t="shared" si="15"/>
        <v>3.3100000000000005</v>
      </c>
      <c r="I100" s="100"/>
      <c r="J100" s="336"/>
      <c r="K100" s="91"/>
      <c r="L100" s="91"/>
      <c r="M100" s="91"/>
      <c r="N100" s="91"/>
    </row>
    <row r="101" spans="1:14" ht="16" x14ac:dyDescent="0.2">
      <c r="A101" s="345"/>
      <c r="B101" s="98">
        <f t="shared" si="13"/>
        <v>7</v>
      </c>
      <c r="C101" s="98">
        <f t="shared" si="13"/>
        <v>7</v>
      </c>
      <c r="D101" s="98" t="str">
        <f t="shared" si="12"/>
        <v>Petite Gâterie 7</v>
      </c>
      <c r="E101" s="102">
        <f t="shared" si="12"/>
        <v>1.51</v>
      </c>
      <c r="F101" s="102">
        <f t="shared" si="12"/>
        <v>4.8</v>
      </c>
      <c r="G101" s="103">
        <f t="shared" si="14"/>
        <v>0.31458333333333333</v>
      </c>
      <c r="H101" s="104">
        <f t="shared" si="15"/>
        <v>3.29</v>
      </c>
      <c r="I101" s="100"/>
      <c r="J101" s="336"/>
      <c r="K101" s="91"/>
      <c r="L101" s="91"/>
      <c r="M101" s="91"/>
      <c r="N101" s="91"/>
    </row>
    <row r="102" spans="1:14" ht="16" x14ac:dyDescent="0.2">
      <c r="A102" s="345"/>
      <c r="B102" s="98">
        <f t="shared" si="13"/>
        <v>8</v>
      </c>
      <c r="C102" s="98">
        <f t="shared" si="13"/>
        <v>8</v>
      </c>
      <c r="D102" s="98" t="str">
        <f t="shared" si="12"/>
        <v>Petite Gâterie 8</v>
      </c>
      <c r="E102" s="102">
        <f t="shared" si="12"/>
        <v>1.53</v>
      </c>
      <c r="F102" s="102">
        <f t="shared" si="12"/>
        <v>4.9000000000000004</v>
      </c>
      <c r="G102" s="103">
        <f t="shared" si="14"/>
        <v>0.31224489795918364</v>
      </c>
      <c r="H102" s="104">
        <f t="shared" si="15"/>
        <v>3.37</v>
      </c>
      <c r="I102" s="100"/>
      <c r="J102" s="336"/>
      <c r="K102" s="91"/>
      <c r="L102" s="91"/>
      <c r="M102" s="91"/>
      <c r="N102" s="91"/>
    </row>
    <row r="103" spans="1:14" ht="16" x14ac:dyDescent="0.2">
      <c r="A103" s="345"/>
      <c r="B103" s="98">
        <f t="shared" si="13"/>
        <v>9</v>
      </c>
      <c r="C103" s="98">
        <f t="shared" si="13"/>
        <v>9</v>
      </c>
      <c r="D103" s="98" t="str">
        <f t="shared" si="12"/>
        <v>Petite Gâterie 9</v>
      </c>
      <c r="E103" s="102">
        <f t="shared" si="12"/>
        <v>1.55</v>
      </c>
      <c r="F103" s="102">
        <f t="shared" si="12"/>
        <v>5</v>
      </c>
      <c r="G103" s="103">
        <f t="shared" si="14"/>
        <v>0.31</v>
      </c>
      <c r="H103" s="104">
        <f t="shared" si="15"/>
        <v>3.45</v>
      </c>
      <c r="I103" s="100"/>
      <c r="J103" s="336"/>
      <c r="K103" s="91"/>
      <c r="L103" s="91"/>
      <c r="M103" s="91"/>
      <c r="N103" s="91"/>
    </row>
    <row r="104" spans="1:14" ht="17" thickBot="1" x14ac:dyDescent="0.25">
      <c r="A104" s="345"/>
      <c r="B104" s="98">
        <f t="shared" si="13"/>
        <v>10</v>
      </c>
      <c r="C104" s="98">
        <f t="shared" si="13"/>
        <v>10</v>
      </c>
      <c r="D104" s="98" t="str">
        <f t="shared" si="12"/>
        <v>Petite Gâterie 10</v>
      </c>
      <c r="E104" s="102">
        <f t="shared" si="12"/>
        <v>1.59</v>
      </c>
      <c r="F104" s="102">
        <f t="shared" si="12"/>
        <v>5.2</v>
      </c>
      <c r="G104" s="103">
        <f t="shared" si="14"/>
        <v>0.30576923076923079</v>
      </c>
      <c r="H104" s="104">
        <f t="shared" si="15"/>
        <v>3.6100000000000003</v>
      </c>
      <c r="I104" s="109">
        <f>+I97+1.1</f>
        <v>5.5</v>
      </c>
      <c r="J104" s="338"/>
      <c r="K104" s="91"/>
      <c r="L104" s="91"/>
      <c r="M104" s="91"/>
      <c r="N104" s="91"/>
    </row>
    <row r="105" spans="1:14" ht="16" x14ac:dyDescent="0.2">
      <c r="A105" s="345"/>
      <c r="B105" s="98">
        <f t="shared" si="13"/>
        <v>11</v>
      </c>
      <c r="C105" s="98">
        <f t="shared" si="13"/>
        <v>11</v>
      </c>
      <c r="D105" s="98" t="str">
        <f t="shared" si="12"/>
        <v>Petite Gâterie 11</v>
      </c>
      <c r="E105" s="102">
        <f t="shared" si="12"/>
        <v>1.83</v>
      </c>
      <c r="F105" s="102">
        <f t="shared" si="12"/>
        <v>6.4</v>
      </c>
      <c r="G105" s="103">
        <f t="shared" si="14"/>
        <v>0.28593750000000001</v>
      </c>
      <c r="H105" s="104">
        <f t="shared" si="15"/>
        <v>4.57</v>
      </c>
      <c r="I105" s="100">
        <f>+I104+0.01</f>
        <v>5.51</v>
      </c>
      <c r="J105" s="335">
        <f>2/12</f>
        <v>0.16666666666666666</v>
      </c>
      <c r="K105" s="91"/>
      <c r="L105" s="91"/>
      <c r="M105" s="91"/>
      <c r="N105" s="91"/>
    </row>
    <row r="106" spans="1:14" ht="16" x14ac:dyDescent="0.2">
      <c r="A106" s="345"/>
      <c r="B106" s="98">
        <f t="shared" si="13"/>
        <v>12</v>
      </c>
      <c r="C106" s="98">
        <f t="shared" si="13"/>
        <v>12</v>
      </c>
      <c r="D106" s="98" t="str">
        <f t="shared" si="12"/>
        <v>Petite Gâterie 12</v>
      </c>
      <c r="E106" s="102">
        <f t="shared" si="12"/>
        <v>1.87</v>
      </c>
      <c r="F106" s="102">
        <f t="shared" si="12"/>
        <v>6.6</v>
      </c>
      <c r="G106" s="103">
        <f t="shared" si="14"/>
        <v>0.28333333333333338</v>
      </c>
      <c r="H106" s="104">
        <f t="shared" si="15"/>
        <v>4.7299999999999995</v>
      </c>
      <c r="I106" s="100">
        <f>F106</f>
        <v>6.6</v>
      </c>
      <c r="J106" s="336"/>
      <c r="K106" s="91"/>
      <c r="L106" s="91"/>
      <c r="M106" s="91"/>
      <c r="N106" s="91"/>
    </row>
    <row r="107" spans="1:14" ht="19" x14ac:dyDescent="0.35">
      <c r="A107" s="345"/>
      <c r="B107" s="98"/>
      <c r="C107" s="98"/>
      <c r="D107" s="99" t="str">
        <f t="shared" si="12"/>
        <v>CmO—PmO—Food Cost—BmO</v>
      </c>
      <c r="E107" s="110">
        <f>SUM(E95:E106)/C106</f>
        <v>1.4816666666666667</v>
      </c>
      <c r="F107" s="111">
        <f>SUM(F95:F106)/C106</f>
        <v>4.8166666666666673</v>
      </c>
      <c r="G107" s="112">
        <f t="shared" si="14"/>
        <v>0.30761245674740478</v>
      </c>
      <c r="H107" s="113">
        <f t="shared" si="15"/>
        <v>3.3350000000000009</v>
      </c>
      <c r="I107" s="114"/>
      <c r="J107" s="98"/>
      <c r="K107" s="91"/>
      <c r="L107" s="91"/>
      <c r="M107" s="91"/>
      <c r="N107" s="91"/>
    </row>
    <row r="108" spans="1:14" ht="16" x14ac:dyDescent="0.2">
      <c r="A108" s="345"/>
      <c r="B108" s="98" t="s">
        <v>0</v>
      </c>
      <c r="C108" s="98"/>
      <c r="D108" s="98"/>
      <c r="E108" s="102"/>
      <c r="F108" s="102"/>
      <c r="G108" s="103"/>
      <c r="H108" s="115"/>
      <c r="I108" s="100"/>
      <c r="J108" s="98"/>
      <c r="K108" s="91"/>
      <c r="L108" s="91"/>
      <c r="M108" s="91"/>
      <c r="N108" s="91"/>
    </row>
    <row r="109" spans="1:14" ht="16" x14ac:dyDescent="0.2">
      <c r="A109" s="345"/>
      <c r="B109" s="98"/>
      <c r="C109" s="98"/>
      <c r="D109" s="99" t="str">
        <f t="shared" ref="D109:F122" si="16">D66</f>
        <v>Les Boissons  Gâteries</v>
      </c>
      <c r="E109" s="102"/>
      <c r="F109" s="102"/>
      <c r="G109" s="103"/>
      <c r="H109" s="115"/>
      <c r="I109" s="100"/>
      <c r="J109" s="98"/>
      <c r="K109" s="91"/>
      <c r="L109" s="91"/>
      <c r="M109" s="91"/>
      <c r="N109" s="91"/>
    </row>
    <row r="110" spans="1:14" ht="16" x14ac:dyDescent="0.2">
      <c r="A110" s="345"/>
      <c r="B110" s="98">
        <f t="shared" ref="B110:C121" si="17">B67</f>
        <v>13</v>
      </c>
      <c r="C110" s="98">
        <f t="shared" si="17"/>
        <v>1</v>
      </c>
      <c r="D110" s="98" t="str">
        <f t="shared" si="16"/>
        <v>Boisson spéciale numéro 1</v>
      </c>
      <c r="E110" s="102">
        <f t="shared" si="16"/>
        <v>2.2799999999999998</v>
      </c>
      <c r="F110" s="102">
        <f t="shared" si="16"/>
        <v>6.6</v>
      </c>
      <c r="G110" s="103">
        <f>E110/F110</f>
        <v>0.34545454545454546</v>
      </c>
      <c r="H110" s="104">
        <f>F110-E110</f>
        <v>4.32</v>
      </c>
      <c r="I110" s="100">
        <f>F110</f>
        <v>6.6</v>
      </c>
      <c r="J110" s="337">
        <f>3/12</f>
        <v>0.25</v>
      </c>
      <c r="K110" s="91"/>
      <c r="L110" s="91"/>
      <c r="M110" s="91"/>
      <c r="N110" s="91"/>
    </row>
    <row r="111" spans="1:14" ht="16" x14ac:dyDescent="0.2">
      <c r="A111" s="345"/>
      <c r="B111" s="98">
        <f t="shared" si="17"/>
        <v>14</v>
      </c>
      <c r="C111" s="98">
        <f t="shared" si="17"/>
        <v>2</v>
      </c>
      <c r="D111" s="98" t="str">
        <f t="shared" si="16"/>
        <v>Boisson spéciale numéro 2</v>
      </c>
      <c r="E111" s="102">
        <f t="shared" si="16"/>
        <v>2.66</v>
      </c>
      <c r="F111" s="102">
        <f t="shared" si="16"/>
        <v>7.6</v>
      </c>
      <c r="G111" s="103">
        <f>E111/F111</f>
        <v>0.35000000000000003</v>
      </c>
      <c r="H111" s="104">
        <f>F111-E111</f>
        <v>4.9399999999999995</v>
      </c>
      <c r="I111" s="100"/>
      <c r="J111" s="336"/>
      <c r="K111" s="91"/>
      <c r="L111" s="91"/>
      <c r="M111" s="91"/>
      <c r="N111" s="91"/>
    </row>
    <row r="112" spans="1:14" ht="17" thickBot="1" x14ac:dyDescent="0.25">
      <c r="A112" s="345"/>
      <c r="B112" s="98">
        <f t="shared" si="17"/>
        <v>15</v>
      </c>
      <c r="C112" s="98">
        <f t="shared" si="17"/>
        <v>3</v>
      </c>
      <c r="D112" s="98" t="str">
        <f t="shared" si="16"/>
        <v>Boisson spéciale numéro 3</v>
      </c>
      <c r="E112" s="102">
        <f t="shared" si="16"/>
        <v>2.74</v>
      </c>
      <c r="F112" s="102">
        <f t="shared" si="16"/>
        <v>8</v>
      </c>
      <c r="G112" s="103">
        <f>E112/F112</f>
        <v>0.34250000000000003</v>
      </c>
      <c r="H112" s="104">
        <f>F112-E112</f>
        <v>5.26</v>
      </c>
      <c r="I112" s="109">
        <f>+I110+2.2</f>
        <v>8.8000000000000007</v>
      </c>
      <c r="J112" s="338"/>
      <c r="K112" s="91"/>
      <c r="L112" s="91"/>
      <c r="M112" s="91"/>
      <c r="N112" s="91"/>
    </row>
    <row r="113" spans="1:14" ht="16" x14ac:dyDescent="0.2">
      <c r="A113" s="345"/>
      <c r="B113" s="98">
        <f t="shared" si="17"/>
        <v>16</v>
      </c>
      <c r="C113" s="98">
        <f t="shared" si="17"/>
        <v>4</v>
      </c>
      <c r="D113" s="98" t="str">
        <f t="shared" si="16"/>
        <v>Boisson spéciale numéro 4</v>
      </c>
      <c r="E113" s="102">
        <f t="shared" si="16"/>
        <v>2.72</v>
      </c>
      <c r="F113" s="102">
        <f t="shared" si="16"/>
        <v>9</v>
      </c>
      <c r="G113" s="103">
        <f t="shared" ref="G113:G120" si="18">E113/F113</f>
        <v>0.30222222222222223</v>
      </c>
      <c r="H113" s="104">
        <f t="shared" ref="H113:H120" si="19">F113-E113</f>
        <v>6.2799999999999994</v>
      </c>
      <c r="I113" s="100">
        <f>+I112+0.01</f>
        <v>8.81</v>
      </c>
      <c r="J113" s="335">
        <f>7/12</f>
        <v>0.58333333333333337</v>
      </c>
      <c r="K113" s="91"/>
      <c r="L113" s="91"/>
      <c r="M113" s="91"/>
      <c r="N113" s="91"/>
    </row>
    <row r="114" spans="1:14" ht="16" x14ac:dyDescent="0.2">
      <c r="A114" s="345"/>
      <c r="B114" s="98">
        <f t="shared" si="17"/>
        <v>17</v>
      </c>
      <c r="C114" s="98">
        <f t="shared" si="17"/>
        <v>5</v>
      </c>
      <c r="D114" s="98" t="str">
        <f t="shared" si="16"/>
        <v>Boisson spéciale numéro 5</v>
      </c>
      <c r="E114" s="102">
        <f t="shared" si="16"/>
        <v>2.76</v>
      </c>
      <c r="F114" s="102">
        <f t="shared" si="16"/>
        <v>9.1999999999999993</v>
      </c>
      <c r="G114" s="103">
        <f t="shared" si="18"/>
        <v>0.3</v>
      </c>
      <c r="H114" s="104">
        <f t="shared" si="19"/>
        <v>6.4399999999999995</v>
      </c>
      <c r="I114" s="100"/>
      <c r="J114" s="336"/>
      <c r="K114" s="91"/>
      <c r="L114" s="91"/>
      <c r="M114" s="91"/>
      <c r="N114" s="91"/>
    </row>
    <row r="115" spans="1:14" ht="16" x14ac:dyDescent="0.2">
      <c r="A115" s="345"/>
      <c r="B115" s="98">
        <f t="shared" si="17"/>
        <v>18</v>
      </c>
      <c r="C115" s="98">
        <f t="shared" si="17"/>
        <v>6</v>
      </c>
      <c r="D115" s="98" t="str">
        <f t="shared" si="16"/>
        <v>Boisson spéciale numéro 6</v>
      </c>
      <c r="E115" s="102">
        <f t="shared" si="16"/>
        <v>2.8</v>
      </c>
      <c r="F115" s="102">
        <f t="shared" si="16"/>
        <v>9.4</v>
      </c>
      <c r="G115" s="103">
        <f t="shared" si="18"/>
        <v>0.2978723404255319</v>
      </c>
      <c r="H115" s="104">
        <f t="shared" si="19"/>
        <v>6.6000000000000005</v>
      </c>
      <c r="I115" s="100"/>
      <c r="J115" s="336"/>
      <c r="K115" s="91"/>
      <c r="L115" s="91"/>
      <c r="M115" s="91"/>
      <c r="N115" s="91"/>
    </row>
    <row r="116" spans="1:14" ht="16" x14ac:dyDescent="0.2">
      <c r="A116" s="345"/>
      <c r="B116" s="98">
        <f t="shared" si="17"/>
        <v>19</v>
      </c>
      <c r="C116" s="98">
        <f t="shared" si="17"/>
        <v>7</v>
      </c>
      <c r="D116" s="98" t="str">
        <f t="shared" si="16"/>
        <v>Boisson spéciale numéro 7</v>
      </c>
      <c r="E116" s="102">
        <f t="shared" si="16"/>
        <v>2.82</v>
      </c>
      <c r="F116" s="102">
        <f t="shared" si="16"/>
        <v>9.6</v>
      </c>
      <c r="G116" s="103">
        <f t="shared" si="18"/>
        <v>0.29375000000000001</v>
      </c>
      <c r="H116" s="104">
        <f t="shared" si="19"/>
        <v>6.7799999999999994</v>
      </c>
      <c r="I116" s="100"/>
      <c r="J116" s="336"/>
      <c r="K116" s="91"/>
      <c r="L116" s="91"/>
      <c r="M116" s="91"/>
      <c r="N116" s="91"/>
    </row>
    <row r="117" spans="1:14" ht="16" x14ac:dyDescent="0.2">
      <c r="A117" s="345"/>
      <c r="B117" s="98">
        <f t="shared" si="17"/>
        <v>20</v>
      </c>
      <c r="C117" s="98">
        <f t="shared" si="17"/>
        <v>8</v>
      </c>
      <c r="D117" s="98" t="str">
        <f t="shared" si="16"/>
        <v>Boisson spéciale numéro 8</v>
      </c>
      <c r="E117" s="102">
        <f t="shared" si="16"/>
        <v>2.86</v>
      </c>
      <c r="F117" s="102">
        <f t="shared" si="16"/>
        <v>9.8000000000000007</v>
      </c>
      <c r="G117" s="103">
        <f t="shared" si="18"/>
        <v>0.2918367346938775</v>
      </c>
      <c r="H117" s="104">
        <f t="shared" si="19"/>
        <v>6.9400000000000013</v>
      </c>
      <c r="I117" s="100"/>
      <c r="J117" s="336"/>
      <c r="K117" s="91"/>
      <c r="L117" s="91"/>
      <c r="M117" s="91"/>
      <c r="N117" s="91"/>
    </row>
    <row r="118" spans="1:14" ht="16" x14ac:dyDescent="0.2">
      <c r="A118" s="345"/>
      <c r="B118" s="98">
        <f t="shared" si="17"/>
        <v>21</v>
      </c>
      <c r="C118" s="98">
        <f t="shared" si="17"/>
        <v>9</v>
      </c>
      <c r="D118" s="98" t="str">
        <f t="shared" si="16"/>
        <v>Boisson spéciale numéro 9</v>
      </c>
      <c r="E118" s="102">
        <f t="shared" si="16"/>
        <v>2.9</v>
      </c>
      <c r="F118" s="102">
        <f t="shared" si="16"/>
        <v>10</v>
      </c>
      <c r="G118" s="103">
        <f t="shared" si="18"/>
        <v>0.28999999999999998</v>
      </c>
      <c r="H118" s="104">
        <f t="shared" si="19"/>
        <v>7.1</v>
      </c>
      <c r="I118" s="100"/>
      <c r="J118" s="336"/>
      <c r="K118" s="91"/>
      <c r="L118" s="91"/>
      <c r="M118" s="91"/>
      <c r="N118" s="91"/>
    </row>
    <row r="119" spans="1:14" ht="17" thickBot="1" x14ac:dyDescent="0.25">
      <c r="A119" s="345"/>
      <c r="B119" s="98">
        <f t="shared" si="17"/>
        <v>22</v>
      </c>
      <c r="C119" s="98">
        <f t="shared" si="17"/>
        <v>10</v>
      </c>
      <c r="D119" s="98" t="str">
        <f t="shared" si="16"/>
        <v>Boisson spéciale numéro 10</v>
      </c>
      <c r="E119" s="102">
        <f t="shared" si="16"/>
        <v>2.98</v>
      </c>
      <c r="F119" s="102">
        <f t="shared" si="16"/>
        <v>10.4</v>
      </c>
      <c r="G119" s="103">
        <f t="shared" si="18"/>
        <v>0.28653846153846152</v>
      </c>
      <c r="H119" s="104">
        <f t="shared" si="19"/>
        <v>7.42</v>
      </c>
      <c r="I119" s="109">
        <f>+I112+2.2</f>
        <v>11</v>
      </c>
      <c r="J119" s="338"/>
      <c r="K119" s="91"/>
      <c r="L119" s="91"/>
      <c r="M119" s="91"/>
      <c r="N119" s="91"/>
    </row>
    <row r="120" spans="1:14" ht="16" x14ac:dyDescent="0.2">
      <c r="A120" s="345"/>
      <c r="B120" s="98">
        <f t="shared" si="17"/>
        <v>23</v>
      </c>
      <c r="C120" s="98">
        <f t="shared" si="17"/>
        <v>11</v>
      </c>
      <c r="D120" s="98" t="str">
        <f t="shared" si="16"/>
        <v>Boisson spéciale numéro 11</v>
      </c>
      <c r="E120" s="102">
        <f t="shared" si="16"/>
        <v>3.18</v>
      </c>
      <c r="F120" s="102">
        <f t="shared" si="16"/>
        <v>11.6</v>
      </c>
      <c r="G120" s="103">
        <f t="shared" si="18"/>
        <v>0.27413793103448281</v>
      </c>
      <c r="H120" s="104">
        <f t="shared" si="19"/>
        <v>8.42</v>
      </c>
      <c r="I120" s="100">
        <f>+I119+0.01</f>
        <v>11.01</v>
      </c>
      <c r="J120" s="335">
        <f>2/12</f>
        <v>0.16666666666666666</v>
      </c>
      <c r="K120" s="91"/>
      <c r="L120" s="91"/>
      <c r="M120" s="91"/>
      <c r="N120" s="91"/>
    </row>
    <row r="121" spans="1:14" ht="16" x14ac:dyDescent="0.2">
      <c r="A121" s="345"/>
      <c r="B121" s="98">
        <f t="shared" si="17"/>
        <v>24</v>
      </c>
      <c r="C121" s="98">
        <f t="shared" si="17"/>
        <v>12</v>
      </c>
      <c r="D121" s="98" t="str">
        <f t="shared" si="16"/>
        <v>Boisson spéciale numéro 12</v>
      </c>
      <c r="E121" s="102">
        <f t="shared" si="16"/>
        <v>3.48</v>
      </c>
      <c r="F121" s="102">
        <f t="shared" si="16"/>
        <v>13.2</v>
      </c>
      <c r="G121" s="103">
        <f>E121/F121</f>
        <v>0.26363636363636367</v>
      </c>
      <c r="H121" s="104">
        <f>F121-E121</f>
        <v>9.7199999999999989</v>
      </c>
      <c r="I121" s="100">
        <f>F121</f>
        <v>13.2</v>
      </c>
      <c r="J121" s="336"/>
      <c r="K121" s="91"/>
      <c r="L121" s="91"/>
      <c r="M121" s="91"/>
      <c r="N121" s="91"/>
    </row>
    <row r="122" spans="1:14" ht="19" x14ac:dyDescent="0.35">
      <c r="A122" s="345"/>
      <c r="B122" s="98"/>
      <c r="C122" s="98"/>
      <c r="D122" s="99" t="str">
        <f t="shared" si="16"/>
        <v>CmO—PmO—Beverage Cost—Marge brute</v>
      </c>
      <c r="E122" s="110">
        <f>SUM(E110:E121)/C121</f>
        <v>2.8483333333333332</v>
      </c>
      <c r="F122" s="111">
        <f>SUM(F110:F121)/C121</f>
        <v>9.5333333333333332</v>
      </c>
      <c r="G122" s="116">
        <f>E122/F122</f>
        <v>0.29877622377622376</v>
      </c>
      <c r="H122" s="113">
        <f>F122-E122</f>
        <v>6.6850000000000005</v>
      </c>
      <c r="I122" s="114"/>
      <c r="J122" s="98"/>
      <c r="K122" s="91"/>
      <c r="L122" s="91"/>
      <c r="M122" s="91"/>
      <c r="N122" s="91"/>
    </row>
    <row r="123" spans="1:14" ht="17" thickBot="1" x14ac:dyDescent="0.25">
      <c r="A123" s="345"/>
      <c r="B123" s="98"/>
      <c r="C123" s="98"/>
      <c r="D123" s="98"/>
      <c r="E123" s="102"/>
      <c r="F123" s="102"/>
      <c r="G123" s="101"/>
      <c r="H123" s="115"/>
      <c r="I123" s="98"/>
      <c r="J123" s="98"/>
      <c r="K123" s="91"/>
      <c r="L123" s="91"/>
      <c r="M123" s="91"/>
      <c r="N123" s="91"/>
    </row>
    <row r="124" spans="1:14" ht="21" thickTop="1" thickBot="1" x14ac:dyDescent="0.4">
      <c r="A124" s="345"/>
      <c r="B124" s="98"/>
      <c r="C124" s="117"/>
      <c r="D124" s="118"/>
      <c r="E124" s="119"/>
      <c r="F124" s="119"/>
      <c r="G124" s="120"/>
      <c r="H124" s="121"/>
      <c r="I124" s="122"/>
      <c r="J124" s="98"/>
      <c r="K124" s="91"/>
      <c r="L124" s="91"/>
      <c r="M124" s="91"/>
      <c r="N124" s="91"/>
    </row>
    <row r="125" spans="1:14" ht="18" thickTop="1" thickBot="1" x14ac:dyDescent="0.25">
      <c r="A125" s="345"/>
      <c r="B125" s="98"/>
      <c r="C125" s="123"/>
      <c r="D125" s="99"/>
      <c r="E125" s="124" t="str">
        <f>E82</f>
        <v>CmO</v>
      </c>
      <c r="F125" s="124" t="str">
        <f>F82</f>
        <v>PmO</v>
      </c>
      <c r="G125" s="125" t="str">
        <f>G82</f>
        <v>F&amp;BCmO</v>
      </c>
      <c r="H125" s="126" t="str">
        <f>H82</f>
        <v>BmO</v>
      </c>
      <c r="I125" s="127"/>
      <c r="J125" s="98"/>
      <c r="K125" s="91"/>
      <c r="L125" s="91"/>
      <c r="M125" s="91"/>
      <c r="N125" s="91"/>
    </row>
    <row r="126" spans="1:14" ht="17" thickTop="1" x14ac:dyDescent="0.2">
      <c r="A126" s="345"/>
      <c r="B126" s="98"/>
      <c r="C126" s="123"/>
      <c r="D126" s="128" t="str">
        <f>D83</f>
        <v>OFFRE TOTALE AVEC LES GÂTERIES ET LES CAFÉS GÂTERIES</v>
      </c>
      <c r="E126" s="102"/>
      <c r="F126" s="102"/>
      <c r="G126" s="101"/>
      <c r="H126" s="115"/>
      <c r="I126" s="129"/>
      <c r="J126" s="98"/>
      <c r="K126" s="91"/>
      <c r="L126" s="91"/>
      <c r="M126" s="91"/>
      <c r="N126" s="91"/>
    </row>
    <row r="127" spans="1:14" ht="19" x14ac:dyDescent="0.35">
      <c r="A127" s="345"/>
      <c r="B127" s="98"/>
      <c r="C127" s="123"/>
      <c r="D127" s="99" t="str">
        <f>D84</f>
        <v>CmO—PmO—F&amp;B cost moyen offert—Marge brute</v>
      </c>
      <c r="E127" s="111">
        <f>+(E95+E96+E97+E98+E99+E100+E101+E102+E103+E104+E105+E106+E110+E111+E112+E113+E114+E115+E116+E117+E118+E119+E120+E121)/B121</f>
        <v>2.1649999999999996</v>
      </c>
      <c r="F127" s="111">
        <f>+(F95+F96+F97+F98+F99+F100+F101+F102+F103+F104+F105+F106+F110+F111+F112+F113+F114+F115+F116+F117+F118+F119+F120+F121)/B121</f>
        <v>7.1749999999999998</v>
      </c>
      <c r="G127" s="130">
        <f>E127/F127</f>
        <v>0.30174216027874562</v>
      </c>
      <c r="H127" s="131">
        <f>F127-E127</f>
        <v>5.01</v>
      </c>
      <c r="I127" s="132"/>
      <c r="J127" s="98"/>
      <c r="K127" s="91"/>
      <c r="L127" s="91"/>
      <c r="M127" s="91"/>
      <c r="N127" s="91"/>
    </row>
    <row r="128" spans="1:14" ht="16" x14ac:dyDescent="0.2">
      <c r="A128" s="345"/>
      <c r="B128" s="98"/>
      <c r="C128" s="123"/>
      <c r="D128" s="98"/>
      <c r="E128" s="133"/>
      <c r="F128" s="133"/>
      <c r="G128" s="134"/>
      <c r="H128" s="135"/>
      <c r="I128" s="136"/>
      <c r="J128" s="98"/>
      <c r="K128" s="91"/>
      <c r="L128" s="91"/>
      <c r="M128" s="91"/>
      <c r="N128" s="91"/>
    </row>
    <row r="129" spans="1:14" ht="17" thickBot="1" x14ac:dyDescent="0.25">
      <c r="A129" s="345"/>
      <c r="B129" s="98"/>
      <c r="C129" s="137"/>
      <c r="D129" s="138"/>
      <c r="E129" s="139"/>
      <c r="F129" s="139"/>
      <c r="G129" s="140"/>
      <c r="H129" s="141"/>
      <c r="I129" s="142"/>
      <c r="J129" s="98"/>
      <c r="K129" s="91"/>
      <c r="L129" s="91"/>
      <c r="M129" s="91"/>
      <c r="N129" s="91"/>
    </row>
    <row r="130" spans="1:14" ht="17" thickTop="1" x14ac:dyDescent="0.2">
      <c r="A130" s="345"/>
      <c r="B130" s="144"/>
      <c r="C130" s="144"/>
      <c r="D130" s="144"/>
      <c r="E130" s="144"/>
      <c r="F130" s="144"/>
      <c r="G130" s="144"/>
      <c r="H130" s="144"/>
      <c r="I130" s="144"/>
      <c r="J130" s="98"/>
      <c r="K130" s="91"/>
      <c r="L130" s="91"/>
      <c r="M130" s="91"/>
      <c r="N130" s="91"/>
    </row>
    <row r="131" spans="1:14" ht="22" x14ac:dyDescent="0.25">
      <c r="A131" s="345"/>
      <c r="D131" s="92" t="s">
        <v>97</v>
      </c>
      <c r="F131" s="93"/>
      <c r="K131" s="91"/>
      <c r="L131" s="91"/>
      <c r="M131" s="91"/>
      <c r="N131" s="91"/>
    </row>
    <row r="132" spans="1:14" ht="23" thickBot="1" x14ac:dyDescent="0.3">
      <c r="A132" s="345"/>
      <c r="D132" s="94"/>
      <c r="K132" s="91"/>
      <c r="L132" s="91"/>
      <c r="M132" s="91"/>
      <c r="N132" s="91"/>
    </row>
    <row r="133" spans="1:14" ht="23" customHeight="1" thickTop="1" x14ac:dyDescent="0.25">
      <c r="A133" s="345"/>
      <c r="D133" s="94"/>
      <c r="E133" s="339" t="str">
        <f>E90</f>
        <v>Coûts des ressources alimentaires pour chaque produit offert (voir recettes standardisées)</v>
      </c>
      <c r="F133" s="339" t="str">
        <f>F90</f>
        <v>Prix de vente par produit offert</v>
      </c>
      <c r="G133" s="339" t="str">
        <f>G90</f>
        <v xml:space="preserve">« Food &amp; Beverage Cost » </v>
      </c>
      <c r="H133" s="339" t="str">
        <f>H90</f>
        <v>Marge brute gagnée sur la vente de chaque produit offert</v>
      </c>
      <c r="I133" s="95"/>
      <c r="K133" s="91"/>
      <c r="L133" s="91"/>
      <c r="M133" s="91"/>
      <c r="N133" s="91"/>
    </row>
    <row r="134" spans="1:14" ht="22" x14ac:dyDescent="0.25">
      <c r="A134" s="345"/>
      <c r="D134" s="94"/>
      <c r="E134" s="340"/>
      <c r="F134" s="342"/>
      <c r="G134" s="342"/>
      <c r="H134" s="342"/>
      <c r="I134" s="96"/>
      <c r="K134" s="91"/>
      <c r="L134" s="91"/>
      <c r="M134" s="91"/>
      <c r="N134" s="91"/>
    </row>
    <row r="135" spans="1:14" ht="14" customHeight="1" thickBot="1" x14ac:dyDescent="0.2">
      <c r="A135" s="345"/>
      <c r="E135" s="341"/>
      <c r="F135" s="343"/>
      <c r="G135" s="343"/>
      <c r="H135" s="343"/>
      <c r="I135" s="96"/>
      <c r="K135" s="91"/>
      <c r="L135" s="91"/>
      <c r="M135" s="91"/>
      <c r="N135" s="91"/>
    </row>
    <row r="136" spans="1:14" ht="14" thickTop="1" x14ac:dyDescent="0.15">
      <c r="A136" s="345"/>
      <c r="B136" s="90" t="s">
        <v>0</v>
      </c>
      <c r="E136" s="93"/>
      <c r="F136" s="93"/>
      <c r="G136" s="97"/>
      <c r="K136" s="91"/>
      <c r="L136" s="91"/>
      <c r="M136" s="91"/>
      <c r="N136" s="91"/>
    </row>
    <row r="137" spans="1:14" ht="16" x14ac:dyDescent="0.2">
      <c r="A137" s="345"/>
      <c r="B137" s="98"/>
      <c r="C137" s="98"/>
      <c r="D137" s="99" t="str">
        <f t="shared" ref="D137:F150" si="20">D94</f>
        <v>Les Petites Gâteries</v>
      </c>
      <c r="E137" s="100"/>
      <c r="F137" s="100"/>
      <c r="G137" s="101"/>
      <c r="H137" s="98"/>
      <c r="I137" s="98"/>
      <c r="J137" s="98"/>
      <c r="K137" s="91"/>
      <c r="L137" s="91"/>
      <c r="M137" s="91"/>
      <c r="N137" s="91"/>
    </row>
    <row r="138" spans="1:14" ht="16" x14ac:dyDescent="0.2">
      <c r="A138" s="345"/>
      <c r="B138" s="98">
        <f t="shared" ref="B138:C149" si="21">B95</f>
        <v>1</v>
      </c>
      <c r="C138" s="98">
        <f t="shared" si="21"/>
        <v>1</v>
      </c>
      <c r="D138" s="98" t="str">
        <f t="shared" si="20"/>
        <v>Petite Gâterie 1</v>
      </c>
      <c r="E138" s="102">
        <f t="shared" si="20"/>
        <v>1.21</v>
      </c>
      <c r="F138" s="145">
        <v>3.3</v>
      </c>
      <c r="G138" s="103">
        <f t="shared" ref="G138:G150" si="22">E138/F138</f>
        <v>0.3666666666666667</v>
      </c>
      <c r="H138" s="104">
        <f t="shared" ref="H138:H150" si="23">F138-E138</f>
        <v>2.09</v>
      </c>
      <c r="I138" s="100">
        <f>F138</f>
        <v>3.3</v>
      </c>
      <c r="J138" s="337">
        <f>3/12</f>
        <v>0.25</v>
      </c>
      <c r="K138" s="91"/>
      <c r="L138" s="91"/>
      <c r="M138" s="91"/>
      <c r="N138" s="91"/>
    </row>
    <row r="139" spans="1:14" ht="16" x14ac:dyDescent="0.2">
      <c r="A139" s="345"/>
      <c r="B139" s="98">
        <f t="shared" si="21"/>
        <v>2</v>
      </c>
      <c r="C139" s="98">
        <f t="shared" si="21"/>
        <v>2</v>
      </c>
      <c r="D139" s="98" t="str">
        <f t="shared" si="20"/>
        <v>Petite Gâterie 2</v>
      </c>
      <c r="E139" s="102">
        <f t="shared" si="20"/>
        <v>1.31</v>
      </c>
      <c r="F139" s="102">
        <f t="shared" si="20"/>
        <v>3.8</v>
      </c>
      <c r="G139" s="103">
        <f t="shared" si="22"/>
        <v>0.34473684210526317</v>
      </c>
      <c r="H139" s="104">
        <f t="shared" si="23"/>
        <v>2.4899999999999998</v>
      </c>
      <c r="I139" s="100"/>
      <c r="J139" s="336"/>
      <c r="K139" s="91"/>
      <c r="L139" s="91"/>
      <c r="M139" s="91"/>
      <c r="N139" s="91"/>
    </row>
    <row r="140" spans="1:14" ht="17" thickBot="1" x14ac:dyDescent="0.25">
      <c r="A140" s="345"/>
      <c r="B140" s="105">
        <f t="shared" si="21"/>
        <v>3</v>
      </c>
      <c r="C140" s="105">
        <f t="shared" si="21"/>
        <v>3</v>
      </c>
      <c r="D140" s="105" t="str">
        <f t="shared" si="20"/>
        <v>Petite Gâterie 3</v>
      </c>
      <c r="E140" s="106">
        <f t="shared" si="20"/>
        <v>1.35</v>
      </c>
      <c r="F140" s="106">
        <f t="shared" si="20"/>
        <v>4</v>
      </c>
      <c r="G140" s="107">
        <f t="shared" si="22"/>
        <v>0.33750000000000002</v>
      </c>
      <c r="H140" s="108">
        <f t="shared" si="23"/>
        <v>2.65</v>
      </c>
      <c r="I140" s="109">
        <f>+I138+1.066667</f>
        <v>4.3666669999999996</v>
      </c>
      <c r="J140" s="338"/>
      <c r="K140" s="91"/>
      <c r="L140" s="91"/>
      <c r="M140" s="91"/>
      <c r="N140" s="91"/>
    </row>
    <row r="141" spans="1:14" ht="16" x14ac:dyDescent="0.2">
      <c r="A141" s="345"/>
      <c r="B141" s="98">
        <f t="shared" si="21"/>
        <v>4</v>
      </c>
      <c r="C141" s="98">
        <f t="shared" si="21"/>
        <v>4</v>
      </c>
      <c r="D141" s="98" t="str">
        <f t="shared" si="20"/>
        <v>Petite Gâterie 4</v>
      </c>
      <c r="E141" s="102">
        <f t="shared" si="20"/>
        <v>1.4</v>
      </c>
      <c r="F141" s="102">
        <f t="shared" si="20"/>
        <v>4.5</v>
      </c>
      <c r="G141" s="103">
        <f t="shared" si="22"/>
        <v>0.31111111111111112</v>
      </c>
      <c r="H141" s="104">
        <f t="shared" si="23"/>
        <v>3.1</v>
      </c>
      <c r="I141" s="100">
        <f>+I140+0.01</f>
        <v>4.3766669999999994</v>
      </c>
      <c r="J141" s="335">
        <f>7/12</f>
        <v>0.58333333333333337</v>
      </c>
      <c r="K141" s="91"/>
      <c r="L141" s="91"/>
      <c r="M141" s="91"/>
      <c r="N141" s="91"/>
    </row>
    <row r="142" spans="1:14" ht="16" x14ac:dyDescent="0.2">
      <c r="A142" s="345"/>
      <c r="B142" s="98">
        <f t="shared" si="21"/>
        <v>5</v>
      </c>
      <c r="C142" s="98">
        <f t="shared" si="21"/>
        <v>5</v>
      </c>
      <c r="D142" s="98" t="str">
        <f t="shared" si="20"/>
        <v>Petite Gâterie 5</v>
      </c>
      <c r="E142" s="102">
        <f t="shared" si="20"/>
        <v>1.24</v>
      </c>
      <c r="F142" s="102">
        <f t="shared" si="20"/>
        <v>4.5999999999999996</v>
      </c>
      <c r="G142" s="103">
        <f t="shared" si="22"/>
        <v>0.26956521739130435</v>
      </c>
      <c r="H142" s="104">
        <f t="shared" si="23"/>
        <v>3.3599999999999994</v>
      </c>
      <c r="I142" s="100"/>
      <c r="J142" s="336"/>
      <c r="K142" s="91"/>
      <c r="L142" s="91"/>
      <c r="M142" s="91"/>
      <c r="N142" s="91"/>
    </row>
    <row r="143" spans="1:14" ht="16" x14ac:dyDescent="0.2">
      <c r="A143" s="345"/>
      <c r="B143" s="98">
        <f t="shared" si="21"/>
        <v>6</v>
      </c>
      <c r="C143" s="98">
        <f t="shared" si="21"/>
        <v>6</v>
      </c>
      <c r="D143" s="98" t="str">
        <f t="shared" si="20"/>
        <v>Petite Gâterie 6</v>
      </c>
      <c r="E143" s="102">
        <f t="shared" si="20"/>
        <v>1.39</v>
      </c>
      <c r="F143" s="102">
        <f t="shared" si="20"/>
        <v>4.7</v>
      </c>
      <c r="G143" s="103">
        <f t="shared" si="22"/>
        <v>0.29574468085106381</v>
      </c>
      <c r="H143" s="104">
        <f t="shared" si="23"/>
        <v>3.3100000000000005</v>
      </c>
      <c r="I143" s="100"/>
      <c r="J143" s="336"/>
      <c r="K143" s="91"/>
      <c r="L143" s="91"/>
      <c r="M143" s="91"/>
      <c r="N143" s="91"/>
    </row>
    <row r="144" spans="1:14" ht="16" x14ac:dyDescent="0.2">
      <c r="A144" s="345"/>
      <c r="B144" s="98">
        <f t="shared" si="21"/>
        <v>7</v>
      </c>
      <c r="C144" s="98">
        <f t="shared" si="21"/>
        <v>7</v>
      </c>
      <c r="D144" s="98" t="str">
        <f t="shared" si="20"/>
        <v>Petite Gâterie 7</v>
      </c>
      <c r="E144" s="102">
        <f t="shared" si="20"/>
        <v>1.51</v>
      </c>
      <c r="F144" s="102">
        <f t="shared" si="20"/>
        <v>4.8</v>
      </c>
      <c r="G144" s="103">
        <f t="shared" si="22"/>
        <v>0.31458333333333333</v>
      </c>
      <c r="H144" s="104">
        <f t="shared" si="23"/>
        <v>3.29</v>
      </c>
      <c r="I144" s="100"/>
      <c r="J144" s="336"/>
      <c r="K144" s="91"/>
      <c r="L144" s="91"/>
      <c r="M144" s="91"/>
      <c r="N144" s="91"/>
    </row>
    <row r="145" spans="1:14" ht="16" x14ac:dyDescent="0.2">
      <c r="A145" s="345"/>
      <c r="B145" s="98">
        <f t="shared" si="21"/>
        <v>8</v>
      </c>
      <c r="C145" s="98">
        <f t="shared" si="21"/>
        <v>8</v>
      </c>
      <c r="D145" s="98" t="str">
        <f t="shared" si="20"/>
        <v>Petite Gâterie 8</v>
      </c>
      <c r="E145" s="102">
        <f t="shared" si="20"/>
        <v>1.53</v>
      </c>
      <c r="F145" s="102">
        <f t="shared" si="20"/>
        <v>4.9000000000000004</v>
      </c>
      <c r="G145" s="103">
        <f t="shared" si="22"/>
        <v>0.31224489795918364</v>
      </c>
      <c r="H145" s="104">
        <f t="shared" si="23"/>
        <v>3.37</v>
      </c>
      <c r="I145" s="100"/>
      <c r="J145" s="336"/>
      <c r="K145" s="91"/>
      <c r="L145" s="91"/>
      <c r="M145" s="91"/>
      <c r="N145" s="91"/>
    </row>
    <row r="146" spans="1:14" ht="16" x14ac:dyDescent="0.2">
      <c r="A146" s="345"/>
      <c r="B146" s="98">
        <f t="shared" si="21"/>
        <v>9</v>
      </c>
      <c r="C146" s="98">
        <f t="shared" si="21"/>
        <v>9</v>
      </c>
      <c r="D146" s="98" t="str">
        <f t="shared" si="20"/>
        <v>Petite Gâterie 9</v>
      </c>
      <c r="E146" s="102">
        <f t="shared" si="20"/>
        <v>1.55</v>
      </c>
      <c r="F146" s="102">
        <f t="shared" si="20"/>
        <v>5</v>
      </c>
      <c r="G146" s="103">
        <f t="shared" si="22"/>
        <v>0.31</v>
      </c>
      <c r="H146" s="104">
        <f t="shared" si="23"/>
        <v>3.45</v>
      </c>
      <c r="I146" s="100"/>
      <c r="J146" s="336"/>
      <c r="K146" s="91"/>
      <c r="L146" s="91"/>
      <c r="M146" s="91"/>
      <c r="N146" s="91"/>
    </row>
    <row r="147" spans="1:14" ht="17" thickBot="1" x14ac:dyDescent="0.25">
      <c r="A147" s="345"/>
      <c r="B147" s="105">
        <f t="shared" si="21"/>
        <v>10</v>
      </c>
      <c r="C147" s="105">
        <f t="shared" si="21"/>
        <v>10</v>
      </c>
      <c r="D147" s="105" t="str">
        <f t="shared" si="20"/>
        <v>Petite Gâterie 10</v>
      </c>
      <c r="E147" s="106">
        <f t="shared" si="20"/>
        <v>1.59</v>
      </c>
      <c r="F147" s="106">
        <f t="shared" si="20"/>
        <v>5.2</v>
      </c>
      <c r="G147" s="107">
        <f t="shared" si="22"/>
        <v>0.30576923076923079</v>
      </c>
      <c r="H147" s="108">
        <f t="shared" si="23"/>
        <v>3.6100000000000003</v>
      </c>
      <c r="I147" s="109">
        <f>+I140+1.066667</f>
        <v>5.4333339999999994</v>
      </c>
      <c r="J147" s="338"/>
      <c r="K147" s="91"/>
      <c r="L147" s="91"/>
      <c r="M147" s="91"/>
      <c r="N147" s="91"/>
    </row>
    <row r="148" spans="1:14" ht="16" x14ac:dyDescent="0.2">
      <c r="A148" s="345"/>
      <c r="B148" s="98">
        <f t="shared" si="21"/>
        <v>11</v>
      </c>
      <c r="C148" s="98">
        <f t="shared" si="21"/>
        <v>11</v>
      </c>
      <c r="D148" s="98" t="str">
        <f t="shared" si="20"/>
        <v>Petite Gâterie 11</v>
      </c>
      <c r="E148" s="102">
        <f t="shared" si="20"/>
        <v>1.83</v>
      </c>
      <c r="F148" s="102">
        <f t="shared" si="20"/>
        <v>6.4</v>
      </c>
      <c r="G148" s="103">
        <f t="shared" si="22"/>
        <v>0.28593750000000001</v>
      </c>
      <c r="H148" s="104">
        <f t="shared" si="23"/>
        <v>4.57</v>
      </c>
      <c r="I148" s="100">
        <f>+I147+0.01</f>
        <v>5.4433339999999992</v>
      </c>
      <c r="J148" s="335">
        <f>2/12</f>
        <v>0.16666666666666666</v>
      </c>
      <c r="K148" s="91"/>
      <c r="L148" s="91"/>
      <c r="M148" s="91"/>
      <c r="N148" s="91"/>
    </row>
    <row r="149" spans="1:14" ht="16" x14ac:dyDescent="0.2">
      <c r="A149" s="345"/>
      <c r="B149" s="98">
        <f t="shared" si="21"/>
        <v>12</v>
      </c>
      <c r="C149" s="98">
        <f t="shared" si="21"/>
        <v>12</v>
      </c>
      <c r="D149" s="98" t="str">
        <f t="shared" si="20"/>
        <v>Petite Gâterie 12</v>
      </c>
      <c r="E149" s="102">
        <f t="shared" si="20"/>
        <v>1.87</v>
      </c>
      <c r="F149" s="102">
        <f t="shared" si="20"/>
        <v>6.6</v>
      </c>
      <c r="G149" s="103">
        <f t="shared" si="22"/>
        <v>0.28333333333333338</v>
      </c>
      <c r="H149" s="104">
        <f t="shared" si="23"/>
        <v>4.7299999999999995</v>
      </c>
      <c r="I149" s="100">
        <f>F149</f>
        <v>6.6</v>
      </c>
      <c r="J149" s="336"/>
      <c r="K149" s="91"/>
      <c r="L149" s="91"/>
      <c r="M149" s="91"/>
      <c r="N149" s="91"/>
    </row>
    <row r="150" spans="1:14" ht="19" x14ac:dyDescent="0.35">
      <c r="A150" s="345"/>
      <c r="B150" s="98"/>
      <c r="C150" s="98"/>
      <c r="D150" s="99" t="str">
        <f t="shared" si="20"/>
        <v>CmO—PmO—Food Cost—BmO</v>
      </c>
      <c r="E150" s="110">
        <f>SUM(E138:E149)/C149</f>
        <v>1.4816666666666667</v>
      </c>
      <c r="F150" s="111">
        <f>SUM(F138:F149)/C149</f>
        <v>4.8166666666666673</v>
      </c>
      <c r="G150" s="112">
        <f t="shared" si="22"/>
        <v>0.30761245674740478</v>
      </c>
      <c r="H150" s="113">
        <f t="shared" si="23"/>
        <v>3.3350000000000009</v>
      </c>
      <c r="I150" s="114"/>
      <c r="J150" s="98"/>
      <c r="K150" s="91"/>
      <c r="L150" s="91"/>
      <c r="M150" s="91"/>
      <c r="N150" s="91"/>
    </row>
    <row r="151" spans="1:14" ht="16" x14ac:dyDescent="0.2">
      <c r="A151" s="345"/>
      <c r="B151" s="98" t="s">
        <v>0</v>
      </c>
      <c r="C151" s="98"/>
      <c r="D151" s="98"/>
      <c r="E151" s="102"/>
      <c r="F151" s="102"/>
      <c r="G151" s="103"/>
      <c r="H151" s="115"/>
      <c r="I151" s="100"/>
      <c r="J151" s="98"/>
      <c r="K151" s="91"/>
      <c r="L151" s="91"/>
      <c r="M151" s="91"/>
      <c r="N151" s="91"/>
    </row>
    <row r="152" spans="1:14" ht="16" x14ac:dyDescent="0.2">
      <c r="A152" s="345"/>
      <c r="B152" s="98"/>
      <c r="C152" s="98"/>
      <c r="D152" s="99" t="str">
        <f t="shared" ref="D152:F165" si="24">D109</f>
        <v>Les Boissons  Gâteries</v>
      </c>
      <c r="E152" s="102"/>
      <c r="F152" s="102"/>
      <c r="G152" s="103"/>
      <c r="H152" s="115"/>
      <c r="I152" s="100"/>
      <c r="J152" s="98"/>
      <c r="K152" s="91"/>
      <c r="L152" s="91"/>
      <c r="M152" s="91"/>
      <c r="N152" s="91"/>
    </row>
    <row r="153" spans="1:14" ht="16" x14ac:dyDescent="0.2">
      <c r="A153" s="345"/>
      <c r="B153" s="98">
        <f t="shared" ref="B153:C164" si="25">B110</f>
        <v>13</v>
      </c>
      <c r="C153" s="98">
        <f t="shared" si="25"/>
        <v>1</v>
      </c>
      <c r="D153" s="98" t="str">
        <f t="shared" si="24"/>
        <v>Boisson spéciale numéro 1</v>
      </c>
      <c r="E153" s="102">
        <f t="shared" si="24"/>
        <v>2.2799999999999998</v>
      </c>
      <c r="F153" s="145">
        <f>F110</f>
        <v>6.6</v>
      </c>
      <c r="G153" s="103">
        <f>E153/F153</f>
        <v>0.34545454545454546</v>
      </c>
      <c r="H153" s="104">
        <f>F153-E153</f>
        <v>4.32</v>
      </c>
      <c r="I153" s="100">
        <f>F153</f>
        <v>6.6</v>
      </c>
      <c r="J153" s="337">
        <f>3/12</f>
        <v>0.25</v>
      </c>
      <c r="K153" s="91"/>
      <c r="L153" s="91"/>
      <c r="M153" s="91"/>
      <c r="N153" s="91"/>
    </row>
    <row r="154" spans="1:14" ht="16" x14ac:dyDescent="0.2">
      <c r="A154" s="345"/>
      <c r="B154" s="98">
        <f t="shared" si="25"/>
        <v>14</v>
      </c>
      <c r="C154" s="98">
        <f t="shared" si="25"/>
        <v>2</v>
      </c>
      <c r="D154" s="98" t="str">
        <f t="shared" si="24"/>
        <v>Boisson spéciale numéro 2</v>
      </c>
      <c r="E154" s="102">
        <f t="shared" si="24"/>
        <v>2.66</v>
      </c>
      <c r="F154" s="102">
        <f t="shared" si="24"/>
        <v>7.6</v>
      </c>
      <c r="G154" s="103">
        <f>E154/F154</f>
        <v>0.35000000000000003</v>
      </c>
      <c r="H154" s="104">
        <f>F154-E154</f>
        <v>4.9399999999999995</v>
      </c>
      <c r="I154" s="100"/>
      <c r="J154" s="336"/>
      <c r="K154" s="91"/>
      <c r="L154" s="91"/>
      <c r="M154" s="91"/>
      <c r="N154" s="91"/>
    </row>
    <row r="155" spans="1:14" ht="17" thickBot="1" x14ac:dyDescent="0.25">
      <c r="A155" s="345"/>
      <c r="B155" s="105">
        <f t="shared" si="25"/>
        <v>15</v>
      </c>
      <c r="C155" s="105">
        <f t="shared" si="25"/>
        <v>3</v>
      </c>
      <c r="D155" s="105" t="str">
        <f t="shared" si="24"/>
        <v>Boisson spéciale numéro 3</v>
      </c>
      <c r="E155" s="106">
        <f t="shared" si="24"/>
        <v>2.74</v>
      </c>
      <c r="F155" s="106">
        <f t="shared" si="24"/>
        <v>8</v>
      </c>
      <c r="G155" s="107">
        <f>E155/F155</f>
        <v>0.34250000000000003</v>
      </c>
      <c r="H155" s="108">
        <f>F155-E155</f>
        <v>5.26</v>
      </c>
      <c r="I155" s="109">
        <f>+I153+2.166667</f>
        <v>8.766667</v>
      </c>
      <c r="J155" s="338"/>
      <c r="K155" s="91"/>
      <c r="L155" s="91"/>
      <c r="M155" s="91"/>
      <c r="N155" s="91"/>
    </row>
    <row r="156" spans="1:14" ht="16" x14ac:dyDescent="0.2">
      <c r="A156" s="345"/>
      <c r="B156" s="98">
        <f t="shared" si="25"/>
        <v>16</v>
      </c>
      <c r="C156" s="98">
        <f t="shared" si="25"/>
        <v>4</v>
      </c>
      <c r="D156" s="98" t="str">
        <f t="shared" si="24"/>
        <v>Boisson spéciale numéro 4</v>
      </c>
      <c r="E156" s="102">
        <f t="shared" si="24"/>
        <v>2.72</v>
      </c>
      <c r="F156" s="102">
        <f t="shared" si="24"/>
        <v>9</v>
      </c>
      <c r="G156" s="103">
        <f t="shared" ref="G156:G163" si="26">E156/F156</f>
        <v>0.30222222222222223</v>
      </c>
      <c r="H156" s="104">
        <f t="shared" ref="H156:H163" si="27">F156-E156</f>
        <v>6.2799999999999994</v>
      </c>
      <c r="I156" s="100">
        <f>+I155+0.01</f>
        <v>8.7766669999999998</v>
      </c>
      <c r="J156" s="335">
        <f>7/12</f>
        <v>0.58333333333333337</v>
      </c>
      <c r="K156" s="91"/>
      <c r="L156" s="91"/>
      <c r="M156" s="91"/>
      <c r="N156" s="91"/>
    </row>
    <row r="157" spans="1:14" ht="16" x14ac:dyDescent="0.2">
      <c r="A157" s="345"/>
      <c r="B157" s="98">
        <f t="shared" si="25"/>
        <v>17</v>
      </c>
      <c r="C157" s="98">
        <f t="shared" si="25"/>
        <v>5</v>
      </c>
      <c r="D157" s="98" t="str">
        <f t="shared" si="24"/>
        <v>Boisson spéciale numéro 5</v>
      </c>
      <c r="E157" s="102">
        <f t="shared" si="24"/>
        <v>2.76</v>
      </c>
      <c r="F157" s="102">
        <f t="shared" si="24"/>
        <v>9.1999999999999993</v>
      </c>
      <c r="G157" s="103">
        <f t="shared" si="26"/>
        <v>0.3</v>
      </c>
      <c r="H157" s="104">
        <f t="shared" si="27"/>
        <v>6.4399999999999995</v>
      </c>
      <c r="I157" s="100"/>
      <c r="J157" s="336"/>
      <c r="K157" s="91"/>
      <c r="L157" s="91"/>
      <c r="M157" s="91"/>
      <c r="N157" s="91"/>
    </row>
    <row r="158" spans="1:14" ht="16" x14ac:dyDescent="0.2">
      <c r="A158" s="345"/>
      <c r="B158" s="98">
        <f t="shared" si="25"/>
        <v>18</v>
      </c>
      <c r="C158" s="98">
        <f t="shared" si="25"/>
        <v>6</v>
      </c>
      <c r="D158" s="98" t="str">
        <f t="shared" si="24"/>
        <v>Boisson spéciale numéro 6</v>
      </c>
      <c r="E158" s="102">
        <f t="shared" si="24"/>
        <v>2.8</v>
      </c>
      <c r="F158" s="102">
        <f t="shared" si="24"/>
        <v>9.4</v>
      </c>
      <c r="G158" s="103">
        <f t="shared" si="26"/>
        <v>0.2978723404255319</v>
      </c>
      <c r="H158" s="104">
        <f t="shared" si="27"/>
        <v>6.6000000000000005</v>
      </c>
      <c r="I158" s="100"/>
      <c r="J158" s="336"/>
      <c r="K158" s="91"/>
      <c r="L158" s="91"/>
      <c r="M158" s="91"/>
      <c r="N158" s="91"/>
    </row>
    <row r="159" spans="1:14" ht="16" x14ac:dyDescent="0.2">
      <c r="A159" s="345"/>
      <c r="B159" s="98">
        <f t="shared" si="25"/>
        <v>19</v>
      </c>
      <c r="C159" s="98">
        <f t="shared" si="25"/>
        <v>7</v>
      </c>
      <c r="D159" s="98" t="str">
        <f t="shared" si="24"/>
        <v>Boisson spéciale numéro 7</v>
      </c>
      <c r="E159" s="102">
        <f t="shared" si="24"/>
        <v>2.82</v>
      </c>
      <c r="F159" s="102">
        <f t="shared" si="24"/>
        <v>9.6</v>
      </c>
      <c r="G159" s="103">
        <f t="shared" si="26"/>
        <v>0.29375000000000001</v>
      </c>
      <c r="H159" s="104">
        <f t="shared" si="27"/>
        <v>6.7799999999999994</v>
      </c>
      <c r="I159" s="100"/>
      <c r="J159" s="336"/>
      <c r="K159" s="91"/>
      <c r="L159" s="91"/>
      <c r="M159" s="91"/>
      <c r="N159" s="91"/>
    </row>
    <row r="160" spans="1:14" ht="16" x14ac:dyDescent="0.2">
      <c r="A160" s="345"/>
      <c r="B160" s="98">
        <f t="shared" si="25"/>
        <v>20</v>
      </c>
      <c r="C160" s="98">
        <f t="shared" si="25"/>
        <v>8</v>
      </c>
      <c r="D160" s="98" t="str">
        <f t="shared" si="24"/>
        <v>Boisson spéciale numéro 8</v>
      </c>
      <c r="E160" s="102">
        <f t="shared" si="24"/>
        <v>2.86</v>
      </c>
      <c r="F160" s="102">
        <f t="shared" si="24"/>
        <v>9.8000000000000007</v>
      </c>
      <c r="G160" s="103">
        <f t="shared" si="26"/>
        <v>0.2918367346938775</v>
      </c>
      <c r="H160" s="104">
        <f t="shared" si="27"/>
        <v>6.9400000000000013</v>
      </c>
      <c r="I160" s="100"/>
      <c r="J160" s="336"/>
      <c r="K160" s="91"/>
      <c r="L160" s="91"/>
      <c r="M160" s="91"/>
      <c r="N160" s="91"/>
    </row>
    <row r="161" spans="1:14" ht="16" x14ac:dyDescent="0.2">
      <c r="A161" s="345"/>
      <c r="B161" s="98">
        <f t="shared" si="25"/>
        <v>21</v>
      </c>
      <c r="C161" s="98">
        <f t="shared" si="25"/>
        <v>9</v>
      </c>
      <c r="D161" s="98" t="str">
        <f t="shared" si="24"/>
        <v>Boisson spéciale numéro 9</v>
      </c>
      <c r="E161" s="102">
        <f t="shared" si="24"/>
        <v>2.9</v>
      </c>
      <c r="F161" s="102">
        <f t="shared" si="24"/>
        <v>10</v>
      </c>
      <c r="G161" s="103">
        <f t="shared" si="26"/>
        <v>0.28999999999999998</v>
      </c>
      <c r="H161" s="104">
        <f t="shared" si="27"/>
        <v>7.1</v>
      </c>
      <c r="I161" s="100"/>
      <c r="J161" s="336"/>
      <c r="K161" s="91"/>
      <c r="L161" s="91"/>
      <c r="M161" s="91"/>
      <c r="N161" s="91"/>
    </row>
    <row r="162" spans="1:14" ht="17" thickBot="1" x14ac:dyDescent="0.25">
      <c r="A162" s="345"/>
      <c r="B162" s="105">
        <f t="shared" si="25"/>
        <v>22</v>
      </c>
      <c r="C162" s="105">
        <f t="shared" si="25"/>
        <v>10</v>
      </c>
      <c r="D162" s="105" t="str">
        <f t="shared" si="24"/>
        <v>Boisson spéciale numéro 10</v>
      </c>
      <c r="E162" s="106">
        <f t="shared" si="24"/>
        <v>2.98</v>
      </c>
      <c r="F162" s="106">
        <f t="shared" si="24"/>
        <v>10.4</v>
      </c>
      <c r="G162" s="107">
        <f t="shared" si="26"/>
        <v>0.28653846153846152</v>
      </c>
      <c r="H162" s="108">
        <f t="shared" si="27"/>
        <v>7.42</v>
      </c>
      <c r="I162" s="109">
        <f>+I155+2.166667</f>
        <v>10.933334</v>
      </c>
      <c r="J162" s="338"/>
      <c r="K162" s="91"/>
      <c r="L162" s="91"/>
      <c r="M162" s="91"/>
      <c r="N162" s="91"/>
    </row>
    <row r="163" spans="1:14" ht="16" x14ac:dyDescent="0.2">
      <c r="A163" s="345"/>
      <c r="B163" s="98">
        <f t="shared" si="25"/>
        <v>23</v>
      </c>
      <c r="C163" s="98">
        <f t="shared" si="25"/>
        <v>11</v>
      </c>
      <c r="D163" s="98" t="str">
        <f t="shared" si="24"/>
        <v>Boisson spéciale numéro 11</v>
      </c>
      <c r="E163" s="102">
        <f t="shared" si="24"/>
        <v>3.18</v>
      </c>
      <c r="F163" s="102">
        <f t="shared" si="24"/>
        <v>11.6</v>
      </c>
      <c r="G163" s="103">
        <f t="shared" si="26"/>
        <v>0.27413793103448281</v>
      </c>
      <c r="H163" s="104">
        <f t="shared" si="27"/>
        <v>8.42</v>
      </c>
      <c r="I163" s="100">
        <f>+I162+0.01</f>
        <v>10.943334</v>
      </c>
      <c r="J163" s="335">
        <f>2/12</f>
        <v>0.16666666666666666</v>
      </c>
      <c r="K163" s="91"/>
      <c r="L163" s="91"/>
      <c r="M163" s="91"/>
      <c r="N163" s="91"/>
    </row>
    <row r="164" spans="1:14" ht="16" x14ac:dyDescent="0.2">
      <c r="A164" s="345"/>
      <c r="B164" s="98">
        <f t="shared" si="25"/>
        <v>24</v>
      </c>
      <c r="C164" s="98">
        <f t="shared" si="25"/>
        <v>12</v>
      </c>
      <c r="D164" s="98" t="str">
        <f t="shared" si="24"/>
        <v>Boisson spéciale numéro 12</v>
      </c>
      <c r="E164" s="102">
        <f t="shared" si="24"/>
        <v>3.48</v>
      </c>
      <c r="F164" s="102">
        <f t="shared" si="24"/>
        <v>13.2</v>
      </c>
      <c r="G164" s="103">
        <f>E164/F164</f>
        <v>0.26363636363636367</v>
      </c>
      <c r="H164" s="104">
        <f>F164-E164</f>
        <v>9.7199999999999989</v>
      </c>
      <c r="I164" s="100">
        <f>F164</f>
        <v>13.2</v>
      </c>
      <c r="J164" s="336"/>
      <c r="K164" s="91"/>
      <c r="L164" s="91"/>
      <c r="M164" s="91"/>
      <c r="N164" s="91"/>
    </row>
    <row r="165" spans="1:14" ht="19" x14ac:dyDescent="0.35">
      <c r="A165" s="345"/>
      <c r="B165" s="98"/>
      <c r="C165" s="98"/>
      <c r="D165" s="99" t="str">
        <f t="shared" si="24"/>
        <v>CmO—PmO—Beverage Cost—Marge brute</v>
      </c>
      <c r="E165" s="110">
        <f>SUM(E153:E164)/C164</f>
        <v>2.8483333333333332</v>
      </c>
      <c r="F165" s="111">
        <f>SUM(F153:F164)/C164</f>
        <v>9.5333333333333332</v>
      </c>
      <c r="G165" s="116">
        <f>E165/F165</f>
        <v>0.29877622377622376</v>
      </c>
      <c r="H165" s="113">
        <f>F165-E165</f>
        <v>6.6850000000000005</v>
      </c>
      <c r="I165" s="114"/>
      <c r="J165" s="98"/>
      <c r="K165" s="91"/>
      <c r="L165" s="91"/>
      <c r="M165" s="91"/>
      <c r="N165" s="91"/>
    </row>
    <row r="166" spans="1:14" ht="17" thickBot="1" x14ac:dyDescent="0.25">
      <c r="A166" s="345"/>
      <c r="B166" s="98"/>
      <c r="C166" s="98"/>
      <c r="D166" s="98"/>
      <c r="E166" s="102"/>
      <c r="F166" s="102"/>
      <c r="G166" s="101"/>
      <c r="H166" s="115"/>
      <c r="I166" s="98"/>
      <c r="J166" s="98"/>
      <c r="K166" s="91"/>
      <c r="L166" s="91"/>
      <c r="M166" s="91"/>
      <c r="N166" s="91"/>
    </row>
    <row r="167" spans="1:14" ht="21" thickTop="1" thickBot="1" x14ac:dyDescent="0.4">
      <c r="A167" s="345"/>
      <c r="B167" s="98"/>
      <c r="C167" s="117"/>
      <c r="D167" s="118"/>
      <c r="E167" s="119"/>
      <c r="F167" s="119"/>
      <c r="G167" s="120"/>
      <c r="H167" s="121"/>
      <c r="I167" s="122"/>
      <c r="J167" s="98"/>
    </row>
    <row r="168" spans="1:14" ht="18" thickTop="1" thickBot="1" x14ac:dyDescent="0.25">
      <c r="A168" s="345"/>
      <c r="B168" s="98"/>
      <c r="C168" s="123"/>
      <c r="D168" s="99"/>
      <c r="E168" s="124" t="str">
        <f>E125</f>
        <v>CmO</v>
      </c>
      <c r="F168" s="124" t="str">
        <f>F125</f>
        <v>PmO</v>
      </c>
      <c r="G168" s="125" t="str">
        <f>G125</f>
        <v>F&amp;BCmO</v>
      </c>
      <c r="H168" s="126" t="str">
        <f>H125</f>
        <v>BmO</v>
      </c>
      <c r="I168" s="127"/>
      <c r="J168" s="98"/>
    </row>
    <row r="169" spans="1:14" ht="17" thickTop="1" x14ac:dyDescent="0.2">
      <c r="A169" s="345"/>
      <c r="B169" s="98"/>
      <c r="C169" s="123"/>
      <c r="D169" s="128" t="str">
        <f>D126</f>
        <v>OFFRE TOTALE AVEC LES GÂTERIES ET LES CAFÉS GÂTERIES</v>
      </c>
      <c r="E169" s="102"/>
      <c r="F169" s="102"/>
      <c r="G169" s="101"/>
      <c r="H169" s="115"/>
      <c r="I169" s="129"/>
      <c r="J169" s="98"/>
    </row>
    <row r="170" spans="1:14" ht="19" x14ac:dyDescent="0.35">
      <c r="A170" s="345"/>
      <c r="B170" s="98"/>
      <c r="C170" s="123"/>
      <c r="D170" s="99" t="str">
        <f>D127</f>
        <v>CmO—PmO—F&amp;B cost moyen offert—Marge brute</v>
      </c>
      <c r="E170" s="111">
        <f>+(E138+E139+E140+E141+E142+E143+E144+E145+E146+E147+E148+E149+E153+E154+E155+E156+E157+E158+E159+E160+E161+E162+E163+E164)/B164</f>
        <v>2.1649999999999996</v>
      </c>
      <c r="F170" s="111">
        <f>+(F138+F139+F140+F141+F142+F143+F144+F145+F146+F147+F148+F149+F153+F154+F155+F156+F157+F158+F159+F160+F161+F162+F163+F164)/B164</f>
        <v>7.1749999999999998</v>
      </c>
      <c r="G170" s="130">
        <f>E170/F170</f>
        <v>0.30174216027874562</v>
      </c>
      <c r="H170" s="131">
        <f>F170-E170</f>
        <v>5.01</v>
      </c>
      <c r="I170" s="132"/>
      <c r="J170" s="98"/>
    </row>
    <row r="171" spans="1:14" ht="16" x14ac:dyDescent="0.2">
      <c r="A171" s="345"/>
      <c r="B171" s="98"/>
      <c r="C171" s="123"/>
      <c r="D171" s="98"/>
      <c r="E171" s="133"/>
      <c r="F171" s="133"/>
      <c r="G171" s="134"/>
      <c r="H171" s="135"/>
      <c r="I171" s="136"/>
      <c r="J171" s="98"/>
    </row>
    <row r="172" spans="1:14" ht="17" thickBot="1" x14ac:dyDescent="0.25">
      <c r="A172" s="345"/>
      <c r="B172" s="98"/>
      <c r="C172" s="137"/>
      <c r="D172" s="138"/>
      <c r="E172" s="139"/>
      <c r="F172" s="139"/>
      <c r="G172" s="140"/>
      <c r="H172" s="141"/>
      <c r="I172" s="142"/>
      <c r="J172" s="98"/>
    </row>
    <row r="173" spans="1:14" ht="14" thickTop="1" x14ac:dyDescent="0.15">
      <c r="A173" s="345"/>
    </row>
    <row r="174" spans="1:14" ht="22" x14ac:dyDescent="0.25">
      <c r="A174" s="345"/>
      <c r="D174" s="92" t="s">
        <v>98</v>
      </c>
      <c r="F174" s="93"/>
    </row>
    <row r="175" spans="1:14" ht="23" thickBot="1" x14ac:dyDescent="0.3">
      <c r="A175" s="345"/>
      <c r="D175" s="94"/>
    </row>
    <row r="176" spans="1:14" ht="23" customHeight="1" thickTop="1" x14ac:dyDescent="0.25">
      <c r="A176" s="345"/>
      <c r="D176" s="94"/>
      <c r="E176" s="347" t="str">
        <f>E133</f>
        <v>Coûts des ressources alimentaires pour chaque produit offert (voir recettes standardisées)</v>
      </c>
      <c r="F176" s="347" t="str">
        <f>F133</f>
        <v>Prix de vente par produit offert</v>
      </c>
      <c r="G176" s="347" t="str">
        <f>G133</f>
        <v xml:space="preserve">« Food &amp; Beverage Cost » </v>
      </c>
      <c r="H176" s="347" t="str">
        <f>H133</f>
        <v>Marge brute gagnée sur la vente de chaque produit offert</v>
      </c>
      <c r="I176" s="95"/>
    </row>
    <row r="177" spans="1:10" ht="22" x14ac:dyDescent="0.25">
      <c r="A177" s="345"/>
      <c r="D177" s="94"/>
      <c r="E177" s="348"/>
      <c r="F177" s="350"/>
      <c r="G177" s="350"/>
      <c r="H177" s="350"/>
      <c r="I177" s="96"/>
    </row>
    <row r="178" spans="1:10" ht="14" customHeight="1" thickBot="1" x14ac:dyDescent="0.2">
      <c r="A178" s="345"/>
      <c r="E178" s="349"/>
      <c r="F178" s="351"/>
      <c r="G178" s="351"/>
      <c r="H178" s="351"/>
      <c r="I178" s="96"/>
    </row>
    <row r="179" spans="1:10" ht="14" thickTop="1" x14ac:dyDescent="0.15">
      <c r="A179" s="345"/>
      <c r="B179" s="90" t="s">
        <v>0</v>
      </c>
      <c r="E179" s="93"/>
      <c r="F179" s="93"/>
      <c r="G179" s="97"/>
    </row>
    <row r="180" spans="1:10" ht="16" x14ac:dyDescent="0.2">
      <c r="A180" s="345"/>
      <c r="B180" s="98"/>
      <c r="C180" s="98"/>
      <c r="D180" s="99" t="str">
        <f t="shared" ref="D180:F193" si="28">D137</f>
        <v>Les Petites Gâteries</v>
      </c>
      <c r="E180" s="100"/>
      <c r="F180" s="100"/>
      <c r="G180" s="101"/>
      <c r="H180" s="98"/>
      <c r="I180" s="98"/>
      <c r="J180" s="98"/>
    </row>
    <row r="181" spans="1:10" ht="16" x14ac:dyDescent="0.2">
      <c r="A181" s="345"/>
      <c r="B181" s="98">
        <f t="shared" ref="B181:C192" si="29">B138</f>
        <v>1</v>
      </c>
      <c r="C181" s="98">
        <f t="shared" si="29"/>
        <v>1</v>
      </c>
      <c r="D181" s="98" t="str">
        <f t="shared" si="28"/>
        <v>Petite Gâterie 1</v>
      </c>
      <c r="E181" s="102">
        <f t="shared" si="28"/>
        <v>1.21</v>
      </c>
      <c r="F181" s="102">
        <f t="shared" si="28"/>
        <v>3.3</v>
      </c>
      <c r="G181" s="103">
        <f t="shared" ref="G181:G193" si="30">E181/F181</f>
        <v>0.3666666666666667</v>
      </c>
      <c r="H181" s="104">
        <f t="shared" ref="H181:H193" si="31">F181-E181</f>
        <v>2.09</v>
      </c>
      <c r="I181" s="100">
        <f>F181</f>
        <v>3.3</v>
      </c>
      <c r="J181" s="337">
        <f>3/12</f>
        <v>0.25</v>
      </c>
    </row>
    <row r="182" spans="1:10" ht="16" x14ac:dyDescent="0.2">
      <c r="A182" s="345"/>
      <c r="B182" s="98">
        <f t="shared" si="29"/>
        <v>2</v>
      </c>
      <c r="C182" s="98">
        <f t="shared" si="29"/>
        <v>2</v>
      </c>
      <c r="D182" s="98" t="str">
        <f t="shared" si="28"/>
        <v>Petite Gâterie 2</v>
      </c>
      <c r="E182" s="102">
        <f t="shared" si="28"/>
        <v>1.31</v>
      </c>
      <c r="F182" s="102">
        <f t="shared" si="28"/>
        <v>3.8</v>
      </c>
      <c r="G182" s="103">
        <f t="shared" si="30"/>
        <v>0.34473684210526317</v>
      </c>
      <c r="H182" s="104">
        <f t="shared" si="31"/>
        <v>2.4899999999999998</v>
      </c>
      <c r="I182" s="100"/>
      <c r="J182" s="336"/>
    </row>
    <row r="183" spans="1:10" ht="17" thickBot="1" x14ac:dyDescent="0.25">
      <c r="A183" s="345"/>
      <c r="B183" s="98">
        <f t="shared" si="29"/>
        <v>3</v>
      </c>
      <c r="C183" s="98">
        <f t="shared" si="29"/>
        <v>3</v>
      </c>
      <c r="D183" s="98" t="str">
        <f t="shared" si="28"/>
        <v>Petite Gâterie 3</v>
      </c>
      <c r="E183" s="102">
        <f t="shared" si="28"/>
        <v>1.35</v>
      </c>
      <c r="F183" s="102">
        <f t="shared" si="28"/>
        <v>4</v>
      </c>
      <c r="G183" s="103">
        <f t="shared" si="30"/>
        <v>0.33750000000000002</v>
      </c>
      <c r="H183" s="104">
        <f t="shared" si="31"/>
        <v>2.65</v>
      </c>
      <c r="I183" s="109">
        <f>+I181+1.1</f>
        <v>4.4000000000000004</v>
      </c>
      <c r="J183" s="338"/>
    </row>
    <row r="184" spans="1:10" ht="16" x14ac:dyDescent="0.2">
      <c r="A184" s="345"/>
      <c r="B184" s="98">
        <f t="shared" si="29"/>
        <v>4</v>
      </c>
      <c r="C184" s="98">
        <f t="shared" si="29"/>
        <v>4</v>
      </c>
      <c r="D184" s="98" t="str">
        <f t="shared" si="28"/>
        <v>Petite Gâterie 4</v>
      </c>
      <c r="E184" s="102">
        <f t="shared" si="28"/>
        <v>1.4</v>
      </c>
      <c r="F184" s="102">
        <f t="shared" si="28"/>
        <v>4.5</v>
      </c>
      <c r="G184" s="103">
        <f t="shared" si="30"/>
        <v>0.31111111111111112</v>
      </c>
      <c r="H184" s="104">
        <f t="shared" si="31"/>
        <v>3.1</v>
      </c>
      <c r="I184" s="100">
        <f>+I183+0.01</f>
        <v>4.41</v>
      </c>
      <c r="J184" s="335">
        <f>7/12</f>
        <v>0.58333333333333337</v>
      </c>
    </row>
    <row r="185" spans="1:10" ht="16" x14ac:dyDescent="0.2">
      <c r="A185" s="345"/>
      <c r="B185" s="98">
        <f t="shared" si="29"/>
        <v>5</v>
      </c>
      <c r="C185" s="98">
        <f t="shared" si="29"/>
        <v>5</v>
      </c>
      <c r="D185" s="98" t="str">
        <f t="shared" si="28"/>
        <v>Petite Gâterie 5</v>
      </c>
      <c r="E185" s="102">
        <f t="shared" si="28"/>
        <v>1.24</v>
      </c>
      <c r="F185" s="102">
        <f t="shared" si="28"/>
        <v>4.5999999999999996</v>
      </c>
      <c r="G185" s="103">
        <f t="shared" si="30"/>
        <v>0.26956521739130435</v>
      </c>
      <c r="H185" s="104">
        <f t="shared" si="31"/>
        <v>3.3599999999999994</v>
      </c>
      <c r="I185" s="100"/>
      <c r="J185" s="336"/>
    </row>
    <row r="186" spans="1:10" ht="16" x14ac:dyDescent="0.2">
      <c r="A186" s="345"/>
      <c r="B186" s="98">
        <f t="shared" si="29"/>
        <v>6</v>
      </c>
      <c r="C186" s="98">
        <f t="shared" si="29"/>
        <v>6</v>
      </c>
      <c r="D186" s="98" t="str">
        <f t="shared" si="28"/>
        <v>Petite Gâterie 6</v>
      </c>
      <c r="E186" s="102">
        <f t="shared" si="28"/>
        <v>1.39</v>
      </c>
      <c r="F186" s="102">
        <f t="shared" si="28"/>
        <v>4.7</v>
      </c>
      <c r="G186" s="103">
        <f t="shared" si="30"/>
        <v>0.29574468085106381</v>
      </c>
      <c r="H186" s="104">
        <f t="shared" si="31"/>
        <v>3.3100000000000005</v>
      </c>
      <c r="I186" s="100"/>
      <c r="J186" s="336"/>
    </row>
    <row r="187" spans="1:10" ht="16" x14ac:dyDescent="0.2">
      <c r="A187" s="345"/>
      <c r="B187" s="98">
        <f t="shared" si="29"/>
        <v>7</v>
      </c>
      <c r="C187" s="98">
        <f t="shared" si="29"/>
        <v>7</v>
      </c>
      <c r="D187" s="98" t="str">
        <f t="shared" si="28"/>
        <v>Petite Gâterie 7</v>
      </c>
      <c r="E187" s="102">
        <f t="shared" si="28"/>
        <v>1.51</v>
      </c>
      <c r="F187" s="102">
        <f t="shared" si="28"/>
        <v>4.8</v>
      </c>
      <c r="G187" s="103">
        <f t="shared" si="30"/>
        <v>0.31458333333333333</v>
      </c>
      <c r="H187" s="104">
        <f t="shared" si="31"/>
        <v>3.29</v>
      </c>
      <c r="I187" s="100"/>
      <c r="J187" s="336"/>
    </row>
    <row r="188" spans="1:10" ht="16" x14ac:dyDescent="0.2">
      <c r="A188" s="345"/>
      <c r="B188" s="98">
        <f t="shared" si="29"/>
        <v>8</v>
      </c>
      <c r="C188" s="98">
        <f t="shared" si="29"/>
        <v>8</v>
      </c>
      <c r="D188" s="98" t="str">
        <f t="shared" si="28"/>
        <v>Petite Gâterie 8</v>
      </c>
      <c r="E188" s="102">
        <f t="shared" si="28"/>
        <v>1.53</v>
      </c>
      <c r="F188" s="102">
        <f t="shared" si="28"/>
        <v>4.9000000000000004</v>
      </c>
      <c r="G188" s="103">
        <f t="shared" si="30"/>
        <v>0.31224489795918364</v>
      </c>
      <c r="H188" s="104">
        <f t="shared" si="31"/>
        <v>3.37</v>
      </c>
      <c r="I188" s="100"/>
      <c r="J188" s="336"/>
    </row>
    <row r="189" spans="1:10" ht="16" x14ac:dyDescent="0.2">
      <c r="A189" s="345"/>
      <c r="B189" s="98">
        <f t="shared" si="29"/>
        <v>9</v>
      </c>
      <c r="C189" s="98">
        <f t="shared" si="29"/>
        <v>9</v>
      </c>
      <c r="D189" s="98" t="str">
        <f t="shared" si="28"/>
        <v>Petite Gâterie 9</v>
      </c>
      <c r="E189" s="102">
        <f t="shared" si="28"/>
        <v>1.55</v>
      </c>
      <c r="F189" s="102">
        <f t="shared" si="28"/>
        <v>5</v>
      </c>
      <c r="G189" s="103">
        <f t="shared" si="30"/>
        <v>0.31</v>
      </c>
      <c r="H189" s="104">
        <f t="shared" si="31"/>
        <v>3.45</v>
      </c>
      <c r="I189" s="100"/>
      <c r="J189" s="336"/>
    </row>
    <row r="190" spans="1:10" ht="17" thickBot="1" x14ac:dyDescent="0.25">
      <c r="A190" s="345"/>
      <c r="B190" s="98">
        <f t="shared" si="29"/>
        <v>10</v>
      </c>
      <c r="C190" s="98">
        <f t="shared" si="29"/>
        <v>10</v>
      </c>
      <c r="D190" s="98" t="str">
        <f t="shared" si="28"/>
        <v>Petite Gâterie 10</v>
      </c>
      <c r="E190" s="102">
        <f t="shared" si="28"/>
        <v>1.59</v>
      </c>
      <c r="F190" s="102">
        <f t="shared" si="28"/>
        <v>5.2</v>
      </c>
      <c r="G190" s="103">
        <f t="shared" si="30"/>
        <v>0.30576923076923079</v>
      </c>
      <c r="H190" s="104">
        <f t="shared" si="31"/>
        <v>3.6100000000000003</v>
      </c>
      <c r="I190" s="109">
        <f>+I183+1.1</f>
        <v>5.5</v>
      </c>
      <c r="J190" s="338"/>
    </row>
    <row r="191" spans="1:10" ht="16" x14ac:dyDescent="0.2">
      <c r="A191" s="345"/>
      <c r="B191" s="98">
        <f t="shared" si="29"/>
        <v>11</v>
      </c>
      <c r="C191" s="98">
        <f t="shared" si="29"/>
        <v>11</v>
      </c>
      <c r="D191" s="98" t="str">
        <f t="shared" si="28"/>
        <v>Petite Gâterie 11</v>
      </c>
      <c r="E191" s="102">
        <f t="shared" si="28"/>
        <v>1.83</v>
      </c>
      <c r="F191" s="102">
        <f t="shared" si="28"/>
        <v>6.4</v>
      </c>
      <c r="G191" s="103">
        <f t="shared" si="30"/>
        <v>0.28593750000000001</v>
      </c>
      <c r="H191" s="104">
        <f t="shared" si="31"/>
        <v>4.57</v>
      </c>
      <c r="I191" s="100">
        <f>+I190+0.01</f>
        <v>5.51</v>
      </c>
      <c r="J191" s="335">
        <f>2/12</f>
        <v>0.16666666666666666</v>
      </c>
    </row>
    <row r="192" spans="1:10" ht="16" x14ac:dyDescent="0.2">
      <c r="A192" s="345"/>
      <c r="B192" s="98">
        <f t="shared" si="29"/>
        <v>12</v>
      </c>
      <c r="C192" s="98">
        <f t="shared" si="29"/>
        <v>12</v>
      </c>
      <c r="D192" s="98" t="str">
        <f t="shared" si="28"/>
        <v>Petite Gâterie 12</v>
      </c>
      <c r="E192" s="102">
        <f t="shared" si="28"/>
        <v>1.87</v>
      </c>
      <c r="F192" s="102">
        <f t="shared" si="28"/>
        <v>6.6</v>
      </c>
      <c r="G192" s="103">
        <f t="shared" si="30"/>
        <v>0.28333333333333338</v>
      </c>
      <c r="H192" s="104">
        <f t="shared" si="31"/>
        <v>4.7299999999999995</v>
      </c>
      <c r="I192" s="100">
        <f>F192</f>
        <v>6.6</v>
      </c>
      <c r="J192" s="336"/>
    </row>
    <row r="193" spans="1:10" ht="19" x14ac:dyDescent="0.35">
      <c r="A193" s="345"/>
      <c r="B193" s="98"/>
      <c r="C193" s="98"/>
      <c r="D193" s="99" t="str">
        <f t="shared" si="28"/>
        <v>CmO—PmO—Food Cost—BmO</v>
      </c>
      <c r="E193" s="110">
        <f>SUM(E181:E192)/C192</f>
        <v>1.4816666666666667</v>
      </c>
      <c r="F193" s="111">
        <f>SUM(F181:F192)/C192</f>
        <v>4.8166666666666673</v>
      </c>
      <c r="G193" s="112">
        <f t="shared" si="30"/>
        <v>0.30761245674740478</v>
      </c>
      <c r="H193" s="113">
        <f t="shared" si="31"/>
        <v>3.3350000000000009</v>
      </c>
      <c r="I193" s="114"/>
      <c r="J193" s="98"/>
    </row>
    <row r="194" spans="1:10" ht="16" x14ac:dyDescent="0.2">
      <c r="A194" s="345"/>
      <c r="B194" s="98" t="s">
        <v>0</v>
      </c>
      <c r="C194" s="98"/>
      <c r="D194" s="98"/>
      <c r="E194" s="102"/>
      <c r="F194" s="102"/>
      <c r="G194" s="103"/>
      <c r="H194" s="115"/>
      <c r="I194" s="100"/>
      <c r="J194" s="98"/>
    </row>
    <row r="195" spans="1:10" ht="16" x14ac:dyDescent="0.2">
      <c r="A195" s="345"/>
      <c r="B195" s="98"/>
      <c r="C195" s="98"/>
      <c r="D195" s="99" t="str">
        <f t="shared" ref="D195:F208" si="32">D152</f>
        <v>Les Boissons  Gâteries</v>
      </c>
      <c r="E195" s="102"/>
      <c r="F195" s="102"/>
      <c r="G195" s="103"/>
      <c r="H195" s="115"/>
      <c r="I195" s="100"/>
      <c r="J195" s="98"/>
    </row>
    <row r="196" spans="1:10" ht="16" x14ac:dyDescent="0.2">
      <c r="A196" s="345"/>
      <c r="B196" s="98">
        <f t="shared" ref="B196:C207" si="33">B153</f>
        <v>13</v>
      </c>
      <c r="C196" s="98">
        <f t="shared" si="33"/>
        <v>1</v>
      </c>
      <c r="D196" s="98" t="str">
        <f t="shared" si="32"/>
        <v>Boisson spéciale numéro 1</v>
      </c>
      <c r="E196" s="102">
        <f t="shared" si="32"/>
        <v>2.2799999999999998</v>
      </c>
      <c r="F196" s="102">
        <f t="shared" si="32"/>
        <v>6.6</v>
      </c>
      <c r="G196" s="103">
        <f>E196/F196</f>
        <v>0.34545454545454546</v>
      </c>
      <c r="H196" s="104">
        <f>F196-E196</f>
        <v>4.32</v>
      </c>
      <c r="I196" s="100">
        <f>F196</f>
        <v>6.6</v>
      </c>
      <c r="J196" s="337">
        <f>3/12</f>
        <v>0.25</v>
      </c>
    </row>
    <row r="197" spans="1:10" ht="16" x14ac:dyDescent="0.2">
      <c r="A197" s="345"/>
      <c r="B197" s="98">
        <f t="shared" si="33"/>
        <v>14</v>
      </c>
      <c r="C197" s="98">
        <f t="shared" si="33"/>
        <v>2</v>
      </c>
      <c r="D197" s="98" t="str">
        <f t="shared" si="32"/>
        <v>Boisson spéciale numéro 2</v>
      </c>
      <c r="E197" s="102">
        <f t="shared" si="32"/>
        <v>2.66</v>
      </c>
      <c r="F197" s="102">
        <f t="shared" si="32"/>
        <v>7.6</v>
      </c>
      <c r="G197" s="103">
        <f>E197/F197</f>
        <v>0.35000000000000003</v>
      </c>
      <c r="H197" s="104">
        <f>F197-E197</f>
        <v>4.9399999999999995</v>
      </c>
      <c r="I197" s="100"/>
      <c r="J197" s="336"/>
    </row>
    <row r="198" spans="1:10" ht="17" thickBot="1" x14ac:dyDescent="0.25">
      <c r="A198" s="345"/>
      <c r="B198" s="98">
        <f t="shared" si="33"/>
        <v>15</v>
      </c>
      <c r="C198" s="98">
        <f t="shared" si="33"/>
        <v>3</v>
      </c>
      <c r="D198" s="98" t="str">
        <f t="shared" si="32"/>
        <v>Boisson spéciale numéro 3</v>
      </c>
      <c r="E198" s="102">
        <f t="shared" si="32"/>
        <v>2.74</v>
      </c>
      <c r="F198" s="102">
        <f t="shared" si="32"/>
        <v>8</v>
      </c>
      <c r="G198" s="103">
        <f>E198/F198</f>
        <v>0.34250000000000003</v>
      </c>
      <c r="H198" s="104">
        <f>F198-E198</f>
        <v>5.26</v>
      </c>
      <c r="I198" s="109">
        <f>+I196+2.2</f>
        <v>8.8000000000000007</v>
      </c>
      <c r="J198" s="338"/>
    </row>
    <row r="199" spans="1:10" ht="16" x14ac:dyDescent="0.2">
      <c r="A199" s="345"/>
      <c r="B199" s="98">
        <f t="shared" si="33"/>
        <v>16</v>
      </c>
      <c r="C199" s="98">
        <f t="shared" si="33"/>
        <v>4</v>
      </c>
      <c r="D199" s="98" t="str">
        <f t="shared" si="32"/>
        <v>Boisson spéciale numéro 4</v>
      </c>
      <c r="E199" s="102">
        <f t="shared" si="32"/>
        <v>2.72</v>
      </c>
      <c r="F199" s="102">
        <f t="shared" si="32"/>
        <v>9</v>
      </c>
      <c r="G199" s="103">
        <f t="shared" ref="G199:G206" si="34">E199/F199</f>
        <v>0.30222222222222223</v>
      </c>
      <c r="H199" s="104">
        <f t="shared" ref="H199:H206" si="35">F199-E199</f>
        <v>6.2799999999999994</v>
      </c>
      <c r="I199" s="100">
        <f>+I198+0.01</f>
        <v>8.81</v>
      </c>
      <c r="J199" s="335">
        <f>7/12</f>
        <v>0.58333333333333337</v>
      </c>
    </row>
    <row r="200" spans="1:10" ht="16" x14ac:dyDescent="0.2">
      <c r="A200" s="345"/>
      <c r="B200" s="98">
        <f t="shared" si="33"/>
        <v>17</v>
      </c>
      <c r="C200" s="98">
        <f t="shared" si="33"/>
        <v>5</v>
      </c>
      <c r="D200" s="98" t="str">
        <f t="shared" si="32"/>
        <v>Boisson spéciale numéro 5</v>
      </c>
      <c r="E200" s="102">
        <f t="shared" si="32"/>
        <v>2.76</v>
      </c>
      <c r="F200" s="102">
        <f t="shared" si="32"/>
        <v>9.1999999999999993</v>
      </c>
      <c r="G200" s="103">
        <f t="shared" si="34"/>
        <v>0.3</v>
      </c>
      <c r="H200" s="104">
        <f t="shared" si="35"/>
        <v>6.4399999999999995</v>
      </c>
      <c r="I200" s="100"/>
      <c r="J200" s="336"/>
    </row>
    <row r="201" spans="1:10" ht="16" x14ac:dyDescent="0.2">
      <c r="A201" s="345"/>
      <c r="B201" s="98">
        <f t="shared" si="33"/>
        <v>18</v>
      </c>
      <c r="C201" s="98">
        <f t="shared" si="33"/>
        <v>6</v>
      </c>
      <c r="D201" s="98" t="str">
        <f t="shared" si="32"/>
        <v>Boisson spéciale numéro 6</v>
      </c>
      <c r="E201" s="102">
        <f t="shared" si="32"/>
        <v>2.8</v>
      </c>
      <c r="F201" s="102">
        <f t="shared" si="32"/>
        <v>9.4</v>
      </c>
      <c r="G201" s="103">
        <f t="shared" si="34"/>
        <v>0.2978723404255319</v>
      </c>
      <c r="H201" s="104">
        <f t="shared" si="35"/>
        <v>6.6000000000000005</v>
      </c>
      <c r="I201" s="100"/>
      <c r="J201" s="336"/>
    </row>
    <row r="202" spans="1:10" ht="16" x14ac:dyDescent="0.2">
      <c r="A202" s="345"/>
      <c r="B202" s="98">
        <f t="shared" si="33"/>
        <v>19</v>
      </c>
      <c r="C202" s="98">
        <f t="shared" si="33"/>
        <v>7</v>
      </c>
      <c r="D202" s="98" t="str">
        <f t="shared" si="32"/>
        <v>Boisson spéciale numéro 7</v>
      </c>
      <c r="E202" s="102">
        <f t="shared" si="32"/>
        <v>2.82</v>
      </c>
      <c r="F202" s="102">
        <f t="shared" si="32"/>
        <v>9.6</v>
      </c>
      <c r="G202" s="103">
        <f t="shared" si="34"/>
        <v>0.29375000000000001</v>
      </c>
      <c r="H202" s="104">
        <f t="shared" si="35"/>
        <v>6.7799999999999994</v>
      </c>
      <c r="I202" s="100"/>
      <c r="J202" s="336"/>
    </row>
    <row r="203" spans="1:10" ht="16" x14ac:dyDescent="0.2">
      <c r="A203" s="345"/>
      <c r="B203" s="98">
        <f t="shared" si="33"/>
        <v>20</v>
      </c>
      <c r="C203" s="98">
        <f t="shared" si="33"/>
        <v>8</v>
      </c>
      <c r="D203" s="98" t="str">
        <f t="shared" si="32"/>
        <v>Boisson spéciale numéro 8</v>
      </c>
      <c r="E203" s="102">
        <f t="shared" si="32"/>
        <v>2.86</v>
      </c>
      <c r="F203" s="102">
        <f t="shared" si="32"/>
        <v>9.8000000000000007</v>
      </c>
      <c r="G203" s="103">
        <f t="shared" si="34"/>
        <v>0.2918367346938775</v>
      </c>
      <c r="H203" s="104">
        <f t="shared" si="35"/>
        <v>6.9400000000000013</v>
      </c>
      <c r="I203" s="100"/>
      <c r="J203" s="336"/>
    </row>
    <row r="204" spans="1:10" ht="16" x14ac:dyDescent="0.2">
      <c r="A204" s="345"/>
      <c r="B204" s="98">
        <f t="shared" si="33"/>
        <v>21</v>
      </c>
      <c r="C204" s="98">
        <f t="shared" si="33"/>
        <v>9</v>
      </c>
      <c r="D204" s="98" t="str">
        <f t="shared" si="32"/>
        <v>Boisson spéciale numéro 9</v>
      </c>
      <c r="E204" s="102">
        <f t="shared" si="32"/>
        <v>2.9</v>
      </c>
      <c r="F204" s="102">
        <f t="shared" si="32"/>
        <v>10</v>
      </c>
      <c r="G204" s="103">
        <f t="shared" si="34"/>
        <v>0.28999999999999998</v>
      </c>
      <c r="H204" s="104">
        <f t="shared" si="35"/>
        <v>7.1</v>
      </c>
      <c r="I204" s="100"/>
      <c r="J204" s="336"/>
    </row>
    <row r="205" spans="1:10" ht="17" thickBot="1" x14ac:dyDescent="0.25">
      <c r="A205" s="345"/>
      <c r="B205" s="98">
        <f t="shared" si="33"/>
        <v>22</v>
      </c>
      <c r="C205" s="98">
        <f t="shared" si="33"/>
        <v>10</v>
      </c>
      <c r="D205" s="98" t="str">
        <f t="shared" si="32"/>
        <v>Boisson spéciale numéro 10</v>
      </c>
      <c r="E205" s="102">
        <f t="shared" si="32"/>
        <v>2.98</v>
      </c>
      <c r="F205" s="102">
        <f t="shared" si="32"/>
        <v>10.4</v>
      </c>
      <c r="G205" s="103">
        <f t="shared" si="34"/>
        <v>0.28653846153846152</v>
      </c>
      <c r="H205" s="104">
        <f t="shared" si="35"/>
        <v>7.42</v>
      </c>
      <c r="I205" s="109">
        <f>+I198+2.2</f>
        <v>11</v>
      </c>
      <c r="J205" s="338"/>
    </row>
    <row r="206" spans="1:10" ht="16" x14ac:dyDescent="0.2">
      <c r="A206" s="345"/>
      <c r="B206" s="98">
        <f t="shared" si="33"/>
        <v>23</v>
      </c>
      <c r="C206" s="98">
        <f t="shared" si="33"/>
        <v>11</v>
      </c>
      <c r="D206" s="98" t="str">
        <f t="shared" si="32"/>
        <v>Boisson spéciale numéro 11</v>
      </c>
      <c r="E206" s="102">
        <f t="shared" si="32"/>
        <v>3.18</v>
      </c>
      <c r="F206" s="102">
        <f t="shared" si="32"/>
        <v>11.6</v>
      </c>
      <c r="G206" s="103">
        <f t="shared" si="34"/>
        <v>0.27413793103448281</v>
      </c>
      <c r="H206" s="104">
        <f t="shared" si="35"/>
        <v>8.42</v>
      </c>
      <c r="I206" s="100">
        <f>+I205+0.01</f>
        <v>11.01</v>
      </c>
      <c r="J206" s="335">
        <f>2/12</f>
        <v>0.16666666666666666</v>
      </c>
    </row>
    <row r="207" spans="1:10" ht="16" x14ac:dyDescent="0.2">
      <c r="A207" s="345"/>
      <c r="B207" s="98">
        <f t="shared" si="33"/>
        <v>24</v>
      </c>
      <c r="C207" s="98">
        <f t="shared" si="33"/>
        <v>12</v>
      </c>
      <c r="D207" s="98" t="str">
        <f t="shared" si="32"/>
        <v>Boisson spéciale numéro 12</v>
      </c>
      <c r="E207" s="102">
        <f t="shared" si="32"/>
        <v>3.48</v>
      </c>
      <c r="F207" s="102">
        <f t="shared" si="32"/>
        <v>13.2</v>
      </c>
      <c r="G207" s="103">
        <f>E207/F207</f>
        <v>0.26363636363636367</v>
      </c>
      <c r="H207" s="104">
        <f>F207-E207</f>
        <v>9.7199999999999989</v>
      </c>
      <c r="I207" s="100">
        <f>F207</f>
        <v>13.2</v>
      </c>
      <c r="J207" s="336"/>
    </row>
    <row r="208" spans="1:10" ht="19" x14ac:dyDescent="0.35">
      <c r="A208" s="345"/>
      <c r="B208" s="98"/>
      <c r="C208" s="98"/>
      <c r="D208" s="99" t="str">
        <f t="shared" si="32"/>
        <v>CmO—PmO—Beverage Cost—Marge brute</v>
      </c>
      <c r="E208" s="110">
        <f>SUM(E196:E207)/C207</f>
        <v>2.8483333333333332</v>
      </c>
      <c r="F208" s="111">
        <f>SUM(F196:F207)/C207</f>
        <v>9.5333333333333332</v>
      </c>
      <c r="G208" s="116">
        <f>E208/F208</f>
        <v>0.29877622377622376</v>
      </c>
      <c r="H208" s="113">
        <f>F208-E208</f>
        <v>6.6850000000000005</v>
      </c>
      <c r="I208" s="114"/>
      <c r="J208" s="98"/>
    </row>
    <row r="209" spans="1:10" ht="17" thickBot="1" x14ac:dyDescent="0.25">
      <c r="A209" s="345"/>
      <c r="B209" s="98"/>
      <c r="C209" s="98"/>
      <c r="D209" s="98"/>
      <c r="E209" s="102"/>
      <c r="F209" s="102"/>
      <c r="G209" s="101"/>
      <c r="H209" s="115"/>
      <c r="I209" s="98"/>
      <c r="J209" s="98"/>
    </row>
    <row r="210" spans="1:10" ht="21" thickTop="1" thickBot="1" x14ac:dyDescent="0.4">
      <c r="A210" s="345"/>
      <c r="B210" s="98"/>
      <c r="C210" s="146"/>
      <c r="D210" s="147"/>
      <c r="E210" s="148"/>
      <c r="F210" s="148"/>
      <c r="G210" s="149"/>
      <c r="H210" s="148"/>
      <c r="I210" s="150"/>
      <c r="J210" s="98"/>
    </row>
    <row r="211" spans="1:10" ht="18" thickTop="1" thickBot="1" x14ac:dyDescent="0.25">
      <c r="A211" s="345"/>
      <c r="B211" s="98"/>
      <c r="C211" s="151"/>
      <c r="D211" s="152"/>
      <c r="E211" s="153" t="str">
        <f>E168</f>
        <v>CmO</v>
      </c>
      <c r="F211" s="153" t="str">
        <f>F168</f>
        <v>PmO</v>
      </c>
      <c r="G211" s="154" t="str">
        <f>G168</f>
        <v>F&amp;BCmO</v>
      </c>
      <c r="H211" s="155" t="str">
        <f>H168</f>
        <v>BmO</v>
      </c>
      <c r="I211" s="156"/>
      <c r="J211" s="98"/>
    </row>
    <row r="212" spans="1:10" ht="17" thickTop="1" x14ac:dyDescent="0.2">
      <c r="A212" s="345"/>
      <c r="B212" s="98"/>
      <c r="C212" s="151"/>
      <c r="D212" s="157" t="str">
        <f>D169</f>
        <v>OFFRE TOTALE AVEC LES GÂTERIES ET LES CAFÉS GÂTERIES</v>
      </c>
      <c r="E212" s="158"/>
      <c r="F212" s="158"/>
      <c r="G212" s="159"/>
      <c r="H212" s="160"/>
      <c r="I212" s="161"/>
      <c r="J212" s="98"/>
    </row>
    <row r="213" spans="1:10" ht="19" x14ac:dyDescent="0.35">
      <c r="A213" s="345"/>
      <c r="B213" s="98"/>
      <c r="C213" s="151"/>
      <c r="D213" s="152" t="str">
        <f>D170</f>
        <v>CmO—PmO—F&amp;B cost moyen offert—Marge brute</v>
      </c>
      <c r="E213" s="162">
        <f>+(E181+E182+E183+E184+E185+E186+E187+E188+E189+E190+E191+E192+E196+E197+E198+E199+E200+E201+E202+E203+E204+E205+E206+E207)/B207</f>
        <v>2.1649999999999996</v>
      </c>
      <c r="F213" s="162">
        <f>+(F181+F182+F183+F184+F185+F186+F187+F188+F189+F190+F191+F192+F196+F197+F198+F199+F200+F201+F202+F203+F204+F205+F206+F207)/B207</f>
        <v>7.1749999999999998</v>
      </c>
      <c r="G213" s="163">
        <f>E213/F213</f>
        <v>0.30174216027874562</v>
      </c>
      <c r="H213" s="164">
        <f>F213-E213</f>
        <v>5.01</v>
      </c>
      <c r="I213" s="165"/>
      <c r="J213" s="98"/>
    </row>
    <row r="214" spans="1:10" ht="16" x14ac:dyDescent="0.2">
      <c r="A214" s="345"/>
      <c r="B214" s="98"/>
      <c r="C214" s="151"/>
      <c r="D214" s="166"/>
      <c r="E214" s="167"/>
      <c r="F214" s="167"/>
      <c r="G214" s="168"/>
      <c r="H214" s="169"/>
      <c r="I214" s="170"/>
      <c r="J214" s="98"/>
    </row>
    <row r="215" spans="1:10" ht="17" thickBot="1" x14ac:dyDescent="0.25">
      <c r="A215" s="345"/>
      <c r="B215" s="98"/>
      <c r="C215" s="171"/>
      <c r="D215" s="172"/>
      <c r="E215" s="173"/>
      <c r="F215" s="173"/>
      <c r="G215" s="174"/>
      <c r="H215" s="175"/>
      <c r="I215" s="176"/>
      <c r="J215" s="98"/>
    </row>
    <row r="216" spans="1:10" ht="14" thickTop="1" x14ac:dyDescent="0.15">
      <c r="A216" s="345"/>
    </row>
    <row r="217" spans="1:10" ht="22" x14ac:dyDescent="0.25">
      <c r="A217" s="345"/>
      <c r="D217" s="92" t="s">
        <v>99</v>
      </c>
      <c r="F217" s="93"/>
    </row>
    <row r="218" spans="1:10" ht="23" thickBot="1" x14ac:dyDescent="0.3">
      <c r="A218" s="345"/>
      <c r="D218" s="94"/>
    </row>
    <row r="219" spans="1:10" ht="23" customHeight="1" thickTop="1" x14ac:dyDescent="0.25">
      <c r="A219" s="345"/>
      <c r="D219" s="94"/>
      <c r="E219" s="339" t="str">
        <f>E176</f>
        <v>Coûts des ressources alimentaires pour chaque produit offert (voir recettes standardisées)</v>
      </c>
      <c r="F219" s="339" t="str">
        <f>F176</f>
        <v>Prix de vente par produit offert</v>
      </c>
      <c r="G219" s="339" t="str">
        <f>G176</f>
        <v xml:space="preserve">« Food &amp; Beverage Cost » </v>
      </c>
      <c r="H219" s="339" t="str">
        <f>H176</f>
        <v>Marge brute gagnée sur la vente de chaque produit offert</v>
      </c>
      <c r="I219" s="95"/>
    </row>
    <row r="220" spans="1:10" ht="22" x14ac:dyDescent="0.25">
      <c r="A220" s="345"/>
      <c r="D220" s="94"/>
      <c r="E220" s="340"/>
      <c r="F220" s="342"/>
      <c r="G220" s="342"/>
      <c r="H220" s="342"/>
      <c r="I220" s="96"/>
    </row>
    <row r="221" spans="1:10" ht="14" customHeight="1" thickBot="1" x14ac:dyDescent="0.2">
      <c r="A221" s="345"/>
      <c r="E221" s="341"/>
      <c r="F221" s="343"/>
      <c r="G221" s="343"/>
      <c r="H221" s="343"/>
      <c r="I221" s="96"/>
    </row>
    <row r="222" spans="1:10" ht="14" thickTop="1" x14ac:dyDescent="0.15">
      <c r="A222" s="345"/>
      <c r="B222" s="90" t="s">
        <v>0</v>
      </c>
      <c r="E222" s="93"/>
      <c r="F222" s="93"/>
      <c r="G222" s="97"/>
    </row>
    <row r="223" spans="1:10" ht="16" x14ac:dyDescent="0.2">
      <c r="A223" s="345"/>
      <c r="B223" s="98"/>
      <c r="C223" s="98"/>
      <c r="D223" s="99" t="str">
        <f t="shared" ref="D223:F236" si="36">D180</f>
        <v>Les Petites Gâteries</v>
      </c>
      <c r="E223" s="100"/>
      <c r="F223" s="100"/>
      <c r="G223" s="101"/>
      <c r="H223" s="98"/>
      <c r="I223" s="98"/>
      <c r="J223" s="98"/>
    </row>
    <row r="224" spans="1:10" ht="16" x14ac:dyDescent="0.2">
      <c r="A224" s="345"/>
      <c r="B224" s="98">
        <f t="shared" ref="B224:C235" si="37">B181</f>
        <v>1</v>
      </c>
      <c r="C224" s="98">
        <f t="shared" si="37"/>
        <v>1</v>
      </c>
      <c r="D224" s="98" t="str">
        <f t="shared" si="36"/>
        <v>Petite Gâterie 1</v>
      </c>
      <c r="E224" s="102">
        <f t="shared" si="36"/>
        <v>1.21</v>
      </c>
      <c r="F224" s="102">
        <f t="shared" si="36"/>
        <v>3.3</v>
      </c>
      <c r="G224" s="103">
        <f t="shared" ref="G224:G236" si="38">E224/F224</f>
        <v>0.3666666666666667</v>
      </c>
      <c r="H224" s="104">
        <f t="shared" ref="H224:H236" si="39">F224-E224</f>
        <v>2.09</v>
      </c>
      <c r="I224" s="100">
        <f>F224</f>
        <v>3.3</v>
      </c>
      <c r="J224" s="337">
        <f>3/12</f>
        <v>0.25</v>
      </c>
    </row>
    <row r="225" spans="1:10" ht="16" x14ac:dyDescent="0.2">
      <c r="A225" s="345"/>
      <c r="B225" s="98">
        <f t="shared" si="37"/>
        <v>2</v>
      </c>
      <c r="C225" s="98">
        <f t="shared" si="37"/>
        <v>2</v>
      </c>
      <c r="D225" s="98" t="str">
        <f t="shared" si="36"/>
        <v>Petite Gâterie 2</v>
      </c>
      <c r="E225" s="102">
        <f t="shared" si="36"/>
        <v>1.31</v>
      </c>
      <c r="F225" s="102">
        <f t="shared" si="36"/>
        <v>3.8</v>
      </c>
      <c r="G225" s="103">
        <f t="shared" si="38"/>
        <v>0.34473684210526317</v>
      </c>
      <c r="H225" s="104">
        <f t="shared" si="39"/>
        <v>2.4899999999999998</v>
      </c>
      <c r="I225" s="100"/>
      <c r="J225" s="336"/>
    </row>
    <row r="226" spans="1:10" ht="17" thickBot="1" x14ac:dyDescent="0.25">
      <c r="A226" s="345"/>
      <c r="B226" s="98">
        <f t="shared" si="37"/>
        <v>3</v>
      </c>
      <c r="C226" s="98">
        <f t="shared" si="37"/>
        <v>3</v>
      </c>
      <c r="D226" s="98" t="str">
        <f t="shared" si="36"/>
        <v>Petite Gâterie 3</v>
      </c>
      <c r="E226" s="102">
        <f t="shared" si="36"/>
        <v>1.35</v>
      </c>
      <c r="F226" s="102">
        <f t="shared" si="36"/>
        <v>4</v>
      </c>
      <c r="G226" s="103">
        <f t="shared" si="38"/>
        <v>0.33750000000000002</v>
      </c>
      <c r="H226" s="104">
        <f t="shared" si="39"/>
        <v>2.65</v>
      </c>
      <c r="I226" s="109">
        <f>+I224+1.1</f>
        <v>4.4000000000000004</v>
      </c>
      <c r="J226" s="338"/>
    </row>
    <row r="227" spans="1:10" ht="16" x14ac:dyDescent="0.2">
      <c r="A227" s="345"/>
      <c r="B227" s="98">
        <f t="shared" si="37"/>
        <v>4</v>
      </c>
      <c r="C227" s="98">
        <f t="shared" si="37"/>
        <v>4</v>
      </c>
      <c r="D227" s="98" t="str">
        <f t="shared" si="36"/>
        <v>Petite Gâterie 4</v>
      </c>
      <c r="E227" s="102">
        <f t="shared" si="36"/>
        <v>1.4</v>
      </c>
      <c r="F227" s="102">
        <f t="shared" si="36"/>
        <v>4.5</v>
      </c>
      <c r="G227" s="103">
        <f t="shared" si="38"/>
        <v>0.31111111111111112</v>
      </c>
      <c r="H227" s="104">
        <f t="shared" si="39"/>
        <v>3.1</v>
      </c>
      <c r="I227" s="100">
        <f>+I226+0.01</f>
        <v>4.41</v>
      </c>
      <c r="J227" s="335">
        <f>7/12</f>
        <v>0.58333333333333337</v>
      </c>
    </row>
    <row r="228" spans="1:10" ht="16" x14ac:dyDescent="0.2">
      <c r="A228" s="345"/>
      <c r="B228" s="98">
        <f t="shared" si="37"/>
        <v>5</v>
      </c>
      <c r="C228" s="98">
        <f t="shared" si="37"/>
        <v>5</v>
      </c>
      <c r="D228" s="98" t="str">
        <f t="shared" si="36"/>
        <v>Petite Gâterie 5</v>
      </c>
      <c r="E228" s="102">
        <f t="shared" si="36"/>
        <v>1.24</v>
      </c>
      <c r="F228" s="102">
        <f t="shared" si="36"/>
        <v>4.5999999999999996</v>
      </c>
      <c r="G228" s="103">
        <f t="shared" si="38"/>
        <v>0.26956521739130435</v>
      </c>
      <c r="H228" s="104">
        <f t="shared" si="39"/>
        <v>3.3599999999999994</v>
      </c>
      <c r="I228" s="100"/>
      <c r="J228" s="336"/>
    </row>
    <row r="229" spans="1:10" ht="16" x14ac:dyDescent="0.2">
      <c r="A229" s="345"/>
      <c r="B229" s="98">
        <f t="shared" si="37"/>
        <v>6</v>
      </c>
      <c r="C229" s="98">
        <f t="shared" si="37"/>
        <v>6</v>
      </c>
      <c r="D229" s="98" t="str">
        <f t="shared" si="36"/>
        <v>Petite Gâterie 6</v>
      </c>
      <c r="E229" s="102">
        <f t="shared" si="36"/>
        <v>1.39</v>
      </c>
      <c r="F229" s="102">
        <f t="shared" si="36"/>
        <v>4.7</v>
      </c>
      <c r="G229" s="103">
        <f t="shared" si="38"/>
        <v>0.29574468085106381</v>
      </c>
      <c r="H229" s="104">
        <f t="shared" si="39"/>
        <v>3.3100000000000005</v>
      </c>
      <c r="I229" s="100"/>
      <c r="J229" s="336"/>
    </row>
    <row r="230" spans="1:10" ht="16" x14ac:dyDescent="0.2">
      <c r="A230" s="345"/>
      <c r="B230" s="98">
        <f t="shared" si="37"/>
        <v>7</v>
      </c>
      <c r="C230" s="98">
        <f t="shared" si="37"/>
        <v>7</v>
      </c>
      <c r="D230" s="98" t="str">
        <f t="shared" si="36"/>
        <v>Petite Gâterie 7</v>
      </c>
      <c r="E230" s="102">
        <f t="shared" si="36"/>
        <v>1.51</v>
      </c>
      <c r="F230" s="102">
        <f t="shared" si="36"/>
        <v>4.8</v>
      </c>
      <c r="G230" s="103">
        <f t="shared" si="38"/>
        <v>0.31458333333333333</v>
      </c>
      <c r="H230" s="104">
        <f t="shared" si="39"/>
        <v>3.29</v>
      </c>
      <c r="I230" s="100"/>
      <c r="J230" s="336"/>
    </row>
    <row r="231" spans="1:10" ht="16" x14ac:dyDescent="0.2">
      <c r="A231" s="345"/>
      <c r="B231" s="98">
        <f t="shared" si="37"/>
        <v>8</v>
      </c>
      <c r="C231" s="98">
        <f t="shared" si="37"/>
        <v>8</v>
      </c>
      <c r="D231" s="98" t="str">
        <f t="shared" si="36"/>
        <v>Petite Gâterie 8</v>
      </c>
      <c r="E231" s="102">
        <f t="shared" si="36"/>
        <v>1.53</v>
      </c>
      <c r="F231" s="102">
        <f t="shared" si="36"/>
        <v>4.9000000000000004</v>
      </c>
      <c r="G231" s="103">
        <f t="shared" si="38"/>
        <v>0.31224489795918364</v>
      </c>
      <c r="H231" s="104">
        <f t="shared" si="39"/>
        <v>3.37</v>
      </c>
      <c r="I231" s="100"/>
      <c r="J231" s="336"/>
    </row>
    <row r="232" spans="1:10" ht="16" x14ac:dyDescent="0.2">
      <c r="A232" s="345"/>
      <c r="B232" s="98">
        <f t="shared" si="37"/>
        <v>9</v>
      </c>
      <c r="C232" s="98">
        <f t="shared" si="37"/>
        <v>9</v>
      </c>
      <c r="D232" s="98" t="str">
        <f t="shared" si="36"/>
        <v>Petite Gâterie 9</v>
      </c>
      <c r="E232" s="102">
        <f t="shared" si="36"/>
        <v>1.55</v>
      </c>
      <c r="F232" s="102">
        <f t="shared" si="36"/>
        <v>5</v>
      </c>
      <c r="G232" s="103">
        <f t="shared" si="38"/>
        <v>0.31</v>
      </c>
      <c r="H232" s="104">
        <f t="shared" si="39"/>
        <v>3.45</v>
      </c>
      <c r="I232" s="100"/>
      <c r="J232" s="336"/>
    </row>
    <row r="233" spans="1:10" ht="17" thickBot="1" x14ac:dyDescent="0.25">
      <c r="A233" s="345"/>
      <c r="B233" s="98">
        <f t="shared" si="37"/>
        <v>10</v>
      </c>
      <c r="C233" s="98">
        <f t="shared" si="37"/>
        <v>10</v>
      </c>
      <c r="D233" s="98" t="str">
        <f t="shared" si="36"/>
        <v>Petite Gâterie 10</v>
      </c>
      <c r="E233" s="102">
        <f t="shared" si="36"/>
        <v>1.59</v>
      </c>
      <c r="F233" s="102">
        <f t="shared" si="36"/>
        <v>5.2</v>
      </c>
      <c r="G233" s="103">
        <f t="shared" si="38"/>
        <v>0.30576923076923079</v>
      </c>
      <c r="H233" s="104">
        <f t="shared" si="39"/>
        <v>3.6100000000000003</v>
      </c>
      <c r="I233" s="109">
        <f>+I226+1.1</f>
        <v>5.5</v>
      </c>
      <c r="J233" s="338"/>
    </row>
    <row r="234" spans="1:10" ht="16" x14ac:dyDescent="0.2">
      <c r="A234" s="345"/>
      <c r="B234" s="98">
        <f t="shared" si="37"/>
        <v>11</v>
      </c>
      <c r="C234" s="98">
        <f t="shared" si="37"/>
        <v>11</v>
      </c>
      <c r="D234" s="98" t="str">
        <f t="shared" si="36"/>
        <v>Petite Gâterie 11</v>
      </c>
      <c r="E234" s="102">
        <f t="shared" si="36"/>
        <v>1.83</v>
      </c>
      <c r="F234" s="102">
        <f t="shared" si="36"/>
        <v>6.4</v>
      </c>
      <c r="G234" s="103">
        <f t="shared" si="38"/>
        <v>0.28593750000000001</v>
      </c>
      <c r="H234" s="104">
        <f t="shared" si="39"/>
        <v>4.57</v>
      </c>
      <c r="I234" s="100">
        <f>+I233+0.01</f>
        <v>5.51</v>
      </c>
      <c r="J234" s="335">
        <f>2/12</f>
        <v>0.16666666666666666</v>
      </c>
    </row>
    <row r="235" spans="1:10" ht="16" x14ac:dyDescent="0.2">
      <c r="A235" s="345"/>
      <c r="B235" s="98">
        <f t="shared" si="37"/>
        <v>12</v>
      </c>
      <c r="C235" s="98">
        <f t="shared" si="37"/>
        <v>12</v>
      </c>
      <c r="D235" s="98" t="str">
        <f t="shared" si="36"/>
        <v>Petite Gâterie 12</v>
      </c>
      <c r="E235" s="102">
        <f t="shared" si="36"/>
        <v>1.87</v>
      </c>
      <c r="F235" s="102">
        <f t="shared" si="36"/>
        <v>6.6</v>
      </c>
      <c r="G235" s="103">
        <f t="shared" si="38"/>
        <v>0.28333333333333338</v>
      </c>
      <c r="H235" s="104">
        <f t="shared" si="39"/>
        <v>4.7299999999999995</v>
      </c>
      <c r="I235" s="100">
        <f>F235</f>
        <v>6.6</v>
      </c>
      <c r="J235" s="336"/>
    </row>
    <row r="236" spans="1:10" ht="19" x14ac:dyDescent="0.35">
      <c r="A236" s="345"/>
      <c r="B236" s="98"/>
      <c r="C236" s="98"/>
      <c r="D236" s="99" t="str">
        <f t="shared" si="36"/>
        <v>CmO—PmO—Food Cost—BmO</v>
      </c>
      <c r="E236" s="110">
        <f>SUM(E224:E235)/C235</f>
        <v>1.4816666666666667</v>
      </c>
      <c r="F236" s="111">
        <f>SUM(F224:F235)/C235</f>
        <v>4.8166666666666673</v>
      </c>
      <c r="G236" s="112">
        <f t="shared" si="38"/>
        <v>0.30761245674740478</v>
      </c>
      <c r="H236" s="113">
        <f t="shared" si="39"/>
        <v>3.3350000000000009</v>
      </c>
      <c r="I236" s="114"/>
      <c r="J236" s="98"/>
    </row>
    <row r="237" spans="1:10" ht="16" x14ac:dyDescent="0.2">
      <c r="A237" s="345"/>
      <c r="B237" s="98" t="s">
        <v>0</v>
      </c>
      <c r="C237" s="98"/>
      <c r="D237" s="98"/>
      <c r="E237" s="102"/>
      <c r="F237" s="102"/>
      <c r="G237" s="103"/>
      <c r="H237" s="115"/>
      <c r="I237" s="100"/>
      <c r="J237" s="98"/>
    </row>
    <row r="238" spans="1:10" ht="16" x14ac:dyDescent="0.2">
      <c r="A238" s="345"/>
      <c r="B238" s="98"/>
      <c r="C238" s="98"/>
      <c r="D238" s="99" t="str">
        <f t="shared" ref="D238:F251" si="40">D195</f>
        <v>Les Boissons  Gâteries</v>
      </c>
      <c r="E238" s="102"/>
      <c r="F238" s="102"/>
      <c r="G238" s="103"/>
      <c r="H238" s="115"/>
      <c r="I238" s="100"/>
      <c r="J238" s="98"/>
    </row>
    <row r="239" spans="1:10" ht="16" x14ac:dyDescent="0.2">
      <c r="A239" s="345"/>
      <c r="B239" s="98">
        <f t="shared" ref="B239:C250" si="41">B196</f>
        <v>13</v>
      </c>
      <c r="C239" s="98">
        <f t="shared" si="41"/>
        <v>1</v>
      </c>
      <c r="D239" s="98" t="str">
        <f t="shared" si="40"/>
        <v>Boisson spéciale numéro 1</v>
      </c>
      <c r="E239" s="102">
        <f t="shared" si="40"/>
        <v>2.2799999999999998</v>
      </c>
      <c r="F239" s="102">
        <f t="shared" si="40"/>
        <v>6.6</v>
      </c>
      <c r="G239" s="103">
        <f>E239/F239</f>
        <v>0.34545454545454546</v>
      </c>
      <c r="H239" s="104">
        <f>F239-E239</f>
        <v>4.32</v>
      </c>
      <c r="I239" s="100">
        <f>F239</f>
        <v>6.6</v>
      </c>
      <c r="J239" s="337">
        <f>3/12</f>
        <v>0.25</v>
      </c>
    </row>
    <row r="240" spans="1:10" ht="16" x14ac:dyDescent="0.2">
      <c r="A240" s="345"/>
      <c r="B240" s="98">
        <f t="shared" si="41"/>
        <v>14</v>
      </c>
      <c r="C240" s="98">
        <f t="shared" si="41"/>
        <v>2</v>
      </c>
      <c r="D240" s="98" t="str">
        <f t="shared" si="40"/>
        <v>Boisson spéciale numéro 2</v>
      </c>
      <c r="E240" s="102">
        <f t="shared" si="40"/>
        <v>2.66</v>
      </c>
      <c r="F240" s="102">
        <f t="shared" si="40"/>
        <v>7.6</v>
      </c>
      <c r="G240" s="103">
        <f>E240/F240</f>
        <v>0.35000000000000003</v>
      </c>
      <c r="H240" s="104">
        <f>F240-E240</f>
        <v>4.9399999999999995</v>
      </c>
      <c r="I240" s="100"/>
      <c r="J240" s="336"/>
    </row>
    <row r="241" spans="1:10" ht="17" thickBot="1" x14ac:dyDescent="0.25">
      <c r="A241" s="345"/>
      <c r="B241" s="98">
        <f t="shared" si="41"/>
        <v>15</v>
      </c>
      <c r="C241" s="98">
        <f t="shared" si="41"/>
        <v>3</v>
      </c>
      <c r="D241" s="98" t="str">
        <f t="shared" si="40"/>
        <v>Boisson spéciale numéro 3</v>
      </c>
      <c r="E241" s="102">
        <f t="shared" si="40"/>
        <v>2.74</v>
      </c>
      <c r="F241" s="102">
        <f t="shared" si="40"/>
        <v>8</v>
      </c>
      <c r="G241" s="103">
        <f>E241/F241</f>
        <v>0.34250000000000003</v>
      </c>
      <c r="H241" s="104">
        <f>F241-E241</f>
        <v>5.26</v>
      </c>
      <c r="I241" s="109">
        <f>+I239+2.2</f>
        <v>8.8000000000000007</v>
      </c>
      <c r="J241" s="338"/>
    </row>
    <row r="242" spans="1:10" ht="16" x14ac:dyDescent="0.2">
      <c r="A242" s="345"/>
      <c r="B242" s="98">
        <f t="shared" si="41"/>
        <v>16</v>
      </c>
      <c r="C242" s="98">
        <f t="shared" si="41"/>
        <v>4</v>
      </c>
      <c r="D242" s="98" t="str">
        <f t="shared" si="40"/>
        <v>Boisson spéciale numéro 4</v>
      </c>
      <c r="E242" s="102">
        <f t="shared" si="40"/>
        <v>2.72</v>
      </c>
      <c r="F242" s="102">
        <f t="shared" si="40"/>
        <v>9</v>
      </c>
      <c r="G242" s="103">
        <f t="shared" ref="G242:G249" si="42">E242/F242</f>
        <v>0.30222222222222223</v>
      </c>
      <c r="H242" s="104">
        <f t="shared" ref="H242:H249" si="43">F242-E242</f>
        <v>6.2799999999999994</v>
      </c>
      <c r="I242" s="100">
        <f>+I241+0.01</f>
        <v>8.81</v>
      </c>
      <c r="J242" s="335">
        <f>7/12</f>
        <v>0.58333333333333337</v>
      </c>
    </row>
    <row r="243" spans="1:10" ht="16" x14ac:dyDescent="0.2">
      <c r="A243" s="345"/>
      <c r="B243" s="98">
        <f t="shared" si="41"/>
        <v>17</v>
      </c>
      <c r="C243" s="98">
        <f t="shared" si="41"/>
        <v>5</v>
      </c>
      <c r="D243" s="98" t="str">
        <f t="shared" si="40"/>
        <v>Boisson spéciale numéro 5</v>
      </c>
      <c r="E243" s="102">
        <f t="shared" si="40"/>
        <v>2.76</v>
      </c>
      <c r="F243" s="102">
        <f t="shared" si="40"/>
        <v>9.1999999999999993</v>
      </c>
      <c r="G243" s="103">
        <f t="shared" si="42"/>
        <v>0.3</v>
      </c>
      <c r="H243" s="104">
        <f t="shared" si="43"/>
        <v>6.4399999999999995</v>
      </c>
      <c r="I243" s="100"/>
      <c r="J243" s="336"/>
    </row>
    <row r="244" spans="1:10" ht="16" x14ac:dyDescent="0.2">
      <c r="A244" s="345"/>
      <c r="B244" s="98">
        <f t="shared" si="41"/>
        <v>18</v>
      </c>
      <c r="C244" s="98">
        <f t="shared" si="41"/>
        <v>6</v>
      </c>
      <c r="D244" s="98" t="str">
        <f t="shared" si="40"/>
        <v>Boisson spéciale numéro 6</v>
      </c>
      <c r="E244" s="102">
        <f t="shared" si="40"/>
        <v>2.8</v>
      </c>
      <c r="F244" s="102">
        <f t="shared" si="40"/>
        <v>9.4</v>
      </c>
      <c r="G244" s="103">
        <f t="shared" si="42"/>
        <v>0.2978723404255319</v>
      </c>
      <c r="H244" s="104">
        <f t="shared" si="43"/>
        <v>6.6000000000000005</v>
      </c>
      <c r="I244" s="100"/>
      <c r="J244" s="336"/>
    </row>
    <row r="245" spans="1:10" ht="16" x14ac:dyDescent="0.2">
      <c r="A245" s="345"/>
      <c r="B245" s="98">
        <f t="shared" si="41"/>
        <v>19</v>
      </c>
      <c r="C245" s="98">
        <f t="shared" si="41"/>
        <v>7</v>
      </c>
      <c r="D245" s="98" t="str">
        <f t="shared" si="40"/>
        <v>Boisson spéciale numéro 7</v>
      </c>
      <c r="E245" s="102">
        <f t="shared" si="40"/>
        <v>2.82</v>
      </c>
      <c r="F245" s="102">
        <f t="shared" si="40"/>
        <v>9.6</v>
      </c>
      <c r="G245" s="103">
        <f t="shared" si="42"/>
        <v>0.29375000000000001</v>
      </c>
      <c r="H245" s="104">
        <f t="shared" si="43"/>
        <v>6.7799999999999994</v>
      </c>
      <c r="I245" s="100"/>
      <c r="J245" s="336"/>
    </row>
    <row r="246" spans="1:10" ht="16" x14ac:dyDescent="0.2">
      <c r="A246" s="345"/>
      <c r="B246" s="98">
        <f t="shared" si="41"/>
        <v>20</v>
      </c>
      <c r="C246" s="98">
        <f t="shared" si="41"/>
        <v>8</v>
      </c>
      <c r="D246" s="98" t="str">
        <f t="shared" si="40"/>
        <v>Boisson spéciale numéro 8</v>
      </c>
      <c r="E246" s="102">
        <f t="shared" si="40"/>
        <v>2.86</v>
      </c>
      <c r="F246" s="102">
        <f t="shared" si="40"/>
        <v>9.8000000000000007</v>
      </c>
      <c r="G246" s="103">
        <f t="shared" si="42"/>
        <v>0.2918367346938775</v>
      </c>
      <c r="H246" s="104">
        <f t="shared" si="43"/>
        <v>6.9400000000000013</v>
      </c>
      <c r="I246" s="100"/>
      <c r="J246" s="336"/>
    </row>
    <row r="247" spans="1:10" ht="16" x14ac:dyDescent="0.2">
      <c r="A247" s="345"/>
      <c r="B247" s="98">
        <f t="shared" si="41"/>
        <v>21</v>
      </c>
      <c r="C247" s="98">
        <f t="shared" si="41"/>
        <v>9</v>
      </c>
      <c r="D247" s="98" t="str">
        <f t="shared" si="40"/>
        <v>Boisson spéciale numéro 9</v>
      </c>
      <c r="E247" s="102">
        <f t="shared" si="40"/>
        <v>2.9</v>
      </c>
      <c r="F247" s="102">
        <f t="shared" si="40"/>
        <v>10</v>
      </c>
      <c r="G247" s="103">
        <f t="shared" si="42"/>
        <v>0.28999999999999998</v>
      </c>
      <c r="H247" s="104">
        <f t="shared" si="43"/>
        <v>7.1</v>
      </c>
      <c r="I247" s="100"/>
      <c r="J247" s="336"/>
    </row>
    <row r="248" spans="1:10" ht="17" thickBot="1" x14ac:dyDescent="0.25">
      <c r="A248" s="345"/>
      <c r="B248" s="98">
        <f t="shared" si="41"/>
        <v>22</v>
      </c>
      <c r="C248" s="98">
        <f t="shared" si="41"/>
        <v>10</v>
      </c>
      <c r="D248" s="98" t="str">
        <f t="shared" si="40"/>
        <v>Boisson spéciale numéro 10</v>
      </c>
      <c r="E248" s="102">
        <f t="shared" si="40"/>
        <v>2.98</v>
      </c>
      <c r="F248" s="102">
        <f t="shared" si="40"/>
        <v>10.4</v>
      </c>
      <c r="G248" s="103">
        <f t="shared" si="42"/>
        <v>0.28653846153846152</v>
      </c>
      <c r="H248" s="104">
        <f t="shared" si="43"/>
        <v>7.42</v>
      </c>
      <c r="I248" s="109">
        <f>+I241+2.2</f>
        <v>11</v>
      </c>
      <c r="J248" s="338"/>
    </row>
    <row r="249" spans="1:10" ht="16" x14ac:dyDescent="0.2">
      <c r="A249" s="345"/>
      <c r="B249" s="98">
        <f t="shared" si="41"/>
        <v>23</v>
      </c>
      <c r="C249" s="98">
        <f t="shared" si="41"/>
        <v>11</v>
      </c>
      <c r="D249" s="98" t="str">
        <f t="shared" si="40"/>
        <v>Boisson spéciale numéro 11</v>
      </c>
      <c r="E249" s="102">
        <f t="shared" si="40"/>
        <v>3.18</v>
      </c>
      <c r="F249" s="102">
        <f t="shared" si="40"/>
        <v>11.6</v>
      </c>
      <c r="G249" s="103">
        <f t="shared" si="42"/>
        <v>0.27413793103448281</v>
      </c>
      <c r="H249" s="104">
        <f t="shared" si="43"/>
        <v>8.42</v>
      </c>
      <c r="I249" s="100">
        <f>+I248+0.01</f>
        <v>11.01</v>
      </c>
      <c r="J249" s="335">
        <f>2/12</f>
        <v>0.16666666666666666</v>
      </c>
    </row>
    <row r="250" spans="1:10" ht="16" x14ac:dyDescent="0.2">
      <c r="A250" s="345"/>
      <c r="B250" s="98">
        <f t="shared" si="41"/>
        <v>24</v>
      </c>
      <c r="C250" s="98">
        <f t="shared" si="41"/>
        <v>12</v>
      </c>
      <c r="D250" s="98" t="str">
        <f t="shared" si="40"/>
        <v>Boisson spéciale numéro 12</v>
      </c>
      <c r="E250" s="102">
        <f t="shared" si="40"/>
        <v>3.48</v>
      </c>
      <c r="F250" s="102">
        <f t="shared" si="40"/>
        <v>13.2</v>
      </c>
      <c r="G250" s="103">
        <f>E250/F250</f>
        <v>0.26363636363636367</v>
      </c>
      <c r="H250" s="104">
        <f>F250-E250</f>
        <v>9.7199999999999989</v>
      </c>
      <c r="I250" s="100">
        <f>F250</f>
        <v>13.2</v>
      </c>
      <c r="J250" s="336"/>
    </row>
    <row r="251" spans="1:10" ht="19" x14ac:dyDescent="0.35">
      <c r="A251" s="345"/>
      <c r="B251" s="98"/>
      <c r="C251" s="98"/>
      <c r="D251" s="99" t="str">
        <f t="shared" si="40"/>
        <v>CmO—PmO—Beverage Cost—Marge brute</v>
      </c>
      <c r="E251" s="110">
        <f>SUM(E239:E250)/C250</f>
        <v>2.8483333333333332</v>
      </c>
      <c r="F251" s="111">
        <f>SUM(F239:F250)/C250</f>
        <v>9.5333333333333332</v>
      </c>
      <c r="G251" s="116">
        <f>E251/F251</f>
        <v>0.29877622377622376</v>
      </c>
      <c r="H251" s="113">
        <f>F251-E251</f>
        <v>6.6850000000000005</v>
      </c>
      <c r="I251" s="114"/>
      <c r="J251" s="98"/>
    </row>
    <row r="252" spans="1:10" ht="17" thickBot="1" x14ac:dyDescent="0.25">
      <c r="A252" s="345"/>
      <c r="B252" s="98"/>
      <c r="C252" s="98"/>
      <c r="D252" s="98"/>
      <c r="E252" s="102"/>
      <c r="F252" s="102"/>
      <c r="G252" s="101"/>
      <c r="H252" s="115"/>
      <c r="I252" s="98"/>
      <c r="J252" s="98"/>
    </row>
    <row r="253" spans="1:10" ht="21" thickTop="1" thickBot="1" x14ac:dyDescent="0.4">
      <c r="A253" s="345"/>
      <c r="B253" s="98"/>
      <c r="C253" s="117"/>
      <c r="D253" s="118"/>
      <c r="E253" s="119"/>
      <c r="F253" s="119"/>
      <c r="G253" s="120"/>
      <c r="H253" s="121"/>
      <c r="I253" s="122"/>
      <c r="J253" s="98"/>
    </row>
    <row r="254" spans="1:10" ht="18" thickTop="1" thickBot="1" x14ac:dyDescent="0.25">
      <c r="A254" s="345"/>
      <c r="B254" s="98"/>
      <c r="C254" s="123"/>
      <c r="D254" s="99"/>
      <c r="E254" s="124" t="str">
        <f>E211</f>
        <v>CmO</v>
      </c>
      <c r="F254" s="124" t="str">
        <f>F211</f>
        <v>PmO</v>
      </c>
      <c r="G254" s="125" t="str">
        <f>G211</f>
        <v>F&amp;BCmO</v>
      </c>
      <c r="H254" s="126" t="str">
        <f>H211</f>
        <v>BmO</v>
      </c>
      <c r="I254" s="127"/>
      <c r="J254" s="98"/>
    </row>
    <row r="255" spans="1:10" ht="17" thickTop="1" x14ac:dyDescent="0.2">
      <c r="A255" s="345"/>
      <c r="B255" s="98"/>
      <c r="C255" s="123"/>
      <c r="D255" s="128" t="str">
        <f>D212</f>
        <v>OFFRE TOTALE AVEC LES GÂTERIES ET LES CAFÉS GÂTERIES</v>
      </c>
      <c r="E255" s="102"/>
      <c r="F255" s="102"/>
      <c r="G255" s="101"/>
      <c r="H255" s="115"/>
      <c r="I255" s="129"/>
      <c r="J255" s="98"/>
    </row>
    <row r="256" spans="1:10" ht="19" x14ac:dyDescent="0.35">
      <c r="A256" s="345"/>
      <c r="B256" s="98"/>
      <c r="C256" s="123"/>
      <c r="D256" s="99" t="str">
        <f>D213</f>
        <v>CmO—PmO—F&amp;B cost moyen offert—Marge brute</v>
      </c>
      <c r="E256" s="111">
        <f>+(E224+E225+E226+E227+E228+E229+E230+E231+E232+E233+E234+E235+E239+E240+E241+E242+E243+E244+E245+E246+E247+E248+E249+E250)/B250</f>
        <v>2.1649999999999996</v>
      </c>
      <c r="F256" s="111">
        <f>+(F224+F225+F226+F227+F228+F229+F230+F231+F232+F233+F234+F235+F239+F240+F241+F242+F243+F244+F245+F246+F247+F248+F249+F250)/B250</f>
        <v>7.1749999999999998</v>
      </c>
      <c r="G256" s="130">
        <f>E256/F256</f>
        <v>0.30174216027874562</v>
      </c>
      <c r="H256" s="131">
        <f>F256-E256</f>
        <v>5.01</v>
      </c>
      <c r="I256" s="132"/>
      <c r="J256" s="98"/>
    </row>
    <row r="257" spans="1:10" ht="16" x14ac:dyDescent="0.2">
      <c r="A257" s="345"/>
      <c r="B257" s="98"/>
      <c r="C257" s="123"/>
      <c r="D257" s="98"/>
      <c r="E257" s="133"/>
      <c r="F257" s="133"/>
      <c r="G257" s="134"/>
      <c r="H257" s="135"/>
      <c r="I257" s="136"/>
      <c r="J257" s="98"/>
    </row>
    <row r="258" spans="1:10" ht="17" thickBot="1" x14ac:dyDescent="0.25">
      <c r="A258" s="346"/>
      <c r="B258" s="98"/>
      <c r="C258" s="137"/>
      <c r="D258" s="138"/>
      <c r="E258" s="139"/>
      <c r="F258" s="139"/>
      <c r="G258" s="140"/>
      <c r="H258" s="141"/>
      <c r="I258" s="142"/>
      <c r="J258" s="98"/>
    </row>
    <row r="259" spans="1:10" ht="14" thickTop="1" x14ac:dyDescent="0.15"/>
    <row r="260" spans="1:10" ht="22" x14ac:dyDescent="0.25">
      <c r="A260" s="344" t="s">
        <v>100</v>
      </c>
      <c r="D260" s="92" t="s">
        <v>101</v>
      </c>
      <c r="F260" s="93"/>
    </row>
    <row r="261" spans="1:10" ht="23" thickBot="1" x14ac:dyDescent="0.3">
      <c r="A261" s="345"/>
      <c r="D261" s="94"/>
    </row>
    <row r="262" spans="1:10" ht="23" customHeight="1" thickTop="1" x14ac:dyDescent="0.25">
      <c r="A262" s="345"/>
      <c r="D262" s="94"/>
      <c r="E262" s="339" t="str">
        <f>E219</f>
        <v>Coûts des ressources alimentaires pour chaque produit offert (voir recettes standardisées)</v>
      </c>
      <c r="F262" s="339" t="str">
        <f>F219</f>
        <v>Prix de vente par produit offert</v>
      </c>
      <c r="G262" s="339" t="str">
        <f>G219</f>
        <v xml:space="preserve">« Food &amp; Beverage Cost » </v>
      </c>
      <c r="H262" s="339" t="str">
        <f>H219</f>
        <v>Marge brute gagnée sur la vente de chaque produit offert</v>
      </c>
      <c r="I262" s="95"/>
    </row>
    <row r="263" spans="1:10" ht="22" x14ac:dyDescent="0.25">
      <c r="A263" s="345"/>
      <c r="D263" s="94"/>
      <c r="E263" s="340"/>
      <c r="F263" s="342"/>
      <c r="G263" s="342"/>
      <c r="H263" s="342"/>
      <c r="I263" s="96"/>
    </row>
    <row r="264" spans="1:10" ht="14" customHeight="1" thickBot="1" x14ac:dyDescent="0.2">
      <c r="A264" s="345"/>
      <c r="E264" s="341"/>
      <c r="F264" s="343"/>
      <c r="G264" s="343"/>
      <c r="H264" s="343"/>
      <c r="I264" s="96"/>
    </row>
    <row r="265" spans="1:10" ht="14" thickTop="1" x14ac:dyDescent="0.15">
      <c r="A265" s="345"/>
      <c r="B265" s="90" t="s">
        <v>0</v>
      </c>
      <c r="E265" s="93"/>
      <c r="F265" s="93"/>
      <c r="G265" s="97"/>
    </row>
    <row r="266" spans="1:10" ht="16" x14ac:dyDescent="0.2">
      <c r="A266" s="345"/>
      <c r="B266" s="98"/>
      <c r="C266" s="98"/>
      <c r="D266" s="99" t="str">
        <f t="shared" ref="D266:F279" si="44">D223</f>
        <v>Les Petites Gâteries</v>
      </c>
      <c r="E266" s="100"/>
      <c r="F266" s="100"/>
      <c r="G266" s="101"/>
      <c r="H266" s="98"/>
      <c r="I266" s="98"/>
      <c r="J266" s="98"/>
    </row>
    <row r="267" spans="1:10" ht="16" x14ac:dyDescent="0.2">
      <c r="A267" s="345"/>
      <c r="B267" s="98">
        <f t="shared" ref="B267:C278" si="45">B224</f>
        <v>1</v>
      </c>
      <c r="C267" s="98">
        <f t="shared" si="45"/>
        <v>1</v>
      </c>
      <c r="D267" s="98" t="str">
        <f t="shared" si="44"/>
        <v>Petite Gâterie 1</v>
      </c>
      <c r="E267" s="102">
        <f t="shared" si="44"/>
        <v>1.21</v>
      </c>
      <c r="F267" s="145">
        <f t="shared" si="44"/>
        <v>3.3</v>
      </c>
      <c r="G267" s="103">
        <f t="shared" ref="G267:G279" si="46">E267/F267</f>
        <v>0.3666666666666667</v>
      </c>
      <c r="H267" s="104">
        <f t="shared" ref="H267:H279" si="47">F267-E267</f>
        <v>2.09</v>
      </c>
      <c r="I267" s="100">
        <f>F267</f>
        <v>3.3</v>
      </c>
      <c r="J267" s="337">
        <f>3/12</f>
        <v>0.25</v>
      </c>
    </row>
    <row r="268" spans="1:10" ht="16" x14ac:dyDescent="0.2">
      <c r="A268" s="345"/>
      <c r="B268" s="98">
        <f t="shared" si="45"/>
        <v>2</v>
      </c>
      <c r="C268" s="98">
        <f t="shared" si="45"/>
        <v>2</v>
      </c>
      <c r="D268" s="98" t="str">
        <f t="shared" si="44"/>
        <v>Petite Gâterie 2</v>
      </c>
      <c r="E268" s="102">
        <f t="shared" si="44"/>
        <v>1.31</v>
      </c>
      <c r="F268" s="102">
        <f t="shared" si="44"/>
        <v>3.8</v>
      </c>
      <c r="G268" s="103">
        <f t="shared" si="46"/>
        <v>0.34473684210526317</v>
      </c>
      <c r="H268" s="104">
        <f t="shared" si="47"/>
        <v>2.4899999999999998</v>
      </c>
      <c r="I268" s="100"/>
      <c r="J268" s="336"/>
    </row>
    <row r="269" spans="1:10" ht="17" thickBot="1" x14ac:dyDescent="0.25">
      <c r="A269" s="345"/>
      <c r="B269" s="105">
        <f t="shared" si="45"/>
        <v>3</v>
      </c>
      <c r="C269" s="105">
        <f t="shared" si="45"/>
        <v>3</v>
      </c>
      <c r="D269" s="105" t="str">
        <f t="shared" si="44"/>
        <v>Petite Gâterie 3</v>
      </c>
      <c r="E269" s="106">
        <f t="shared" si="44"/>
        <v>1.35</v>
      </c>
      <c r="F269" s="106">
        <f t="shared" si="44"/>
        <v>4</v>
      </c>
      <c r="G269" s="107">
        <f t="shared" si="46"/>
        <v>0.33750000000000002</v>
      </c>
      <c r="H269" s="108">
        <f t="shared" si="47"/>
        <v>2.65</v>
      </c>
      <c r="I269" s="109">
        <f>+I267+1.066667</f>
        <v>4.3666669999999996</v>
      </c>
      <c r="J269" s="338"/>
    </row>
    <row r="270" spans="1:10" ht="16" x14ac:dyDescent="0.2">
      <c r="A270" s="345"/>
      <c r="B270" s="98">
        <f t="shared" si="45"/>
        <v>4</v>
      </c>
      <c r="C270" s="98">
        <f t="shared" si="45"/>
        <v>4</v>
      </c>
      <c r="D270" s="98" t="str">
        <f t="shared" si="44"/>
        <v>Petite Gâterie 4</v>
      </c>
      <c r="E270" s="102">
        <f t="shared" si="44"/>
        <v>1.4</v>
      </c>
      <c r="F270" s="102">
        <f t="shared" si="44"/>
        <v>4.5</v>
      </c>
      <c r="G270" s="103">
        <f t="shared" si="46"/>
        <v>0.31111111111111112</v>
      </c>
      <c r="H270" s="104">
        <f t="shared" si="47"/>
        <v>3.1</v>
      </c>
      <c r="I270" s="100">
        <f>+I269+0.01</f>
        <v>4.3766669999999994</v>
      </c>
      <c r="J270" s="335">
        <f>7/12</f>
        <v>0.58333333333333337</v>
      </c>
    </row>
    <row r="271" spans="1:10" ht="16" x14ac:dyDescent="0.2">
      <c r="A271" s="345"/>
      <c r="B271" s="98">
        <f t="shared" si="45"/>
        <v>5</v>
      </c>
      <c r="C271" s="98">
        <f t="shared" si="45"/>
        <v>5</v>
      </c>
      <c r="D271" s="98" t="str">
        <f t="shared" si="44"/>
        <v>Petite Gâterie 5</v>
      </c>
      <c r="E271" s="102">
        <f t="shared" si="44"/>
        <v>1.24</v>
      </c>
      <c r="F271" s="102">
        <f t="shared" si="44"/>
        <v>4.5999999999999996</v>
      </c>
      <c r="G271" s="103">
        <f t="shared" si="46"/>
        <v>0.26956521739130435</v>
      </c>
      <c r="H271" s="104">
        <f t="shared" si="47"/>
        <v>3.3599999999999994</v>
      </c>
      <c r="I271" s="100"/>
      <c r="J271" s="336"/>
    </row>
    <row r="272" spans="1:10" ht="16" x14ac:dyDescent="0.2">
      <c r="A272" s="345"/>
      <c r="B272" s="98">
        <f t="shared" si="45"/>
        <v>6</v>
      </c>
      <c r="C272" s="98">
        <f t="shared" si="45"/>
        <v>6</v>
      </c>
      <c r="D272" s="98" t="str">
        <f t="shared" si="44"/>
        <v>Petite Gâterie 6</v>
      </c>
      <c r="E272" s="102">
        <f t="shared" si="44"/>
        <v>1.39</v>
      </c>
      <c r="F272" s="102">
        <f t="shared" si="44"/>
        <v>4.7</v>
      </c>
      <c r="G272" s="103">
        <f t="shared" si="46"/>
        <v>0.29574468085106381</v>
      </c>
      <c r="H272" s="104">
        <f t="shared" si="47"/>
        <v>3.3100000000000005</v>
      </c>
      <c r="I272" s="100"/>
      <c r="J272" s="336"/>
    </row>
    <row r="273" spans="1:10" ht="16" x14ac:dyDescent="0.2">
      <c r="A273" s="345"/>
      <c r="B273" s="98">
        <f t="shared" si="45"/>
        <v>7</v>
      </c>
      <c r="C273" s="98">
        <f t="shared" si="45"/>
        <v>7</v>
      </c>
      <c r="D273" s="98" t="str">
        <f t="shared" si="44"/>
        <v>Petite Gâterie 7</v>
      </c>
      <c r="E273" s="102">
        <f t="shared" si="44"/>
        <v>1.51</v>
      </c>
      <c r="F273" s="102">
        <f t="shared" si="44"/>
        <v>4.8</v>
      </c>
      <c r="G273" s="103">
        <f t="shared" si="46"/>
        <v>0.31458333333333333</v>
      </c>
      <c r="H273" s="104">
        <f t="shared" si="47"/>
        <v>3.29</v>
      </c>
      <c r="I273" s="100"/>
      <c r="J273" s="336"/>
    </row>
    <row r="274" spans="1:10" ht="16" x14ac:dyDescent="0.2">
      <c r="A274" s="345"/>
      <c r="B274" s="98">
        <f t="shared" si="45"/>
        <v>8</v>
      </c>
      <c r="C274" s="98">
        <f t="shared" si="45"/>
        <v>8</v>
      </c>
      <c r="D274" s="98" t="str">
        <f t="shared" si="44"/>
        <v>Petite Gâterie 8</v>
      </c>
      <c r="E274" s="102">
        <f t="shared" si="44"/>
        <v>1.53</v>
      </c>
      <c r="F274" s="102">
        <f t="shared" si="44"/>
        <v>4.9000000000000004</v>
      </c>
      <c r="G274" s="103">
        <f t="shared" si="46"/>
        <v>0.31224489795918364</v>
      </c>
      <c r="H274" s="104">
        <f t="shared" si="47"/>
        <v>3.37</v>
      </c>
      <c r="I274" s="100"/>
      <c r="J274" s="336"/>
    </row>
    <row r="275" spans="1:10" ht="16" x14ac:dyDescent="0.2">
      <c r="A275" s="345"/>
      <c r="B275" s="98">
        <f t="shared" si="45"/>
        <v>9</v>
      </c>
      <c r="C275" s="98">
        <f t="shared" si="45"/>
        <v>9</v>
      </c>
      <c r="D275" s="98" t="str">
        <f t="shared" si="44"/>
        <v>Petite Gâterie 9</v>
      </c>
      <c r="E275" s="102">
        <f t="shared" si="44"/>
        <v>1.55</v>
      </c>
      <c r="F275" s="102">
        <f t="shared" si="44"/>
        <v>5</v>
      </c>
      <c r="G275" s="103">
        <f t="shared" si="46"/>
        <v>0.31</v>
      </c>
      <c r="H275" s="104">
        <f t="shared" si="47"/>
        <v>3.45</v>
      </c>
      <c r="I275" s="100"/>
      <c r="J275" s="336"/>
    </row>
    <row r="276" spans="1:10" ht="17" thickBot="1" x14ac:dyDescent="0.25">
      <c r="A276" s="345"/>
      <c r="B276" s="105">
        <f t="shared" si="45"/>
        <v>10</v>
      </c>
      <c r="C276" s="105">
        <f t="shared" si="45"/>
        <v>10</v>
      </c>
      <c r="D276" s="105" t="str">
        <f t="shared" si="44"/>
        <v>Petite Gâterie 10</v>
      </c>
      <c r="E276" s="106">
        <f t="shared" si="44"/>
        <v>1.59</v>
      </c>
      <c r="F276" s="106">
        <f t="shared" si="44"/>
        <v>5.2</v>
      </c>
      <c r="G276" s="107">
        <f t="shared" si="46"/>
        <v>0.30576923076923079</v>
      </c>
      <c r="H276" s="108">
        <f t="shared" si="47"/>
        <v>3.6100000000000003</v>
      </c>
      <c r="I276" s="109">
        <f>+I269+1.066667</f>
        <v>5.4333339999999994</v>
      </c>
      <c r="J276" s="338"/>
    </row>
    <row r="277" spans="1:10" ht="16" x14ac:dyDescent="0.2">
      <c r="A277" s="345"/>
      <c r="B277" s="98">
        <f t="shared" si="45"/>
        <v>11</v>
      </c>
      <c r="C277" s="98">
        <f t="shared" si="45"/>
        <v>11</v>
      </c>
      <c r="D277" s="98" t="str">
        <f t="shared" si="44"/>
        <v>Petite Gâterie 11</v>
      </c>
      <c r="E277" s="102">
        <f t="shared" si="44"/>
        <v>1.83</v>
      </c>
      <c r="F277" s="102">
        <f t="shared" si="44"/>
        <v>6.4</v>
      </c>
      <c r="G277" s="103">
        <f t="shared" si="46"/>
        <v>0.28593750000000001</v>
      </c>
      <c r="H277" s="104">
        <f t="shared" si="47"/>
        <v>4.57</v>
      </c>
      <c r="I277" s="100">
        <f>+I276+0.01</f>
        <v>5.4433339999999992</v>
      </c>
      <c r="J277" s="335">
        <f>2/12</f>
        <v>0.16666666666666666</v>
      </c>
    </row>
    <row r="278" spans="1:10" ht="16" x14ac:dyDescent="0.2">
      <c r="A278" s="345"/>
      <c r="B278" s="98">
        <f t="shared" si="45"/>
        <v>12</v>
      </c>
      <c r="C278" s="98">
        <f t="shared" si="45"/>
        <v>12</v>
      </c>
      <c r="D278" s="98" t="str">
        <f t="shared" si="44"/>
        <v>Petite Gâterie 12</v>
      </c>
      <c r="E278" s="102">
        <f t="shared" si="44"/>
        <v>1.87</v>
      </c>
      <c r="F278" s="102">
        <f t="shared" si="44"/>
        <v>6.6</v>
      </c>
      <c r="G278" s="103">
        <f t="shared" si="46"/>
        <v>0.28333333333333338</v>
      </c>
      <c r="H278" s="104">
        <f t="shared" si="47"/>
        <v>4.7299999999999995</v>
      </c>
      <c r="I278" s="100">
        <f>F278</f>
        <v>6.6</v>
      </c>
      <c r="J278" s="336"/>
    </row>
    <row r="279" spans="1:10" ht="19" x14ac:dyDescent="0.35">
      <c r="A279" s="345"/>
      <c r="B279" s="98"/>
      <c r="C279" s="98"/>
      <c r="D279" s="99" t="str">
        <f t="shared" si="44"/>
        <v>CmO—PmO—Food Cost—BmO</v>
      </c>
      <c r="E279" s="110">
        <f>SUM(E267:E278)/C278</f>
        <v>1.4816666666666667</v>
      </c>
      <c r="F279" s="111">
        <f>SUM(F267:F278)/C278</f>
        <v>4.8166666666666673</v>
      </c>
      <c r="G279" s="112">
        <f t="shared" si="46"/>
        <v>0.30761245674740478</v>
      </c>
      <c r="H279" s="113">
        <f t="shared" si="47"/>
        <v>3.3350000000000009</v>
      </c>
      <c r="I279" s="114"/>
      <c r="J279" s="98"/>
    </row>
    <row r="280" spans="1:10" ht="16" x14ac:dyDescent="0.2">
      <c r="A280" s="345"/>
      <c r="B280" s="98" t="s">
        <v>0</v>
      </c>
      <c r="C280" s="98"/>
      <c r="D280" s="98"/>
      <c r="E280" s="102"/>
      <c r="F280" s="102"/>
      <c r="G280" s="103"/>
      <c r="H280" s="115"/>
      <c r="I280" s="100"/>
      <c r="J280" s="98"/>
    </row>
    <row r="281" spans="1:10" ht="16" x14ac:dyDescent="0.2">
      <c r="A281" s="345"/>
      <c r="B281" s="98"/>
      <c r="C281" s="98"/>
      <c r="D281" s="99" t="str">
        <f t="shared" ref="D281:F294" si="48">D238</f>
        <v>Les Boissons  Gâteries</v>
      </c>
      <c r="E281" s="102"/>
      <c r="F281" s="102"/>
      <c r="G281" s="103"/>
      <c r="H281" s="115"/>
      <c r="I281" s="100"/>
      <c r="J281" s="98"/>
    </row>
    <row r="282" spans="1:10" ht="16" x14ac:dyDescent="0.2">
      <c r="A282" s="345"/>
      <c r="B282" s="98">
        <f t="shared" ref="B282:C293" si="49">B239</f>
        <v>13</v>
      </c>
      <c r="C282" s="98">
        <f t="shared" si="49"/>
        <v>1</v>
      </c>
      <c r="D282" s="98" t="str">
        <f t="shared" si="48"/>
        <v>Boisson spéciale numéro 1</v>
      </c>
      <c r="E282" s="102">
        <f t="shared" si="48"/>
        <v>2.2799999999999998</v>
      </c>
      <c r="F282" s="145">
        <f>F239</f>
        <v>6.6</v>
      </c>
      <c r="G282" s="103">
        <f>E282/F282</f>
        <v>0.34545454545454546</v>
      </c>
      <c r="H282" s="104">
        <f>F282-E282</f>
        <v>4.32</v>
      </c>
      <c r="I282" s="100">
        <f>F282</f>
        <v>6.6</v>
      </c>
      <c r="J282" s="337">
        <f>3/12</f>
        <v>0.25</v>
      </c>
    </row>
    <row r="283" spans="1:10" ht="16" x14ac:dyDescent="0.2">
      <c r="A283" s="345"/>
      <c r="B283" s="98">
        <f t="shared" si="49"/>
        <v>14</v>
      </c>
      <c r="C283" s="98">
        <f t="shared" si="49"/>
        <v>2</v>
      </c>
      <c r="D283" s="98" t="str">
        <f t="shared" si="48"/>
        <v>Boisson spéciale numéro 2</v>
      </c>
      <c r="E283" s="102">
        <f t="shared" si="48"/>
        <v>2.66</v>
      </c>
      <c r="F283" s="102">
        <f t="shared" si="48"/>
        <v>7.6</v>
      </c>
      <c r="G283" s="103">
        <f>E283/F283</f>
        <v>0.35000000000000003</v>
      </c>
      <c r="H283" s="104">
        <f>F283-E283</f>
        <v>4.9399999999999995</v>
      </c>
      <c r="I283" s="100"/>
      <c r="J283" s="336"/>
    </row>
    <row r="284" spans="1:10" ht="17" thickBot="1" x14ac:dyDescent="0.25">
      <c r="A284" s="345"/>
      <c r="B284" s="105">
        <f t="shared" si="49"/>
        <v>15</v>
      </c>
      <c r="C284" s="105">
        <f t="shared" si="49"/>
        <v>3</v>
      </c>
      <c r="D284" s="105" t="str">
        <f t="shared" si="48"/>
        <v>Boisson spéciale numéro 3</v>
      </c>
      <c r="E284" s="106">
        <f t="shared" si="48"/>
        <v>2.74</v>
      </c>
      <c r="F284" s="106">
        <f t="shared" si="48"/>
        <v>8</v>
      </c>
      <c r="G284" s="107">
        <f>E284/F284</f>
        <v>0.34250000000000003</v>
      </c>
      <c r="H284" s="108">
        <f>F284-E284</f>
        <v>5.26</v>
      </c>
      <c r="I284" s="109">
        <f>+I282+2.133333</f>
        <v>8.733333</v>
      </c>
      <c r="J284" s="338"/>
    </row>
    <row r="285" spans="1:10" ht="16" x14ac:dyDescent="0.2">
      <c r="A285" s="345"/>
      <c r="B285" s="98">
        <f t="shared" si="49"/>
        <v>16</v>
      </c>
      <c r="C285" s="98">
        <f t="shared" si="49"/>
        <v>4</v>
      </c>
      <c r="D285" s="98" t="str">
        <f t="shared" si="48"/>
        <v>Boisson spéciale numéro 4</v>
      </c>
      <c r="E285" s="102">
        <f t="shared" si="48"/>
        <v>2.72</v>
      </c>
      <c r="F285" s="102">
        <f t="shared" si="48"/>
        <v>9</v>
      </c>
      <c r="G285" s="103">
        <f t="shared" ref="G285:G292" si="50">E285/F285</f>
        <v>0.30222222222222223</v>
      </c>
      <c r="H285" s="104">
        <f t="shared" ref="H285:H292" si="51">F285-E285</f>
        <v>6.2799999999999994</v>
      </c>
      <c r="I285" s="100">
        <f>+I284+0.01</f>
        <v>8.7433329999999998</v>
      </c>
      <c r="J285" s="335">
        <f>7/12</f>
        <v>0.58333333333333337</v>
      </c>
    </row>
    <row r="286" spans="1:10" ht="16" x14ac:dyDescent="0.2">
      <c r="A286" s="345"/>
      <c r="B286" s="98">
        <f t="shared" si="49"/>
        <v>17</v>
      </c>
      <c r="C286" s="98">
        <f t="shared" si="49"/>
        <v>5</v>
      </c>
      <c r="D286" s="98" t="str">
        <f t="shared" si="48"/>
        <v>Boisson spéciale numéro 5</v>
      </c>
      <c r="E286" s="102">
        <f t="shared" si="48"/>
        <v>2.76</v>
      </c>
      <c r="F286" s="102">
        <f t="shared" si="48"/>
        <v>9.1999999999999993</v>
      </c>
      <c r="G286" s="103">
        <f t="shared" si="50"/>
        <v>0.3</v>
      </c>
      <c r="H286" s="104">
        <f t="shared" si="51"/>
        <v>6.4399999999999995</v>
      </c>
      <c r="I286" s="100"/>
      <c r="J286" s="336"/>
    </row>
    <row r="287" spans="1:10" ht="16" x14ac:dyDescent="0.2">
      <c r="A287" s="345"/>
      <c r="B287" s="98">
        <f t="shared" si="49"/>
        <v>18</v>
      </c>
      <c r="C287" s="98">
        <f t="shared" si="49"/>
        <v>6</v>
      </c>
      <c r="D287" s="98" t="str">
        <f t="shared" si="48"/>
        <v>Boisson spéciale numéro 6</v>
      </c>
      <c r="E287" s="102">
        <f t="shared" si="48"/>
        <v>2.8</v>
      </c>
      <c r="F287" s="102">
        <f t="shared" si="48"/>
        <v>9.4</v>
      </c>
      <c r="G287" s="103">
        <f t="shared" si="50"/>
        <v>0.2978723404255319</v>
      </c>
      <c r="H287" s="104">
        <f t="shared" si="51"/>
        <v>6.6000000000000005</v>
      </c>
      <c r="I287" s="100"/>
      <c r="J287" s="336"/>
    </row>
    <row r="288" spans="1:10" ht="16" x14ac:dyDescent="0.2">
      <c r="A288" s="345"/>
      <c r="B288" s="98">
        <f t="shared" si="49"/>
        <v>19</v>
      </c>
      <c r="C288" s="98">
        <f t="shared" si="49"/>
        <v>7</v>
      </c>
      <c r="D288" s="98" t="str">
        <f t="shared" si="48"/>
        <v>Boisson spéciale numéro 7</v>
      </c>
      <c r="E288" s="102">
        <f t="shared" si="48"/>
        <v>2.82</v>
      </c>
      <c r="F288" s="102">
        <f t="shared" si="48"/>
        <v>9.6</v>
      </c>
      <c r="G288" s="103">
        <f t="shared" si="50"/>
        <v>0.29375000000000001</v>
      </c>
      <c r="H288" s="104">
        <f t="shared" si="51"/>
        <v>6.7799999999999994</v>
      </c>
      <c r="I288" s="100"/>
      <c r="J288" s="336"/>
    </row>
    <row r="289" spans="1:10" ht="16" x14ac:dyDescent="0.2">
      <c r="A289" s="345"/>
      <c r="B289" s="98">
        <f t="shared" si="49"/>
        <v>20</v>
      </c>
      <c r="C289" s="98">
        <f t="shared" si="49"/>
        <v>8</v>
      </c>
      <c r="D289" s="98" t="str">
        <f t="shared" si="48"/>
        <v>Boisson spéciale numéro 8</v>
      </c>
      <c r="E289" s="102">
        <f t="shared" si="48"/>
        <v>2.86</v>
      </c>
      <c r="F289" s="102">
        <f t="shared" si="48"/>
        <v>9.8000000000000007</v>
      </c>
      <c r="G289" s="103">
        <f t="shared" si="50"/>
        <v>0.2918367346938775</v>
      </c>
      <c r="H289" s="104">
        <f t="shared" si="51"/>
        <v>6.9400000000000013</v>
      </c>
      <c r="I289" s="100"/>
      <c r="J289" s="336"/>
    </row>
    <row r="290" spans="1:10" ht="16" x14ac:dyDescent="0.2">
      <c r="A290" s="345"/>
      <c r="B290" s="98">
        <f t="shared" si="49"/>
        <v>21</v>
      </c>
      <c r="C290" s="98">
        <f t="shared" si="49"/>
        <v>9</v>
      </c>
      <c r="D290" s="98" t="str">
        <f t="shared" si="48"/>
        <v>Boisson spéciale numéro 9</v>
      </c>
      <c r="E290" s="102">
        <f t="shared" si="48"/>
        <v>2.9</v>
      </c>
      <c r="F290" s="102">
        <f t="shared" si="48"/>
        <v>10</v>
      </c>
      <c r="G290" s="103">
        <f t="shared" si="50"/>
        <v>0.28999999999999998</v>
      </c>
      <c r="H290" s="104">
        <f t="shared" si="51"/>
        <v>7.1</v>
      </c>
      <c r="I290" s="100"/>
      <c r="J290" s="336"/>
    </row>
    <row r="291" spans="1:10" ht="17" thickBot="1" x14ac:dyDescent="0.25">
      <c r="A291" s="345"/>
      <c r="B291" s="105">
        <f t="shared" si="49"/>
        <v>22</v>
      </c>
      <c r="C291" s="105">
        <f t="shared" si="49"/>
        <v>10</v>
      </c>
      <c r="D291" s="105" t="str">
        <f t="shared" si="48"/>
        <v>Boisson spéciale numéro 10</v>
      </c>
      <c r="E291" s="106">
        <f t="shared" si="48"/>
        <v>2.98</v>
      </c>
      <c r="F291" s="106">
        <f t="shared" si="48"/>
        <v>10.4</v>
      </c>
      <c r="G291" s="107">
        <f t="shared" si="50"/>
        <v>0.28653846153846152</v>
      </c>
      <c r="H291" s="108">
        <f t="shared" si="51"/>
        <v>7.42</v>
      </c>
      <c r="I291" s="109">
        <f>+I284+2.133333</f>
        <v>10.866666</v>
      </c>
      <c r="J291" s="338"/>
    </row>
    <row r="292" spans="1:10" ht="16" x14ac:dyDescent="0.2">
      <c r="A292" s="345"/>
      <c r="B292" s="98">
        <f t="shared" si="49"/>
        <v>23</v>
      </c>
      <c r="C292" s="98">
        <f t="shared" si="49"/>
        <v>11</v>
      </c>
      <c r="D292" s="98" t="str">
        <f t="shared" si="48"/>
        <v>Boisson spéciale numéro 11</v>
      </c>
      <c r="E292" s="102">
        <f t="shared" si="48"/>
        <v>3.18</v>
      </c>
      <c r="F292" s="102">
        <f t="shared" si="48"/>
        <v>11.6</v>
      </c>
      <c r="G292" s="103">
        <f t="shared" si="50"/>
        <v>0.27413793103448281</v>
      </c>
      <c r="H292" s="104">
        <f t="shared" si="51"/>
        <v>8.42</v>
      </c>
      <c r="I292" s="100">
        <f>+I291+0.01</f>
        <v>10.876666</v>
      </c>
      <c r="J292" s="335">
        <f>2/12</f>
        <v>0.16666666666666666</v>
      </c>
    </row>
    <row r="293" spans="1:10" ht="16" x14ac:dyDescent="0.2">
      <c r="A293" s="345"/>
      <c r="B293" s="98">
        <f t="shared" si="49"/>
        <v>24</v>
      </c>
      <c r="C293" s="98">
        <f t="shared" si="49"/>
        <v>12</v>
      </c>
      <c r="D293" s="98" t="str">
        <f t="shared" si="48"/>
        <v>Boisson spéciale numéro 12</v>
      </c>
      <c r="E293" s="102">
        <f t="shared" si="48"/>
        <v>3.48</v>
      </c>
      <c r="F293" s="102">
        <f t="shared" si="48"/>
        <v>13.2</v>
      </c>
      <c r="G293" s="103">
        <f>E293/F293</f>
        <v>0.26363636363636367</v>
      </c>
      <c r="H293" s="104">
        <f>F293-E293</f>
        <v>9.7199999999999989</v>
      </c>
      <c r="I293" s="100">
        <f>F293</f>
        <v>13.2</v>
      </c>
      <c r="J293" s="336"/>
    </row>
    <row r="294" spans="1:10" ht="19" x14ac:dyDescent="0.35">
      <c r="A294" s="345"/>
      <c r="B294" s="98"/>
      <c r="C294" s="98"/>
      <c r="D294" s="99" t="str">
        <f t="shared" si="48"/>
        <v>CmO—PmO—Beverage Cost—Marge brute</v>
      </c>
      <c r="E294" s="110">
        <f>SUM(E282:E293)/C293</f>
        <v>2.8483333333333332</v>
      </c>
      <c r="F294" s="111">
        <f>SUM(F282:F293)/C293</f>
        <v>9.5333333333333332</v>
      </c>
      <c r="G294" s="116">
        <f>E294/F294</f>
        <v>0.29877622377622376</v>
      </c>
      <c r="H294" s="113">
        <f>F294-E294</f>
        <v>6.6850000000000005</v>
      </c>
      <c r="I294" s="114"/>
      <c r="J294" s="98"/>
    </row>
    <row r="295" spans="1:10" ht="17" thickBot="1" x14ac:dyDescent="0.25">
      <c r="A295" s="345"/>
      <c r="B295" s="98"/>
      <c r="C295" s="98"/>
      <c r="D295" s="98"/>
      <c r="E295" s="102"/>
      <c r="F295" s="102"/>
      <c r="G295" s="101"/>
      <c r="H295" s="115"/>
      <c r="I295" s="98"/>
      <c r="J295" s="98"/>
    </row>
    <row r="296" spans="1:10" ht="21" thickTop="1" thickBot="1" x14ac:dyDescent="0.4">
      <c r="A296" s="345"/>
      <c r="B296" s="98"/>
      <c r="C296" s="117"/>
      <c r="D296" s="118"/>
      <c r="E296" s="119"/>
      <c r="F296" s="119"/>
      <c r="G296" s="120"/>
      <c r="H296" s="121"/>
      <c r="I296" s="122"/>
      <c r="J296" s="98"/>
    </row>
    <row r="297" spans="1:10" ht="18" thickTop="1" thickBot="1" x14ac:dyDescent="0.25">
      <c r="A297" s="345"/>
      <c r="B297" s="98"/>
      <c r="C297" s="123"/>
      <c r="D297" s="99"/>
      <c r="E297" s="124" t="str">
        <f>E254</f>
        <v>CmO</v>
      </c>
      <c r="F297" s="124" t="str">
        <f>F254</f>
        <v>PmO</v>
      </c>
      <c r="G297" s="125" t="str">
        <f>G254</f>
        <v>F&amp;BCmO</v>
      </c>
      <c r="H297" s="126" t="str">
        <f>H254</f>
        <v>BmO</v>
      </c>
      <c r="I297" s="127"/>
      <c r="J297" s="98"/>
    </row>
    <row r="298" spans="1:10" ht="17" thickTop="1" x14ac:dyDescent="0.2">
      <c r="A298" s="345"/>
      <c r="B298" s="98"/>
      <c r="C298" s="123"/>
      <c r="D298" s="128" t="str">
        <f>D255</f>
        <v>OFFRE TOTALE AVEC LES GÂTERIES ET LES CAFÉS GÂTERIES</v>
      </c>
      <c r="E298" s="102"/>
      <c r="F298" s="102"/>
      <c r="G298" s="101"/>
      <c r="H298" s="115"/>
      <c r="I298" s="129"/>
      <c r="J298" s="98"/>
    </row>
    <row r="299" spans="1:10" ht="19" x14ac:dyDescent="0.35">
      <c r="A299" s="345"/>
      <c r="B299" s="98"/>
      <c r="C299" s="123"/>
      <c r="D299" s="99" t="str">
        <f>D256</f>
        <v>CmO—PmO—F&amp;B cost moyen offert—Marge brute</v>
      </c>
      <c r="E299" s="111">
        <f>+(E267+E268+E269+E270+E271+E272+E273+E274+E275+E276+E277+E278+E282+E283+E284+E285+E286+E287+E288+E289+E290+E291+E292+E293)/B293</f>
        <v>2.1649999999999996</v>
      </c>
      <c r="F299" s="111">
        <f>+(F267+F268+F269+F270+F271+F272+F273+F274+F275+F276+F277+F278+F282+F283+F284+F285+F286+F287+F288+F289+F290+F291+F292+F293)/B293</f>
        <v>7.1749999999999998</v>
      </c>
      <c r="G299" s="130">
        <f>E299/F299</f>
        <v>0.30174216027874562</v>
      </c>
      <c r="H299" s="131">
        <f>F299-E299</f>
        <v>5.01</v>
      </c>
      <c r="I299" s="132"/>
      <c r="J299" s="98"/>
    </row>
    <row r="300" spans="1:10" ht="16" x14ac:dyDescent="0.2">
      <c r="A300" s="345"/>
      <c r="B300" s="98"/>
      <c r="C300" s="123"/>
      <c r="D300" s="98"/>
      <c r="E300" s="133"/>
      <c r="F300" s="133"/>
      <c r="G300" s="134"/>
      <c r="H300" s="135"/>
      <c r="I300" s="136"/>
      <c r="J300" s="98"/>
    </row>
    <row r="301" spans="1:10" ht="17" thickBot="1" x14ac:dyDescent="0.25">
      <c r="A301" s="345"/>
      <c r="B301" s="98"/>
      <c r="C301" s="137"/>
      <c r="D301" s="138"/>
      <c r="E301" s="139"/>
      <c r="F301" s="139"/>
      <c r="G301" s="140"/>
      <c r="H301" s="141"/>
      <c r="I301" s="142"/>
      <c r="J301" s="98"/>
    </row>
    <row r="302" spans="1:10" ht="14" thickTop="1" x14ac:dyDescent="0.15">
      <c r="A302" s="345"/>
    </row>
    <row r="303" spans="1:10" ht="22" x14ac:dyDescent="0.25">
      <c r="A303" s="345"/>
      <c r="D303" s="92" t="s">
        <v>102</v>
      </c>
      <c r="F303" s="93"/>
    </row>
    <row r="304" spans="1:10" ht="23" thickBot="1" x14ac:dyDescent="0.3">
      <c r="A304" s="345"/>
      <c r="D304" s="94"/>
    </row>
    <row r="305" spans="1:10" ht="23" customHeight="1" thickTop="1" x14ac:dyDescent="0.25">
      <c r="A305" s="345"/>
      <c r="D305" s="94"/>
      <c r="E305" s="339" t="str">
        <f>E262</f>
        <v>Coûts des ressources alimentaires pour chaque produit offert (voir recettes standardisées)</v>
      </c>
      <c r="F305" s="339" t="str">
        <f>F262</f>
        <v>Prix de vente par produit offert</v>
      </c>
      <c r="G305" s="339" t="str">
        <f>G262</f>
        <v xml:space="preserve">« Food &amp; Beverage Cost » </v>
      </c>
      <c r="H305" s="339" t="str">
        <f>H262</f>
        <v>Marge brute gagnée sur la vente de chaque produit offert</v>
      </c>
      <c r="I305" s="95"/>
    </row>
    <row r="306" spans="1:10" ht="22" x14ac:dyDescent="0.25">
      <c r="A306" s="345"/>
      <c r="D306" s="94"/>
      <c r="E306" s="340"/>
      <c r="F306" s="342"/>
      <c r="G306" s="342"/>
      <c r="H306" s="342"/>
      <c r="I306" s="96"/>
    </row>
    <row r="307" spans="1:10" ht="14" customHeight="1" thickBot="1" x14ac:dyDescent="0.2">
      <c r="A307" s="345"/>
      <c r="E307" s="341"/>
      <c r="F307" s="343"/>
      <c r="G307" s="343"/>
      <c r="H307" s="343"/>
      <c r="I307" s="96"/>
    </row>
    <row r="308" spans="1:10" ht="14" thickTop="1" x14ac:dyDescent="0.15">
      <c r="A308" s="345"/>
      <c r="B308" s="90" t="s">
        <v>0</v>
      </c>
      <c r="E308" s="93"/>
      <c r="F308" s="93"/>
      <c r="G308" s="97"/>
    </row>
    <row r="309" spans="1:10" ht="16" x14ac:dyDescent="0.2">
      <c r="A309" s="345"/>
      <c r="B309" s="98"/>
      <c r="C309" s="98"/>
      <c r="D309" s="99" t="str">
        <f t="shared" ref="D309:F322" si="52">D266</f>
        <v>Les Petites Gâteries</v>
      </c>
      <c r="E309" s="100"/>
      <c r="F309" s="100"/>
      <c r="G309" s="101"/>
      <c r="H309" s="98"/>
      <c r="I309" s="98"/>
      <c r="J309" s="98"/>
    </row>
    <row r="310" spans="1:10" ht="16" x14ac:dyDescent="0.2">
      <c r="A310" s="345"/>
      <c r="B310" s="98">
        <f t="shared" ref="B310:C321" si="53">B267</f>
        <v>1</v>
      </c>
      <c r="C310" s="98">
        <f t="shared" si="53"/>
        <v>1</v>
      </c>
      <c r="D310" s="98" t="str">
        <f t="shared" si="52"/>
        <v>Petite Gâterie 1</v>
      </c>
      <c r="E310" s="102">
        <f t="shared" si="52"/>
        <v>1.21</v>
      </c>
      <c r="F310" s="102">
        <f t="shared" si="52"/>
        <v>3.3</v>
      </c>
      <c r="G310" s="103">
        <f t="shared" ref="G310:G322" si="54">E310/F310</f>
        <v>0.3666666666666667</v>
      </c>
      <c r="H310" s="104">
        <f t="shared" ref="H310:H322" si="55">F310-E310</f>
        <v>2.09</v>
      </c>
      <c r="I310" s="100">
        <f>F310</f>
        <v>3.3</v>
      </c>
      <c r="J310" s="337">
        <f>3/12</f>
        <v>0.25</v>
      </c>
    </row>
    <row r="311" spans="1:10" ht="16" x14ac:dyDescent="0.2">
      <c r="A311" s="345"/>
      <c r="B311" s="98">
        <f t="shared" si="53"/>
        <v>2</v>
      </c>
      <c r="C311" s="98">
        <f t="shared" si="53"/>
        <v>2</v>
      </c>
      <c r="D311" s="98" t="str">
        <f t="shared" si="52"/>
        <v>Petite Gâterie 2</v>
      </c>
      <c r="E311" s="102">
        <f t="shared" si="52"/>
        <v>1.31</v>
      </c>
      <c r="F311" s="102">
        <f t="shared" si="52"/>
        <v>3.8</v>
      </c>
      <c r="G311" s="103">
        <f t="shared" si="54"/>
        <v>0.34473684210526317</v>
      </c>
      <c r="H311" s="104">
        <f t="shared" si="55"/>
        <v>2.4899999999999998</v>
      </c>
      <c r="I311" s="100"/>
      <c r="J311" s="336"/>
    </row>
    <row r="312" spans="1:10" ht="17" thickBot="1" x14ac:dyDescent="0.25">
      <c r="A312" s="345"/>
      <c r="B312" s="98">
        <f t="shared" si="53"/>
        <v>3</v>
      </c>
      <c r="C312" s="98">
        <f t="shared" si="53"/>
        <v>3</v>
      </c>
      <c r="D312" s="98" t="str">
        <f t="shared" si="52"/>
        <v>Petite Gâterie 3</v>
      </c>
      <c r="E312" s="102">
        <f t="shared" si="52"/>
        <v>1.35</v>
      </c>
      <c r="F312" s="102">
        <f t="shared" si="52"/>
        <v>4</v>
      </c>
      <c r="G312" s="103">
        <f t="shared" si="54"/>
        <v>0.33750000000000002</v>
      </c>
      <c r="H312" s="104">
        <f t="shared" si="55"/>
        <v>2.65</v>
      </c>
      <c r="I312" s="109">
        <f>+I310+1.1</f>
        <v>4.4000000000000004</v>
      </c>
      <c r="J312" s="338"/>
    </row>
    <row r="313" spans="1:10" ht="16" x14ac:dyDescent="0.2">
      <c r="A313" s="345"/>
      <c r="B313" s="98">
        <f t="shared" si="53"/>
        <v>4</v>
      </c>
      <c r="C313" s="98">
        <f t="shared" si="53"/>
        <v>4</v>
      </c>
      <c r="D313" s="98" t="str">
        <f t="shared" si="52"/>
        <v>Petite Gâterie 4</v>
      </c>
      <c r="E313" s="102">
        <f t="shared" si="52"/>
        <v>1.4</v>
      </c>
      <c r="F313" s="102">
        <f t="shared" si="52"/>
        <v>4.5</v>
      </c>
      <c r="G313" s="103">
        <f t="shared" si="54"/>
        <v>0.31111111111111112</v>
      </c>
      <c r="H313" s="104">
        <f t="shared" si="55"/>
        <v>3.1</v>
      </c>
      <c r="I313" s="100">
        <f>+I312+0.01</f>
        <v>4.41</v>
      </c>
      <c r="J313" s="335">
        <f>7/12</f>
        <v>0.58333333333333337</v>
      </c>
    </row>
    <row r="314" spans="1:10" ht="16" x14ac:dyDescent="0.2">
      <c r="A314" s="345"/>
      <c r="B314" s="98">
        <f t="shared" si="53"/>
        <v>5</v>
      </c>
      <c r="C314" s="98">
        <f t="shared" si="53"/>
        <v>5</v>
      </c>
      <c r="D314" s="98" t="str">
        <f t="shared" si="52"/>
        <v>Petite Gâterie 5</v>
      </c>
      <c r="E314" s="102">
        <f t="shared" si="52"/>
        <v>1.24</v>
      </c>
      <c r="F314" s="102">
        <f t="shared" si="52"/>
        <v>4.5999999999999996</v>
      </c>
      <c r="G314" s="103">
        <f t="shared" si="54"/>
        <v>0.26956521739130435</v>
      </c>
      <c r="H314" s="104">
        <f t="shared" si="55"/>
        <v>3.3599999999999994</v>
      </c>
      <c r="I314" s="100"/>
      <c r="J314" s="336"/>
    </row>
    <row r="315" spans="1:10" ht="16" x14ac:dyDescent="0.2">
      <c r="A315" s="345"/>
      <c r="B315" s="98">
        <f t="shared" si="53"/>
        <v>6</v>
      </c>
      <c r="C315" s="98">
        <f t="shared" si="53"/>
        <v>6</v>
      </c>
      <c r="D315" s="98" t="str">
        <f t="shared" si="52"/>
        <v>Petite Gâterie 6</v>
      </c>
      <c r="E315" s="102">
        <f t="shared" si="52"/>
        <v>1.39</v>
      </c>
      <c r="F315" s="102">
        <f t="shared" si="52"/>
        <v>4.7</v>
      </c>
      <c r="G315" s="103">
        <f t="shared" si="54"/>
        <v>0.29574468085106381</v>
      </c>
      <c r="H315" s="104">
        <f t="shared" si="55"/>
        <v>3.3100000000000005</v>
      </c>
      <c r="I315" s="100"/>
      <c r="J315" s="336"/>
    </row>
    <row r="316" spans="1:10" ht="16" x14ac:dyDescent="0.2">
      <c r="A316" s="345"/>
      <c r="B316" s="98">
        <f t="shared" si="53"/>
        <v>7</v>
      </c>
      <c r="C316" s="98">
        <f t="shared" si="53"/>
        <v>7</v>
      </c>
      <c r="D316" s="98" t="str">
        <f t="shared" si="52"/>
        <v>Petite Gâterie 7</v>
      </c>
      <c r="E316" s="102">
        <f t="shared" si="52"/>
        <v>1.51</v>
      </c>
      <c r="F316" s="102">
        <f t="shared" si="52"/>
        <v>4.8</v>
      </c>
      <c r="G316" s="103">
        <f t="shared" si="54"/>
        <v>0.31458333333333333</v>
      </c>
      <c r="H316" s="104">
        <f t="shared" si="55"/>
        <v>3.29</v>
      </c>
      <c r="I316" s="100"/>
      <c r="J316" s="336"/>
    </row>
    <row r="317" spans="1:10" ht="16" x14ac:dyDescent="0.2">
      <c r="A317" s="345"/>
      <c r="B317" s="98">
        <f t="shared" si="53"/>
        <v>8</v>
      </c>
      <c r="C317" s="98">
        <f t="shared" si="53"/>
        <v>8</v>
      </c>
      <c r="D317" s="98" t="str">
        <f t="shared" si="52"/>
        <v>Petite Gâterie 8</v>
      </c>
      <c r="E317" s="102">
        <f t="shared" si="52"/>
        <v>1.53</v>
      </c>
      <c r="F317" s="102">
        <f t="shared" si="52"/>
        <v>4.9000000000000004</v>
      </c>
      <c r="G317" s="103">
        <f t="shared" si="54"/>
        <v>0.31224489795918364</v>
      </c>
      <c r="H317" s="104">
        <f t="shared" si="55"/>
        <v>3.37</v>
      </c>
      <c r="I317" s="100"/>
      <c r="J317" s="336"/>
    </row>
    <row r="318" spans="1:10" ht="16" x14ac:dyDescent="0.2">
      <c r="A318" s="345"/>
      <c r="B318" s="98">
        <f t="shared" si="53"/>
        <v>9</v>
      </c>
      <c r="C318" s="98">
        <f t="shared" si="53"/>
        <v>9</v>
      </c>
      <c r="D318" s="98" t="str">
        <f t="shared" si="52"/>
        <v>Petite Gâterie 9</v>
      </c>
      <c r="E318" s="102">
        <f t="shared" si="52"/>
        <v>1.55</v>
      </c>
      <c r="F318" s="102">
        <f t="shared" si="52"/>
        <v>5</v>
      </c>
      <c r="G318" s="103">
        <f t="shared" si="54"/>
        <v>0.31</v>
      </c>
      <c r="H318" s="104">
        <f t="shared" si="55"/>
        <v>3.45</v>
      </c>
      <c r="I318" s="100"/>
      <c r="J318" s="336"/>
    </row>
    <row r="319" spans="1:10" ht="17" thickBot="1" x14ac:dyDescent="0.25">
      <c r="A319" s="345"/>
      <c r="B319" s="98">
        <f t="shared" si="53"/>
        <v>10</v>
      </c>
      <c r="C319" s="98">
        <f t="shared" si="53"/>
        <v>10</v>
      </c>
      <c r="D319" s="98" t="str">
        <f t="shared" si="52"/>
        <v>Petite Gâterie 10</v>
      </c>
      <c r="E319" s="102">
        <f t="shared" si="52"/>
        <v>1.59</v>
      </c>
      <c r="F319" s="102">
        <f t="shared" si="52"/>
        <v>5.2</v>
      </c>
      <c r="G319" s="103">
        <f t="shared" si="54"/>
        <v>0.30576923076923079</v>
      </c>
      <c r="H319" s="104">
        <f t="shared" si="55"/>
        <v>3.6100000000000003</v>
      </c>
      <c r="I319" s="109">
        <f>+I312+1.1</f>
        <v>5.5</v>
      </c>
      <c r="J319" s="338"/>
    </row>
    <row r="320" spans="1:10" ht="16" x14ac:dyDescent="0.2">
      <c r="A320" s="345"/>
      <c r="B320" s="98">
        <f t="shared" si="53"/>
        <v>11</v>
      </c>
      <c r="C320" s="98">
        <f t="shared" si="53"/>
        <v>11</v>
      </c>
      <c r="D320" s="98" t="str">
        <f t="shared" si="52"/>
        <v>Petite Gâterie 11</v>
      </c>
      <c r="E320" s="102">
        <f t="shared" si="52"/>
        <v>1.83</v>
      </c>
      <c r="F320" s="102">
        <f t="shared" si="52"/>
        <v>6.4</v>
      </c>
      <c r="G320" s="103">
        <f t="shared" si="54"/>
        <v>0.28593750000000001</v>
      </c>
      <c r="H320" s="104">
        <f t="shared" si="55"/>
        <v>4.57</v>
      </c>
      <c r="I320" s="100">
        <f>+I319+0.01</f>
        <v>5.51</v>
      </c>
      <c r="J320" s="335">
        <f>2/12</f>
        <v>0.16666666666666666</v>
      </c>
    </row>
    <row r="321" spans="1:10" ht="16" x14ac:dyDescent="0.2">
      <c r="A321" s="345"/>
      <c r="B321" s="98">
        <f t="shared" si="53"/>
        <v>12</v>
      </c>
      <c r="C321" s="98">
        <f t="shared" si="53"/>
        <v>12</v>
      </c>
      <c r="D321" s="98" t="str">
        <f t="shared" si="52"/>
        <v>Petite Gâterie 12</v>
      </c>
      <c r="E321" s="102">
        <f t="shared" si="52"/>
        <v>1.87</v>
      </c>
      <c r="F321" s="102">
        <f t="shared" si="52"/>
        <v>6.6</v>
      </c>
      <c r="G321" s="103">
        <f t="shared" si="54"/>
        <v>0.28333333333333338</v>
      </c>
      <c r="H321" s="104">
        <f t="shared" si="55"/>
        <v>4.7299999999999995</v>
      </c>
      <c r="I321" s="100">
        <f>F321</f>
        <v>6.6</v>
      </c>
      <c r="J321" s="336"/>
    </row>
    <row r="322" spans="1:10" ht="19" x14ac:dyDescent="0.35">
      <c r="A322" s="345"/>
      <c r="B322" s="98"/>
      <c r="C322" s="98"/>
      <c r="D322" s="99" t="str">
        <f t="shared" si="52"/>
        <v>CmO—PmO—Food Cost—BmO</v>
      </c>
      <c r="E322" s="110">
        <f>SUM(E310:E321)/C321</f>
        <v>1.4816666666666667</v>
      </c>
      <c r="F322" s="111">
        <f>SUM(F310:F321)/C321</f>
        <v>4.8166666666666673</v>
      </c>
      <c r="G322" s="112">
        <f t="shared" si="54"/>
        <v>0.30761245674740478</v>
      </c>
      <c r="H322" s="113">
        <f t="shared" si="55"/>
        <v>3.3350000000000009</v>
      </c>
      <c r="I322" s="114"/>
      <c r="J322" s="98"/>
    </row>
    <row r="323" spans="1:10" ht="16" x14ac:dyDescent="0.2">
      <c r="A323" s="345"/>
      <c r="B323" s="98" t="s">
        <v>0</v>
      </c>
      <c r="C323" s="98"/>
      <c r="D323" s="98"/>
      <c r="E323" s="102"/>
      <c r="F323" s="102"/>
      <c r="G323" s="103"/>
      <c r="H323" s="115"/>
      <c r="I323" s="100"/>
      <c r="J323" s="98"/>
    </row>
    <row r="324" spans="1:10" ht="16" x14ac:dyDescent="0.2">
      <c r="A324" s="345"/>
      <c r="B324" s="98"/>
      <c r="C324" s="98"/>
      <c r="D324" s="99" t="str">
        <f t="shared" ref="D324:F337" si="56">D281</f>
        <v>Les Boissons  Gâteries</v>
      </c>
      <c r="E324" s="102"/>
      <c r="F324" s="102"/>
      <c r="G324" s="103"/>
      <c r="H324" s="115"/>
      <c r="I324" s="100"/>
      <c r="J324" s="98"/>
    </row>
    <row r="325" spans="1:10" ht="16" x14ac:dyDescent="0.2">
      <c r="A325" s="345"/>
      <c r="B325" s="98">
        <f t="shared" ref="B325:C336" si="57">B282</f>
        <v>13</v>
      </c>
      <c r="C325" s="98">
        <f t="shared" si="57"/>
        <v>1</v>
      </c>
      <c r="D325" s="98" t="str">
        <f t="shared" si="56"/>
        <v>Boisson spéciale numéro 1</v>
      </c>
      <c r="E325" s="102">
        <f t="shared" si="56"/>
        <v>2.2799999999999998</v>
      </c>
      <c r="F325" s="102">
        <f t="shared" si="56"/>
        <v>6.6</v>
      </c>
      <c r="G325" s="103">
        <f>E325/F325</f>
        <v>0.34545454545454546</v>
      </c>
      <c r="H325" s="104">
        <f>F325-E325</f>
        <v>4.32</v>
      </c>
      <c r="I325" s="100">
        <f>F325</f>
        <v>6.6</v>
      </c>
      <c r="J325" s="337">
        <f>3/12</f>
        <v>0.25</v>
      </c>
    </row>
    <row r="326" spans="1:10" ht="16" x14ac:dyDescent="0.2">
      <c r="A326" s="345"/>
      <c r="B326" s="98">
        <f t="shared" si="57"/>
        <v>14</v>
      </c>
      <c r="C326" s="98">
        <f t="shared" si="57"/>
        <v>2</v>
      </c>
      <c r="D326" s="98" t="str">
        <f t="shared" si="56"/>
        <v>Boisson spéciale numéro 2</v>
      </c>
      <c r="E326" s="102">
        <f t="shared" si="56"/>
        <v>2.66</v>
      </c>
      <c r="F326" s="102">
        <f t="shared" si="56"/>
        <v>7.6</v>
      </c>
      <c r="G326" s="103">
        <f>E326/F326</f>
        <v>0.35000000000000003</v>
      </c>
      <c r="H326" s="104">
        <f>F326-E326</f>
        <v>4.9399999999999995</v>
      </c>
      <c r="I326" s="100"/>
      <c r="J326" s="336"/>
    </row>
    <row r="327" spans="1:10" ht="17" thickBot="1" x14ac:dyDescent="0.25">
      <c r="A327" s="345"/>
      <c r="B327" s="98">
        <f t="shared" si="57"/>
        <v>15</v>
      </c>
      <c r="C327" s="98">
        <f t="shared" si="57"/>
        <v>3</v>
      </c>
      <c r="D327" s="98" t="str">
        <f t="shared" si="56"/>
        <v>Boisson spéciale numéro 3</v>
      </c>
      <c r="E327" s="102">
        <f t="shared" si="56"/>
        <v>2.74</v>
      </c>
      <c r="F327" s="102">
        <f t="shared" si="56"/>
        <v>8</v>
      </c>
      <c r="G327" s="103">
        <f>E327/F327</f>
        <v>0.34250000000000003</v>
      </c>
      <c r="H327" s="104">
        <f>F327-E327</f>
        <v>5.26</v>
      </c>
      <c r="I327" s="109">
        <f>+I325+2.2</f>
        <v>8.8000000000000007</v>
      </c>
      <c r="J327" s="338"/>
    </row>
    <row r="328" spans="1:10" ht="16" x14ac:dyDescent="0.2">
      <c r="A328" s="345"/>
      <c r="B328" s="98">
        <f t="shared" si="57"/>
        <v>16</v>
      </c>
      <c r="C328" s="98">
        <f t="shared" si="57"/>
        <v>4</v>
      </c>
      <c r="D328" s="98" t="str">
        <f t="shared" si="56"/>
        <v>Boisson spéciale numéro 4</v>
      </c>
      <c r="E328" s="102">
        <f t="shared" si="56"/>
        <v>2.72</v>
      </c>
      <c r="F328" s="102">
        <f t="shared" si="56"/>
        <v>9</v>
      </c>
      <c r="G328" s="103">
        <f t="shared" ref="G328:G335" si="58">E328/F328</f>
        <v>0.30222222222222223</v>
      </c>
      <c r="H328" s="104">
        <f t="shared" ref="H328:H335" si="59">F328-E328</f>
        <v>6.2799999999999994</v>
      </c>
      <c r="I328" s="100">
        <f>+I327+0.01</f>
        <v>8.81</v>
      </c>
      <c r="J328" s="335">
        <f>7/12</f>
        <v>0.58333333333333337</v>
      </c>
    </row>
    <row r="329" spans="1:10" ht="16" x14ac:dyDescent="0.2">
      <c r="A329" s="345"/>
      <c r="B329" s="98">
        <f t="shared" si="57"/>
        <v>17</v>
      </c>
      <c r="C329" s="98">
        <f t="shared" si="57"/>
        <v>5</v>
      </c>
      <c r="D329" s="98" t="str">
        <f t="shared" si="56"/>
        <v>Boisson spéciale numéro 5</v>
      </c>
      <c r="E329" s="102">
        <f t="shared" si="56"/>
        <v>2.76</v>
      </c>
      <c r="F329" s="102">
        <f t="shared" si="56"/>
        <v>9.1999999999999993</v>
      </c>
      <c r="G329" s="103">
        <f t="shared" si="58"/>
        <v>0.3</v>
      </c>
      <c r="H329" s="104">
        <f t="shared" si="59"/>
        <v>6.4399999999999995</v>
      </c>
      <c r="I329" s="100"/>
      <c r="J329" s="336"/>
    </row>
    <row r="330" spans="1:10" ht="16" x14ac:dyDescent="0.2">
      <c r="A330" s="345"/>
      <c r="B330" s="98">
        <f t="shared" si="57"/>
        <v>18</v>
      </c>
      <c r="C330" s="98">
        <f t="shared" si="57"/>
        <v>6</v>
      </c>
      <c r="D330" s="98" t="str">
        <f t="shared" si="56"/>
        <v>Boisson spéciale numéro 6</v>
      </c>
      <c r="E330" s="102">
        <f t="shared" si="56"/>
        <v>2.8</v>
      </c>
      <c r="F330" s="102">
        <f t="shared" si="56"/>
        <v>9.4</v>
      </c>
      <c r="G330" s="103">
        <f t="shared" si="58"/>
        <v>0.2978723404255319</v>
      </c>
      <c r="H330" s="104">
        <f t="shared" si="59"/>
        <v>6.6000000000000005</v>
      </c>
      <c r="I330" s="100"/>
      <c r="J330" s="336"/>
    </row>
    <row r="331" spans="1:10" ht="16" x14ac:dyDescent="0.2">
      <c r="A331" s="345"/>
      <c r="B331" s="98">
        <f t="shared" si="57"/>
        <v>19</v>
      </c>
      <c r="C331" s="98">
        <f t="shared" si="57"/>
        <v>7</v>
      </c>
      <c r="D331" s="98" t="str">
        <f t="shared" si="56"/>
        <v>Boisson spéciale numéro 7</v>
      </c>
      <c r="E331" s="102">
        <f t="shared" si="56"/>
        <v>2.82</v>
      </c>
      <c r="F331" s="102">
        <f t="shared" si="56"/>
        <v>9.6</v>
      </c>
      <c r="G331" s="103">
        <f t="shared" si="58"/>
        <v>0.29375000000000001</v>
      </c>
      <c r="H331" s="104">
        <f t="shared" si="59"/>
        <v>6.7799999999999994</v>
      </c>
      <c r="I331" s="100"/>
      <c r="J331" s="336"/>
    </row>
    <row r="332" spans="1:10" ht="16" x14ac:dyDescent="0.2">
      <c r="A332" s="345"/>
      <c r="B332" s="98">
        <f t="shared" si="57"/>
        <v>20</v>
      </c>
      <c r="C332" s="98">
        <f t="shared" si="57"/>
        <v>8</v>
      </c>
      <c r="D332" s="98" t="str">
        <f t="shared" si="56"/>
        <v>Boisson spéciale numéro 8</v>
      </c>
      <c r="E332" s="102">
        <f t="shared" si="56"/>
        <v>2.86</v>
      </c>
      <c r="F332" s="102">
        <f t="shared" si="56"/>
        <v>9.8000000000000007</v>
      </c>
      <c r="G332" s="103">
        <f t="shared" si="58"/>
        <v>0.2918367346938775</v>
      </c>
      <c r="H332" s="104">
        <f t="shared" si="59"/>
        <v>6.9400000000000013</v>
      </c>
      <c r="I332" s="100"/>
      <c r="J332" s="336"/>
    </row>
    <row r="333" spans="1:10" ht="16" x14ac:dyDescent="0.2">
      <c r="A333" s="345"/>
      <c r="B333" s="98">
        <f t="shared" si="57"/>
        <v>21</v>
      </c>
      <c r="C333" s="98">
        <f t="shared" si="57"/>
        <v>9</v>
      </c>
      <c r="D333" s="98" t="str">
        <f t="shared" si="56"/>
        <v>Boisson spéciale numéro 9</v>
      </c>
      <c r="E333" s="102">
        <f t="shared" si="56"/>
        <v>2.9</v>
      </c>
      <c r="F333" s="102">
        <f t="shared" si="56"/>
        <v>10</v>
      </c>
      <c r="G333" s="103">
        <f t="shared" si="58"/>
        <v>0.28999999999999998</v>
      </c>
      <c r="H333" s="104">
        <f t="shared" si="59"/>
        <v>7.1</v>
      </c>
      <c r="I333" s="100"/>
      <c r="J333" s="336"/>
    </row>
    <row r="334" spans="1:10" ht="17" thickBot="1" x14ac:dyDescent="0.25">
      <c r="A334" s="345"/>
      <c r="B334" s="98">
        <f t="shared" si="57"/>
        <v>22</v>
      </c>
      <c r="C334" s="98">
        <f t="shared" si="57"/>
        <v>10</v>
      </c>
      <c r="D334" s="98" t="str">
        <f t="shared" si="56"/>
        <v>Boisson spéciale numéro 10</v>
      </c>
      <c r="E334" s="102">
        <f t="shared" si="56"/>
        <v>2.98</v>
      </c>
      <c r="F334" s="102">
        <f t="shared" si="56"/>
        <v>10.4</v>
      </c>
      <c r="G334" s="103">
        <f t="shared" si="58"/>
        <v>0.28653846153846152</v>
      </c>
      <c r="H334" s="104">
        <f t="shared" si="59"/>
        <v>7.42</v>
      </c>
      <c r="I334" s="109">
        <f>+I327+2.2</f>
        <v>11</v>
      </c>
      <c r="J334" s="338"/>
    </row>
    <row r="335" spans="1:10" ht="16" x14ac:dyDescent="0.2">
      <c r="A335" s="345"/>
      <c r="B335" s="98">
        <f t="shared" si="57"/>
        <v>23</v>
      </c>
      <c r="C335" s="98">
        <f t="shared" si="57"/>
        <v>11</v>
      </c>
      <c r="D335" s="98" t="str">
        <f t="shared" si="56"/>
        <v>Boisson spéciale numéro 11</v>
      </c>
      <c r="E335" s="102">
        <f t="shared" si="56"/>
        <v>3.18</v>
      </c>
      <c r="F335" s="102">
        <f t="shared" si="56"/>
        <v>11.6</v>
      </c>
      <c r="G335" s="103">
        <f t="shared" si="58"/>
        <v>0.27413793103448281</v>
      </c>
      <c r="H335" s="104">
        <f t="shared" si="59"/>
        <v>8.42</v>
      </c>
      <c r="I335" s="100">
        <f>+I334+0.01</f>
        <v>11.01</v>
      </c>
      <c r="J335" s="335">
        <f>2/12</f>
        <v>0.16666666666666666</v>
      </c>
    </row>
    <row r="336" spans="1:10" ht="16" x14ac:dyDescent="0.2">
      <c r="A336" s="345"/>
      <c r="B336" s="98">
        <f t="shared" si="57"/>
        <v>24</v>
      </c>
      <c r="C336" s="98">
        <f t="shared" si="57"/>
        <v>12</v>
      </c>
      <c r="D336" s="98" t="str">
        <f t="shared" si="56"/>
        <v>Boisson spéciale numéro 12</v>
      </c>
      <c r="E336" s="102">
        <f t="shared" si="56"/>
        <v>3.48</v>
      </c>
      <c r="F336" s="102">
        <f t="shared" si="56"/>
        <v>13.2</v>
      </c>
      <c r="G336" s="103">
        <f>E336/F336</f>
        <v>0.26363636363636367</v>
      </c>
      <c r="H336" s="104">
        <f>F336-E336</f>
        <v>9.7199999999999989</v>
      </c>
      <c r="I336" s="100">
        <f>F336</f>
        <v>13.2</v>
      </c>
      <c r="J336" s="336"/>
    </row>
    <row r="337" spans="1:10" ht="19" x14ac:dyDescent="0.35">
      <c r="A337" s="345"/>
      <c r="B337" s="98"/>
      <c r="C337" s="98"/>
      <c r="D337" s="99" t="str">
        <f t="shared" si="56"/>
        <v>CmO—PmO—Beverage Cost—Marge brute</v>
      </c>
      <c r="E337" s="110">
        <f>SUM(E325:E336)/C336</f>
        <v>2.8483333333333332</v>
      </c>
      <c r="F337" s="111">
        <f>SUM(F325:F336)/C336</f>
        <v>9.5333333333333332</v>
      </c>
      <c r="G337" s="116">
        <f>E337/F337</f>
        <v>0.29877622377622376</v>
      </c>
      <c r="H337" s="113">
        <f>F337-E337</f>
        <v>6.6850000000000005</v>
      </c>
      <c r="I337" s="114"/>
      <c r="J337" s="98"/>
    </row>
    <row r="338" spans="1:10" ht="17" thickBot="1" x14ac:dyDescent="0.25">
      <c r="A338" s="345"/>
      <c r="B338" s="98"/>
      <c r="C338" s="98"/>
      <c r="D338" s="98"/>
      <c r="E338" s="102"/>
      <c r="F338" s="102"/>
      <c r="G338" s="101"/>
      <c r="H338" s="115"/>
      <c r="I338" s="98"/>
      <c r="J338" s="98"/>
    </row>
    <row r="339" spans="1:10" ht="21" thickTop="1" thickBot="1" x14ac:dyDescent="0.4">
      <c r="A339" s="345"/>
      <c r="B339" s="98"/>
      <c r="C339" s="117"/>
      <c r="D339" s="118"/>
      <c r="E339" s="119"/>
      <c r="F339" s="119"/>
      <c r="G339" s="120"/>
      <c r="H339" s="121"/>
      <c r="I339" s="122"/>
      <c r="J339" s="98"/>
    </row>
    <row r="340" spans="1:10" ht="18" thickTop="1" thickBot="1" x14ac:dyDescent="0.25">
      <c r="A340" s="345"/>
      <c r="B340" s="98"/>
      <c r="C340" s="123"/>
      <c r="D340" s="99"/>
      <c r="E340" s="124" t="str">
        <f>E297</f>
        <v>CmO</v>
      </c>
      <c r="F340" s="124" t="str">
        <f>F297</f>
        <v>PmO</v>
      </c>
      <c r="G340" s="125" t="str">
        <f>G297</f>
        <v>F&amp;BCmO</v>
      </c>
      <c r="H340" s="126" t="str">
        <f>H297</f>
        <v>BmO</v>
      </c>
      <c r="I340" s="127"/>
      <c r="J340" s="98"/>
    </row>
    <row r="341" spans="1:10" ht="17" thickTop="1" x14ac:dyDescent="0.2">
      <c r="A341" s="345"/>
      <c r="B341" s="98"/>
      <c r="C341" s="123"/>
      <c r="D341" s="128" t="str">
        <f>D298</f>
        <v>OFFRE TOTALE AVEC LES GÂTERIES ET LES CAFÉS GÂTERIES</v>
      </c>
      <c r="E341" s="102"/>
      <c r="F341" s="102"/>
      <c r="G341" s="101"/>
      <c r="H341" s="115"/>
      <c r="I341" s="129"/>
      <c r="J341" s="98"/>
    </row>
    <row r="342" spans="1:10" ht="19" x14ac:dyDescent="0.35">
      <c r="A342" s="345"/>
      <c r="B342" s="98"/>
      <c r="C342" s="123"/>
      <c r="D342" s="99" t="str">
        <f>D299</f>
        <v>CmO—PmO—F&amp;B cost moyen offert—Marge brute</v>
      </c>
      <c r="E342" s="111">
        <f>+(E310+E311+E312+E313+E314+E315+E316+E317+E318+E319+E320+E321+E325+E326+E327+E328+E329+E330+E331+E332+E333+E334+E335+E336)/B336</f>
        <v>2.1649999999999996</v>
      </c>
      <c r="F342" s="111">
        <f>+(F310+F311+F312+F313+F314+F315+F316+F317+F318+F319+F320+F321+F325+F326+F327+F328+F329+F330+F331+F332+F333+F334+F335+F336)/B336</f>
        <v>7.1749999999999998</v>
      </c>
      <c r="G342" s="130">
        <f>E342/F342</f>
        <v>0.30174216027874562</v>
      </c>
      <c r="H342" s="131">
        <f>F342-E342</f>
        <v>5.01</v>
      </c>
      <c r="I342" s="132"/>
      <c r="J342" s="98"/>
    </row>
    <row r="343" spans="1:10" ht="16" x14ac:dyDescent="0.2">
      <c r="A343" s="345"/>
      <c r="B343" s="98"/>
      <c r="C343" s="123"/>
      <c r="D343" s="98"/>
      <c r="E343" s="133"/>
      <c r="F343" s="133"/>
      <c r="G343" s="134"/>
      <c r="H343" s="135"/>
      <c r="I343" s="136"/>
      <c r="J343" s="98"/>
    </row>
    <row r="344" spans="1:10" ht="17" thickBot="1" x14ac:dyDescent="0.25">
      <c r="A344" s="345"/>
      <c r="B344" s="98"/>
      <c r="C344" s="137"/>
      <c r="D344" s="138"/>
      <c r="E344" s="139"/>
      <c r="F344" s="139"/>
      <c r="G344" s="140"/>
      <c r="H344" s="141"/>
      <c r="I344" s="142"/>
      <c r="J344" s="98"/>
    </row>
    <row r="345" spans="1:10" ht="14" thickTop="1" x14ac:dyDescent="0.15">
      <c r="A345" s="345"/>
    </row>
    <row r="346" spans="1:10" ht="22" x14ac:dyDescent="0.25">
      <c r="A346" s="345"/>
      <c r="D346" s="92" t="s">
        <v>103</v>
      </c>
      <c r="F346" s="93"/>
    </row>
    <row r="347" spans="1:10" ht="23" thickBot="1" x14ac:dyDescent="0.3">
      <c r="A347" s="345"/>
      <c r="D347" s="94"/>
    </row>
    <row r="348" spans="1:10" ht="23" customHeight="1" thickTop="1" x14ac:dyDescent="0.25">
      <c r="A348" s="345"/>
      <c r="D348" s="94"/>
      <c r="E348" s="339" t="str">
        <f>E305</f>
        <v>Coûts des ressources alimentaires pour chaque produit offert (voir recettes standardisées)</v>
      </c>
      <c r="F348" s="339" t="str">
        <f>F305</f>
        <v>Prix de vente par produit offert</v>
      </c>
      <c r="G348" s="339" t="str">
        <f>G305</f>
        <v xml:space="preserve">« Food &amp; Beverage Cost » </v>
      </c>
      <c r="H348" s="339" t="str">
        <f>H305</f>
        <v>Marge brute gagnée sur la vente de chaque produit offert</v>
      </c>
      <c r="I348" s="95"/>
    </row>
    <row r="349" spans="1:10" ht="22" x14ac:dyDescent="0.25">
      <c r="A349" s="345"/>
      <c r="D349" s="94"/>
      <c r="E349" s="340"/>
      <c r="F349" s="342"/>
      <c r="G349" s="342"/>
      <c r="H349" s="342"/>
      <c r="I349" s="96"/>
    </row>
    <row r="350" spans="1:10" ht="14" customHeight="1" thickBot="1" x14ac:dyDescent="0.2">
      <c r="A350" s="345"/>
      <c r="E350" s="341"/>
      <c r="F350" s="343"/>
      <c r="G350" s="343"/>
      <c r="H350" s="343"/>
      <c r="I350" s="96"/>
    </row>
    <row r="351" spans="1:10" ht="14" thickTop="1" x14ac:dyDescent="0.15">
      <c r="A351" s="345"/>
      <c r="B351" s="90" t="s">
        <v>0</v>
      </c>
      <c r="E351" s="93"/>
      <c r="F351" s="93"/>
      <c r="G351" s="97"/>
    </row>
    <row r="352" spans="1:10" ht="16" x14ac:dyDescent="0.2">
      <c r="A352" s="345"/>
      <c r="B352" s="98"/>
      <c r="C352" s="98"/>
      <c r="D352" s="99" t="str">
        <f t="shared" ref="D352:F365" si="60">D309</f>
        <v>Les Petites Gâteries</v>
      </c>
      <c r="E352" s="100"/>
      <c r="F352" s="100"/>
      <c r="G352" s="101"/>
      <c r="H352" s="98"/>
      <c r="I352" s="98"/>
      <c r="J352" s="98"/>
    </row>
    <row r="353" spans="1:10" ht="16" x14ac:dyDescent="0.2">
      <c r="A353" s="345"/>
      <c r="B353" s="98">
        <f t="shared" ref="B353:C364" si="61">B310</f>
        <v>1</v>
      </c>
      <c r="C353" s="98">
        <f t="shared" si="61"/>
        <v>1</v>
      </c>
      <c r="D353" s="98" t="str">
        <f t="shared" si="60"/>
        <v>Petite Gâterie 1</v>
      </c>
      <c r="E353" s="102">
        <f t="shared" si="60"/>
        <v>1.21</v>
      </c>
      <c r="F353" s="102">
        <f t="shared" si="60"/>
        <v>3.3</v>
      </c>
      <c r="G353" s="103">
        <f t="shared" ref="G353:G365" si="62">E353/F353</f>
        <v>0.3666666666666667</v>
      </c>
      <c r="H353" s="104">
        <f t="shared" ref="H353:H365" si="63">F353-E353</f>
        <v>2.09</v>
      </c>
      <c r="I353" s="100">
        <f>F353</f>
        <v>3.3</v>
      </c>
      <c r="J353" s="337">
        <f>3/12</f>
        <v>0.25</v>
      </c>
    </row>
    <row r="354" spans="1:10" ht="16" x14ac:dyDescent="0.2">
      <c r="A354" s="345"/>
      <c r="B354" s="98">
        <f t="shared" si="61"/>
        <v>2</v>
      </c>
      <c r="C354" s="98">
        <f t="shared" si="61"/>
        <v>2</v>
      </c>
      <c r="D354" s="98" t="str">
        <f t="shared" si="60"/>
        <v>Petite Gâterie 2</v>
      </c>
      <c r="E354" s="102">
        <f t="shared" si="60"/>
        <v>1.31</v>
      </c>
      <c r="F354" s="102">
        <f t="shared" si="60"/>
        <v>3.8</v>
      </c>
      <c r="G354" s="103">
        <f t="shared" si="62"/>
        <v>0.34473684210526317</v>
      </c>
      <c r="H354" s="104">
        <f t="shared" si="63"/>
        <v>2.4899999999999998</v>
      </c>
      <c r="I354" s="100"/>
      <c r="J354" s="336"/>
    </row>
    <row r="355" spans="1:10" ht="17" thickBot="1" x14ac:dyDescent="0.25">
      <c r="A355" s="345"/>
      <c r="B355" s="98">
        <f t="shared" si="61"/>
        <v>3</v>
      </c>
      <c r="C355" s="98">
        <f t="shared" si="61"/>
        <v>3</v>
      </c>
      <c r="D355" s="98" t="str">
        <f t="shared" si="60"/>
        <v>Petite Gâterie 3</v>
      </c>
      <c r="E355" s="102">
        <f t="shared" si="60"/>
        <v>1.35</v>
      </c>
      <c r="F355" s="102">
        <f t="shared" si="60"/>
        <v>4</v>
      </c>
      <c r="G355" s="103">
        <f t="shared" si="62"/>
        <v>0.33750000000000002</v>
      </c>
      <c r="H355" s="104">
        <f t="shared" si="63"/>
        <v>2.65</v>
      </c>
      <c r="I355" s="109">
        <f>+I353+1.1</f>
        <v>4.4000000000000004</v>
      </c>
      <c r="J355" s="338"/>
    </row>
    <row r="356" spans="1:10" ht="16" x14ac:dyDescent="0.2">
      <c r="A356" s="345"/>
      <c r="B356" s="98">
        <f t="shared" si="61"/>
        <v>4</v>
      </c>
      <c r="C356" s="98">
        <f t="shared" si="61"/>
        <v>4</v>
      </c>
      <c r="D356" s="98" t="str">
        <f t="shared" si="60"/>
        <v>Petite Gâterie 4</v>
      </c>
      <c r="E356" s="102">
        <f t="shared" si="60"/>
        <v>1.4</v>
      </c>
      <c r="F356" s="102">
        <f t="shared" si="60"/>
        <v>4.5</v>
      </c>
      <c r="G356" s="103">
        <f t="shared" si="62"/>
        <v>0.31111111111111112</v>
      </c>
      <c r="H356" s="104">
        <f t="shared" si="63"/>
        <v>3.1</v>
      </c>
      <c r="I356" s="100">
        <f>+I355+0.01</f>
        <v>4.41</v>
      </c>
      <c r="J356" s="335">
        <f>7/12</f>
        <v>0.58333333333333337</v>
      </c>
    </row>
    <row r="357" spans="1:10" ht="16" x14ac:dyDescent="0.2">
      <c r="A357" s="345"/>
      <c r="B357" s="98">
        <f t="shared" si="61"/>
        <v>5</v>
      </c>
      <c r="C357" s="98">
        <f t="shared" si="61"/>
        <v>5</v>
      </c>
      <c r="D357" s="98" t="str">
        <f t="shared" si="60"/>
        <v>Petite Gâterie 5</v>
      </c>
      <c r="E357" s="102">
        <f t="shared" si="60"/>
        <v>1.24</v>
      </c>
      <c r="F357" s="102">
        <f t="shared" si="60"/>
        <v>4.5999999999999996</v>
      </c>
      <c r="G357" s="103">
        <f t="shared" si="62"/>
        <v>0.26956521739130435</v>
      </c>
      <c r="H357" s="104">
        <f t="shared" si="63"/>
        <v>3.3599999999999994</v>
      </c>
      <c r="I357" s="100"/>
      <c r="J357" s="336"/>
    </row>
    <row r="358" spans="1:10" ht="16" x14ac:dyDescent="0.2">
      <c r="A358" s="345"/>
      <c r="B358" s="98">
        <f t="shared" si="61"/>
        <v>6</v>
      </c>
      <c r="C358" s="98">
        <f t="shared" si="61"/>
        <v>6</v>
      </c>
      <c r="D358" s="98" t="str">
        <f t="shared" si="60"/>
        <v>Petite Gâterie 6</v>
      </c>
      <c r="E358" s="102">
        <f t="shared" si="60"/>
        <v>1.39</v>
      </c>
      <c r="F358" s="102">
        <f t="shared" si="60"/>
        <v>4.7</v>
      </c>
      <c r="G358" s="103">
        <f t="shared" si="62"/>
        <v>0.29574468085106381</v>
      </c>
      <c r="H358" s="104">
        <f t="shared" si="63"/>
        <v>3.3100000000000005</v>
      </c>
      <c r="I358" s="100"/>
      <c r="J358" s="336"/>
    </row>
    <row r="359" spans="1:10" ht="16" x14ac:dyDescent="0.2">
      <c r="A359" s="345"/>
      <c r="B359" s="98">
        <f t="shared" si="61"/>
        <v>7</v>
      </c>
      <c r="C359" s="98">
        <f t="shared" si="61"/>
        <v>7</v>
      </c>
      <c r="D359" s="98" t="str">
        <f t="shared" si="60"/>
        <v>Petite Gâterie 7</v>
      </c>
      <c r="E359" s="102">
        <f t="shared" si="60"/>
        <v>1.51</v>
      </c>
      <c r="F359" s="102">
        <f t="shared" si="60"/>
        <v>4.8</v>
      </c>
      <c r="G359" s="103">
        <f t="shared" si="62"/>
        <v>0.31458333333333333</v>
      </c>
      <c r="H359" s="104">
        <f t="shared" si="63"/>
        <v>3.29</v>
      </c>
      <c r="I359" s="100"/>
      <c r="J359" s="336"/>
    </row>
    <row r="360" spans="1:10" ht="16" x14ac:dyDescent="0.2">
      <c r="A360" s="345"/>
      <c r="B360" s="98">
        <f t="shared" si="61"/>
        <v>8</v>
      </c>
      <c r="C360" s="98">
        <f t="shared" si="61"/>
        <v>8</v>
      </c>
      <c r="D360" s="98" t="str">
        <f t="shared" si="60"/>
        <v>Petite Gâterie 8</v>
      </c>
      <c r="E360" s="102">
        <f t="shared" si="60"/>
        <v>1.53</v>
      </c>
      <c r="F360" s="102">
        <f t="shared" si="60"/>
        <v>4.9000000000000004</v>
      </c>
      <c r="G360" s="103">
        <f t="shared" si="62"/>
        <v>0.31224489795918364</v>
      </c>
      <c r="H360" s="104">
        <f t="shared" si="63"/>
        <v>3.37</v>
      </c>
      <c r="I360" s="100"/>
      <c r="J360" s="336"/>
    </row>
    <row r="361" spans="1:10" ht="16" x14ac:dyDescent="0.2">
      <c r="A361" s="345"/>
      <c r="B361" s="98">
        <f t="shared" si="61"/>
        <v>9</v>
      </c>
      <c r="C361" s="98">
        <f t="shared" si="61"/>
        <v>9</v>
      </c>
      <c r="D361" s="98" t="str">
        <f t="shared" si="60"/>
        <v>Petite Gâterie 9</v>
      </c>
      <c r="E361" s="102">
        <f t="shared" si="60"/>
        <v>1.55</v>
      </c>
      <c r="F361" s="102">
        <f t="shared" si="60"/>
        <v>5</v>
      </c>
      <c r="G361" s="103">
        <f t="shared" si="62"/>
        <v>0.31</v>
      </c>
      <c r="H361" s="104">
        <f t="shared" si="63"/>
        <v>3.45</v>
      </c>
      <c r="I361" s="100"/>
      <c r="J361" s="336"/>
    </row>
    <row r="362" spans="1:10" ht="17" thickBot="1" x14ac:dyDescent="0.25">
      <c r="A362" s="345"/>
      <c r="B362" s="98">
        <f t="shared" si="61"/>
        <v>10</v>
      </c>
      <c r="C362" s="98">
        <f t="shared" si="61"/>
        <v>10</v>
      </c>
      <c r="D362" s="98" t="str">
        <f t="shared" si="60"/>
        <v>Petite Gâterie 10</v>
      </c>
      <c r="E362" s="102">
        <f t="shared" si="60"/>
        <v>1.59</v>
      </c>
      <c r="F362" s="102">
        <f t="shared" si="60"/>
        <v>5.2</v>
      </c>
      <c r="G362" s="103">
        <f t="shared" si="62"/>
        <v>0.30576923076923079</v>
      </c>
      <c r="H362" s="104">
        <f t="shared" si="63"/>
        <v>3.6100000000000003</v>
      </c>
      <c r="I362" s="109">
        <f>+I355+1.1</f>
        <v>5.5</v>
      </c>
      <c r="J362" s="338"/>
    </row>
    <row r="363" spans="1:10" ht="16" x14ac:dyDescent="0.2">
      <c r="A363" s="345"/>
      <c r="B363" s="98">
        <f t="shared" si="61"/>
        <v>11</v>
      </c>
      <c r="C363" s="98">
        <f t="shared" si="61"/>
        <v>11</v>
      </c>
      <c r="D363" s="98" t="str">
        <f t="shared" si="60"/>
        <v>Petite Gâterie 11</v>
      </c>
      <c r="E363" s="102">
        <f t="shared" si="60"/>
        <v>1.83</v>
      </c>
      <c r="F363" s="102">
        <f t="shared" si="60"/>
        <v>6.4</v>
      </c>
      <c r="G363" s="103">
        <f t="shared" si="62"/>
        <v>0.28593750000000001</v>
      </c>
      <c r="H363" s="104">
        <f t="shared" si="63"/>
        <v>4.57</v>
      </c>
      <c r="I363" s="100">
        <f>+I362+0.01</f>
        <v>5.51</v>
      </c>
      <c r="J363" s="335">
        <f>2/12</f>
        <v>0.16666666666666666</v>
      </c>
    </row>
    <row r="364" spans="1:10" ht="16" x14ac:dyDescent="0.2">
      <c r="A364" s="345"/>
      <c r="B364" s="98">
        <f t="shared" si="61"/>
        <v>12</v>
      </c>
      <c r="C364" s="98">
        <f t="shared" si="61"/>
        <v>12</v>
      </c>
      <c r="D364" s="98" t="str">
        <f t="shared" si="60"/>
        <v>Petite Gâterie 12</v>
      </c>
      <c r="E364" s="102">
        <f t="shared" si="60"/>
        <v>1.87</v>
      </c>
      <c r="F364" s="102">
        <f t="shared" si="60"/>
        <v>6.6</v>
      </c>
      <c r="G364" s="103">
        <f t="shared" si="62"/>
        <v>0.28333333333333338</v>
      </c>
      <c r="H364" s="104">
        <f t="shared" si="63"/>
        <v>4.7299999999999995</v>
      </c>
      <c r="I364" s="100">
        <f>F364</f>
        <v>6.6</v>
      </c>
      <c r="J364" s="336"/>
    </row>
    <row r="365" spans="1:10" ht="19" x14ac:dyDescent="0.35">
      <c r="A365" s="345"/>
      <c r="B365" s="98"/>
      <c r="C365" s="98"/>
      <c r="D365" s="99" t="str">
        <f t="shared" si="60"/>
        <v>CmO—PmO—Food Cost—BmO</v>
      </c>
      <c r="E365" s="110">
        <f>SUM(E353:E364)/C364</f>
        <v>1.4816666666666667</v>
      </c>
      <c r="F365" s="111">
        <f>SUM(F353:F364)/C364</f>
        <v>4.8166666666666673</v>
      </c>
      <c r="G365" s="112">
        <f t="shared" si="62"/>
        <v>0.30761245674740478</v>
      </c>
      <c r="H365" s="113">
        <f t="shared" si="63"/>
        <v>3.3350000000000009</v>
      </c>
      <c r="I365" s="114"/>
      <c r="J365" s="98"/>
    </row>
    <row r="366" spans="1:10" ht="16" x14ac:dyDescent="0.2">
      <c r="A366" s="345"/>
      <c r="B366" s="98" t="s">
        <v>0</v>
      </c>
      <c r="C366" s="98"/>
      <c r="D366" s="98"/>
      <c r="E366" s="102"/>
      <c r="F366" s="102"/>
      <c r="G366" s="103"/>
      <c r="H366" s="115"/>
      <c r="I366" s="100"/>
      <c r="J366" s="98"/>
    </row>
    <row r="367" spans="1:10" ht="16" x14ac:dyDescent="0.2">
      <c r="A367" s="345"/>
      <c r="B367" s="98"/>
      <c r="C367" s="98"/>
      <c r="D367" s="99" t="str">
        <f t="shared" ref="D367:F380" si="64">D324</f>
        <v>Les Boissons  Gâteries</v>
      </c>
      <c r="E367" s="102"/>
      <c r="F367" s="102"/>
      <c r="G367" s="103"/>
      <c r="H367" s="115"/>
      <c r="I367" s="100"/>
      <c r="J367" s="98"/>
    </row>
    <row r="368" spans="1:10" ht="16" x14ac:dyDescent="0.2">
      <c r="A368" s="345"/>
      <c r="B368" s="98">
        <f t="shared" ref="B368:C379" si="65">B325</f>
        <v>13</v>
      </c>
      <c r="C368" s="98">
        <f t="shared" si="65"/>
        <v>1</v>
      </c>
      <c r="D368" s="98" t="str">
        <f t="shared" si="64"/>
        <v>Boisson spéciale numéro 1</v>
      </c>
      <c r="E368" s="102">
        <f t="shared" si="64"/>
        <v>2.2799999999999998</v>
      </c>
      <c r="F368" s="102">
        <f t="shared" si="64"/>
        <v>6.6</v>
      </c>
      <c r="G368" s="103">
        <f>E368/F368</f>
        <v>0.34545454545454546</v>
      </c>
      <c r="H368" s="104">
        <f>F368-E368</f>
        <v>4.32</v>
      </c>
      <c r="I368" s="100">
        <f>F368</f>
        <v>6.6</v>
      </c>
      <c r="J368" s="337">
        <f>3/12</f>
        <v>0.25</v>
      </c>
    </row>
    <row r="369" spans="1:10" ht="16" x14ac:dyDescent="0.2">
      <c r="A369" s="345"/>
      <c r="B369" s="98">
        <f t="shared" si="65"/>
        <v>14</v>
      </c>
      <c r="C369" s="98">
        <f t="shared" si="65"/>
        <v>2</v>
      </c>
      <c r="D369" s="98" t="str">
        <f t="shared" si="64"/>
        <v>Boisson spéciale numéro 2</v>
      </c>
      <c r="E369" s="102">
        <f t="shared" si="64"/>
        <v>2.66</v>
      </c>
      <c r="F369" s="102">
        <f t="shared" si="64"/>
        <v>7.6</v>
      </c>
      <c r="G369" s="103">
        <f>E369/F369</f>
        <v>0.35000000000000003</v>
      </c>
      <c r="H369" s="104">
        <f>F369-E369</f>
        <v>4.9399999999999995</v>
      </c>
      <c r="I369" s="100"/>
      <c r="J369" s="336"/>
    </row>
    <row r="370" spans="1:10" ht="17" thickBot="1" x14ac:dyDescent="0.25">
      <c r="A370" s="345"/>
      <c r="B370" s="98">
        <f t="shared" si="65"/>
        <v>15</v>
      </c>
      <c r="C370" s="98">
        <f t="shared" si="65"/>
        <v>3</v>
      </c>
      <c r="D370" s="98" t="str">
        <f t="shared" si="64"/>
        <v>Boisson spéciale numéro 3</v>
      </c>
      <c r="E370" s="102">
        <f t="shared" si="64"/>
        <v>2.74</v>
      </c>
      <c r="F370" s="102">
        <f t="shared" si="64"/>
        <v>8</v>
      </c>
      <c r="G370" s="103">
        <f>E370/F370</f>
        <v>0.34250000000000003</v>
      </c>
      <c r="H370" s="104">
        <f>F370-E370</f>
        <v>5.26</v>
      </c>
      <c r="I370" s="109">
        <f>+I368+2.2</f>
        <v>8.8000000000000007</v>
      </c>
      <c r="J370" s="338"/>
    </row>
    <row r="371" spans="1:10" ht="16" x14ac:dyDescent="0.2">
      <c r="A371" s="345"/>
      <c r="B371" s="98">
        <f t="shared" si="65"/>
        <v>16</v>
      </c>
      <c r="C371" s="98">
        <f t="shared" si="65"/>
        <v>4</v>
      </c>
      <c r="D371" s="98" t="str">
        <f t="shared" si="64"/>
        <v>Boisson spéciale numéro 4</v>
      </c>
      <c r="E371" s="102">
        <f t="shared" si="64"/>
        <v>2.72</v>
      </c>
      <c r="F371" s="102">
        <f t="shared" si="64"/>
        <v>9</v>
      </c>
      <c r="G371" s="103">
        <f t="shared" ref="G371:G378" si="66">E371/F371</f>
        <v>0.30222222222222223</v>
      </c>
      <c r="H371" s="104">
        <f t="shared" ref="H371:H378" si="67">F371-E371</f>
        <v>6.2799999999999994</v>
      </c>
      <c r="I371" s="100">
        <f>+I370+0.01</f>
        <v>8.81</v>
      </c>
      <c r="J371" s="335">
        <f>7/12</f>
        <v>0.58333333333333337</v>
      </c>
    </row>
    <row r="372" spans="1:10" ht="16" x14ac:dyDescent="0.2">
      <c r="A372" s="345"/>
      <c r="B372" s="98">
        <f t="shared" si="65"/>
        <v>17</v>
      </c>
      <c r="C372" s="98">
        <f t="shared" si="65"/>
        <v>5</v>
      </c>
      <c r="D372" s="98" t="str">
        <f t="shared" si="64"/>
        <v>Boisson spéciale numéro 5</v>
      </c>
      <c r="E372" s="102">
        <f t="shared" si="64"/>
        <v>2.76</v>
      </c>
      <c r="F372" s="102">
        <f t="shared" si="64"/>
        <v>9.1999999999999993</v>
      </c>
      <c r="G372" s="103">
        <f t="shared" si="66"/>
        <v>0.3</v>
      </c>
      <c r="H372" s="104">
        <f t="shared" si="67"/>
        <v>6.4399999999999995</v>
      </c>
      <c r="I372" s="100"/>
      <c r="J372" s="336"/>
    </row>
    <row r="373" spans="1:10" ht="16" x14ac:dyDescent="0.2">
      <c r="A373" s="345"/>
      <c r="B373" s="98">
        <f t="shared" si="65"/>
        <v>18</v>
      </c>
      <c r="C373" s="98">
        <f t="shared" si="65"/>
        <v>6</v>
      </c>
      <c r="D373" s="98" t="str">
        <f t="shared" si="64"/>
        <v>Boisson spéciale numéro 6</v>
      </c>
      <c r="E373" s="102">
        <f t="shared" si="64"/>
        <v>2.8</v>
      </c>
      <c r="F373" s="102">
        <f t="shared" si="64"/>
        <v>9.4</v>
      </c>
      <c r="G373" s="103">
        <f t="shared" si="66"/>
        <v>0.2978723404255319</v>
      </c>
      <c r="H373" s="104">
        <f t="shared" si="67"/>
        <v>6.6000000000000005</v>
      </c>
      <c r="I373" s="100"/>
      <c r="J373" s="336"/>
    </row>
    <row r="374" spans="1:10" ht="16" x14ac:dyDescent="0.2">
      <c r="A374" s="345"/>
      <c r="B374" s="98">
        <f t="shared" si="65"/>
        <v>19</v>
      </c>
      <c r="C374" s="98">
        <f t="shared" si="65"/>
        <v>7</v>
      </c>
      <c r="D374" s="98" t="str">
        <f t="shared" si="64"/>
        <v>Boisson spéciale numéro 7</v>
      </c>
      <c r="E374" s="102">
        <f t="shared" si="64"/>
        <v>2.82</v>
      </c>
      <c r="F374" s="102">
        <f t="shared" si="64"/>
        <v>9.6</v>
      </c>
      <c r="G374" s="103">
        <f t="shared" si="66"/>
        <v>0.29375000000000001</v>
      </c>
      <c r="H374" s="104">
        <f t="shared" si="67"/>
        <v>6.7799999999999994</v>
      </c>
      <c r="I374" s="100"/>
      <c r="J374" s="336"/>
    </row>
    <row r="375" spans="1:10" ht="16" x14ac:dyDescent="0.2">
      <c r="A375" s="345"/>
      <c r="B375" s="98">
        <f t="shared" si="65"/>
        <v>20</v>
      </c>
      <c r="C375" s="98">
        <f t="shared" si="65"/>
        <v>8</v>
      </c>
      <c r="D375" s="98" t="str">
        <f t="shared" si="64"/>
        <v>Boisson spéciale numéro 8</v>
      </c>
      <c r="E375" s="102">
        <f t="shared" si="64"/>
        <v>2.86</v>
      </c>
      <c r="F375" s="102">
        <f t="shared" si="64"/>
        <v>9.8000000000000007</v>
      </c>
      <c r="G375" s="103">
        <f t="shared" si="66"/>
        <v>0.2918367346938775</v>
      </c>
      <c r="H375" s="104">
        <f t="shared" si="67"/>
        <v>6.9400000000000013</v>
      </c>
      <c r="I375" s="100"/>
      <c r="J375" s="336"/>
    </row>
    <row r="376" spans="1:10" ht="16" x14ac:dyDescent="0.2">
      <c r="A376" s="345"/>
      <c r="B376" s="98">
        <f t="shared" si="65"/>
        <v>21</v>
      </c>
      <c r="C376" s="98">
        <f t="shared" si="65"/>
        <v>9</v>
      </c>
      <c r="D376" s="98" t="str">
        <f t="shared" si="64"/>
        <v>Boisson spéciale numéro 9</v>
      </c>
      <c r="E376" s="102">
        <f t="shared" si="64"/>
        <v>2.9</v>
      </c>
      <c r="F376" s="102">
        <f t="shared" si="64"/>
        <v>10</v>
      </c>
      <c r="G376" s="103">
        <f t="shared" si="66"/>
        <v>0.28999999999999998</v>
      </c>
      <c r="H376" s="104">
        <f t="shared" si="67"/>
        <v>7.1</v>
      </c>
      <c r="I376" s="100"/>
      <c r="J376" s="336"/>
    </row>
    <row r="377" spans="1:10" ht="17" thickBot="1" x14ac:dyDescent="0.25">
      <c r="A377" s="345"/>
      <c r="B377" s="98">
        <f t="shared" si="65"/>
        <v>22</v>
      </c>
      <c r="C377" s="98">
        <f t="shared" si="65"/>
        <v>10</v>
      </c>
      <c r="D377" s="98" t="str">
        <f t="shared" si="64"/>
        <v>Boisson spéciale numéro 10</v>
      </c>
      <c r="E377" s="102">
        <f t="shared" si="64"/>
        <v>2.98</v>
      </c>
      <c r="F377" s="102">
        <f t="shared" si="64"/>
        <v>10.4</v>
      </c>
      <c r="G377" s="103">
        <f t="shared" si="66"/>
        <v>0.28653846153846152</v>
      </c>
      <c r="H377" s="104">
        <f t="shared" si="67"/>
        <v>7.42</v>
      </c>
      <c r="I377" s="109">
        <f>+I370+2.2</f>
        <v>11</v>
      </c>
      <c r="J377" s="338"/>
    </row>
    <row r="378" spans="1:10" ht="16" x14ac:dyDescent="0.2">
      <c r="A378" s="345"/>
      <c r="B378" s="98">
        <f t="shared" si="65"/>
        <v>23</v>
      </c>
      <c r="C378" s="98">
        <f t="shared" si="65"/>
        <v>11</v>
      </c>
      <c r="D378" s="98" t="str">
        <f t="shared" si="64"/>
        <v>Boisson spéciale numéro 11</v>
      </c>
      <c r="E378" s="102">
        <f t="shared" si="64"/>
        <v>3.18</v>
      </c>
      <c r="F378" s="102">
        <f t="shared" si="64"/>
        <v>11.6</v>
      </c>
      <c r="G378" s="103">
        <f t="shared" si="66"/>
        <v>0.27413793103448281</v>
      </c>
      <c r="H378" s="104">
        <f t="shared" si="67"/>
        <v>8.42</v>
      </c>
      <c r="I378" s="100">
        <f>+I377+0.01</f>
        <v>11.01</v>
      </c>
      <c r="J378" s="335">
        <f>2/12</f>
        <v>0.16666666666666666</v>
      </c>
    </row>
    <row r="379" spans="1:10" ht="16" x14ac:dyDescent="0.2">
      <c r="A379" s="345"/>
      <c r="B379" s="98">
        <f t="shared" si="65"/>
        <v>24</v>
      </c>
      <c r="C379" s="98">
        <f t="shared" si="65"/>
        <v>12</v>
      </c>
      <c r="D379" s="98" t="str">
        <f t="shared" si="64"/>
        <v>Boisson spéciale numéro 12</v>
      </c>
      <c r="E379" s="102">
        <f t="shared" si="64"/>
        <v>3.48</v>
      </c>
      <c r="F379" s="102">
        <f t="shared" si="64"/>
        <v>13.2</v>
      </c>
      <c r="G379" s="103">
        <f>E379/F379</f>
        <v>0.26363636363636367</v>
      </c>
      <c r="H379" s="104">
        <f>F379-E379</f>
        <v>9.7199999999999989</v>
      </c>
      <c r="I379" s="100">
        <f>F379</f>
        <v>13.2</v>
      </c>
      <c r="J379" s="336"/>
    </row>
    <row r="380" spans="1:10" ht="19" x14ac:dyDescent="0.35">
      <c r="A380" s="345"/>
      <c r="B380" s="98"/>
      <c r="C380" s="98"/>
      <c r="D380" s="99" t="str">
        <f t="shared" si="64"/>
        <v>CmO—PmO—Beverage Cost—Marge brute</v>
      </c>
      <c r="E380" s="110">
        <f>SUM(E368:E379)/C379</f>
        <v>2.8483333333333332</v>
      </c>
      <c r="F380" s="111">
        <f>SUM(F368:F379)/C379</f>
        <v>9.5333333333333332</v>
      </c>
      <c r="G380" s="116">
        <f>E380/F380</f>
        <v>0.29877622377622376</v>
      </c>
      <c r="H380" s="113">
        <f>F380-E380</f>
        <v>6.6850000000000005</v>
      </c>
      <c r="I380" s="114"/>
      <c r="J380" s="98"/>
    </row>
    <row r="381" spans="1:10" ht="17" thickBot="1" x14ac:dyDescent="0.25">
      <c r="A381" s="345"/>
      <c r="B381" s="98"/>
      <c r="C381" s="98"/>
      <c r="D381" s="98"/>
      <c r="E381" s="102"/>
      <c r="F381" s="102"/>
      <c r="G381" s="101"/>
      <c r="H381" s="115"/>
      <c r="I381" s="98"/>
      <c r="J381" s="98"/>
    </row>
    <row r="382" spans="1:10" ht="21" thickTop="1" thickBot="1" x14ac:dyDescent="0.4">
      <c r="A382" s="345"/>
      <c r="B382" s="98"/>
      <c r="C382" s="117"/>
      <c r="D382" s="118"/>
      <c r="E382" s="119"/>
      <c r="F382" s="119"/>
      <c r="G382" s="120"/>
      <c r="H382" s="121"/>
      <c r="I382" s="122"/>
      <c r="J382" s="98"/>
    </row>
    <row r="383" spans="1:10" ht="18" thickTop="1" thickBot="1" x14ac:dyDescent="0.25">
      <c r="A383" s="345"/>
      <c r="B383" s="98"/>
      <c r="C383" s="123"/>
      <c r="D383" s="99"/>
      <c r="E383" s="124" t="str">
        <f>E340</f>
        <v>CmO</v>
      </c>
      <c r="F383" s="124" t="str">
        <f>F340</f>
        <v>PmO</v>
      </c>
      <c r="G383" s="125" t="str">
        <f>G340</f>
        <v>F&amp;BCmO</v>
      </c>
      <c r="H383" s="126" t="str">
        <f>H340</f>
        <v>BmO</v>
      </c>
      <c r="I383" s="127"/>
      <c r="J383" s="98"/>
    </row>
    <row r="384" spans="1:10" ht="17" thickTop="1" x14ac:dyDescent="0.2">
      <c r="A384" s="345"/>
      <c r="B384" s="98"/>
      <c r="C384" s="123"/>
      <c r="D384" s="128" t="str">
        <f>D341</f>
        <v>OFFRE TOTALE AVEC LES GÂTERIES ET LES CAFÉS GÂTERIES</v>
      </c>
      <c r="E384" s="102"/>
      <c r="F384" s="102"/>
      <c r="G384" s="101"/>
      <c r="H384" s="115"/>
      <c r="I384" s="129"/>
      <c r="J384" s="98"/>
    </row>
    <row r="385" spans="1:10" ht="19" x14ac:dyDescent="0.35">
      <c r="A385" s="345"/>
      <c r="B385" s="98"/>
      <c r="C385" s="123"/>
      <c r="D385" s="99" t="str">
        <f>D342</f>
        <v>CmO—PmO—F&amp;B cost moyen offert—Marge brute</v>
      </c>
      <c r="E385" s="111">
        <f>+(E353+E354+E355+E356+E357+E358+E359+E360+E361+E362+E363+E364+E368+E369+E370+E371+E372+E373+E374+E375+E376+E377+E378+E379)/B379</f>
        <v>2.1649999999999996</v>
      </c>
      <c r="F385" s="111">
        <f>+(F353+F354+F355+F356+F357+F358+F359+F360+F361+F362+F363+F364+F368+F369+F370+F371+F372+F373+F374+F375+F376+F377+F378+F379)/B379</f>
        <v>7.1749999999999998</v>
      </c>
      <c r="G385" s="130">
        <f>E385/F385</f>
        <v>0.30174216027874562</v>
      </c>
      <c r="H385" s="131">
        <f>F385-E385</f>
        <v>5.01</v>
      </c>
      <c r="I385" s="132"/>
      <c r="J385" s="98"/>
    </row>
    <row r="386" spans="1:10" ht="16" x14ac:dyDescent="0.2">
      <c r="A386" s="345"/>
      <c r="B386" s="98"/>
      <c r="C386" s="123"/>
      <c r="D386" s="98"/>
      <c r="E386" s="133"/>
      <c r="F386" s="133"/>
      <c r="G386" s="134"/>
      <c r="H386" s="135"/>
      <c r="I386" s="136"/>
      <c r="J386" s="98"/>
    </row>
    <row r="387" spans="1:10" ht="17" thickBot="1" x14ac:dyDescent="0.25">
      <c r="A387" s="345"/>
      <c r="B387" s="98"/>
      <c r="C387" s="137"/>
      <c r="D387" s="138"/>
      <c r="E387" s="139"/>
      <c r="F387" s="139"/>
      <c r="G387" s="140"/>
      <c r="H387" s="141"/>
      <c r="I387" s="142"/>
      <c r="J387" s="98"/>
    </row>
    <row r="388" spans="1:10" ht="14" thickTop="1" x14ac:dyDescent="0.15">
      <c r="A388" s="345"/>
    </row>
    <row r="389" spans="1:10" ht="22" x14ac:dyDescent="0.25">
      <c r="A389" s="345"/>
      <c r="D389" s="92" t="s">
        <v>104</v>
      </c>
      <c r="F389" s="93"/>
    </row>
    <row r="390" spans="1:10" ht="23" thickBot="1" x14ac:dyDescent="0.3">
      <c r="A390" s="345"/>
      <c r="D390" s="94"/>
    </row>
    <row r="391" spans="1:10" ht="23" customHeight="1" thickTop="1" x14ac:dyDescent="0.25">
      <c r="A391" s="345"/>
      <c r="D391" s="94"/>
      <c r="E391" s="339" t="str">
        <f>E348</f>
        <v>Coûts des ressources alimentaires pour chaque produit offert (voir recettes standardisées)</v>
      </c>
      <c r="F391" s="339" t="str">
        <f>F348</f>
        <v>Prix de vente par produit offert</v>
      </c>
      <c r="G391" s="339" t="str">
        <f>G348</f>
        <v xml:space="preserve">« Food &amp; Beverage Cost » </v>
      </c>
      <c r="H391" s="339" t="str">
        <f>H348</f>
        <v>Marge brute gagnée sur la vente de chaque produit offert</v>
      </c>
      <c r="I391" s="95"/>
    </row>
    <row r="392" spans="1:10" ht="22" x14ac:dyDescent="0.25">
      <c r="A392" s="345"/>
      <c r="D392" s="94"/>
      <c r="E392" s="340"/>
      <c r="F392" s="342"/>
      <c r="G392" s="342"/>
      <c r="H392" s="342"/>
      <c r="I392" s="96"/>
    </row>
    <row r="393" spans="1:10" ht="14" customHeight="1" thickBot="1" x14ac:dyDescent="0.2">
      <c r="A393" s="345"/>
      <c r="E393" s="341"/>
      <c r="F393" s="343"/>
      <c r="G393" s="343"/>
      <c r="H393" s="343"/>
      <c r="I393" s="96"/>
    </row>
    <row r="394" spans="1:10" ht="14" thickTop="1" x14ac:dyDescent="0.15">
      <c r="A394" s="345"/>
      <c r="B394" s="90" t="s">
        <v>0</v>
      </c>
      <c r="E394" s="93"/>
      <c r="F394" s="93"/>
      <c r="G394" s="97"/>
    </row>
    <row r="395" spans="1:10" ht="16" x14ac:dyDescent="0.2">
      <c r="A395" s="345"/>
      <c r="B395" s="98"/>
      <c r="C395" s="98"/>
      <c r="D395" s="99" t="str">
        <f t="shared" ref="D395:F408" si="68">D352</f>
        <v>Les Petites Gâteries</v>
      </c>
      <c r="E395" s="100"/>
      <c r="F395" s="100"/>
      <c r="G395" s="101"/>
      <c r="H395" s="98"/>
      <c r="I395" s="98"/>
      <c r="J395" s="98"/>
    </row>
    <row r="396" spans="1:10" ht="16" x14ac:dyDescent="0.2">
      <c r="A396" s="345"/>
      <c r="B396" s="98">
        <f t="shared" ref="B396:C407" si="69">B353</f>
        <v>1</v>
      </c>
      <c r="C396" s="98">
        <f t="shared" si="69"/>
        <v>1</v>
      </c>
      <c r="D396" s="98" t="str">
        <f t="shared" si="68"/>
        <v>Petite Gâterie 1</v>
      </c>
      <c r="E396" s="102">
        <f t="shared" si="68"/>
        <v>1.21</v>
      </c>
      <c r="F396" s="145">
        <f t="shared" si="68"/>
        <v>3.3</v>
      </c>
      <c r="G396" s="103">
        <f t="shared" ref="G396:G408" si="70">E396/F396</f>
        <v>0.3666666666666667</v>
      </c>
      <c r="H396" s="104">
        <f t="shared" ref="H396:H408" si="71">F396-E396</f>
        <v>2.09</v>
      </c>
      <c r="I396" s="100">
        <f>F396</f>
        <v>3.3</v>
      </c>
      <c r="J396" s="337">
        <f>3/12</f>
        <v>0.25</v>
      </c>
    </row>
    <row r="397" spans="1:10" ht="16" x14ac:dyDescent="0.2">
      <c r="A397" s="345"/>
      <c r="B397" s="98">
        <f t="shared" si="69"/>
        <v>2</v>
      </c>
      <c r="C397" s="98">
        <f t="shared" si="69"/>
        <v>2</v>
      </c>
      <c r="D397" s="98" t="str">
        <f t="shared" si="68"/>
        <v>Petite Gâterie 2</v>
      </c>
      <c r="E397" s="102">
        <f t="shared" si="68"/>
        <v>1.31</v>
      </c>
      <c r="F397" s="102">
        <f t="shared" si="68"/>
        <v>3.8</v>
      </c>
      <c r="G397" s="103">
        <f t="shared" si="70"/>
        <v>0.34473684210526317</v>
      </c>
      <c r="H397" s="104">
        <f t="shared" si="71"/>
        <v>2.4899999999999998</v>
      </c>
      <c r="I397" s="100"/>
      <c r="J397" s="336"/>
    </row>
    <row r="398" spans="1:10" ht="17" thickBot="1" x14ac:dyDescent="0.25">
      <c r="A398" s="345"/>
      <c r="B398" s="105">
        <f t="shared" si="69"/>
        <v>3</v>
      </c>
      <c r="C398" s="105">
        <f t="shared" si="69"/>
        <v>3</v>
      </c>
      <c r="D398" s="105" t="str">
        <f t="shared" si="68"/>
        <v>Petite Gâterie 3</v>
      </c>
      <c r="E398" s="106">
        <f t="shared" si="68"/>
        <v>1.35</v>
      </c>
      <c r="F398" s="106">
        <f t="shared" si="68"/>
        <v>4</v>
      </c>
      <c r="G398" s="107">
        <f t="shared" si="70"/>
        <v>0.33750000000000002</v>
      </c>
      <c r="H398" s="108">
        <f t="shared" si="71"/>
        <v>2.65</v>
      </c>
      <c r="I398" s="109">
        <f>+I396+1.066667</f>
        <v>4.3666669999999996</v>
      </c>
      <c r="J398" s="338"/>
    </row>
    <row r="399" spans="1:10" ht="16" x14ac:dyDescent="0.2">
      <c r="A399" s="345"/>
      <c r="B399" s="98">
        <f t="shared" si="69"/>
        <v>4</v>
      </c>
      <c r="C399" s="98">
        <f t="shared" si="69"/>
        <v>4</v>
      </c>
      <c r="D399" s="98" t="str">
        <f t="shared" si="68"/>
        <v>Petite Gâterie 4</v>
      </c>
      <c r="E399" s="102">
        <f t="shared" si="68"/>
        <v>1.4</v>
      </c>
      <c r="F399" s="102">
        <f t="shared" si="68"/>
        <v>4.5</v>
      </c>
      <c r="G399" s="103">
        <f t="shared" si="70"/>
        <v>0.31111111111111112</v>
      </c>
      <c r="H399" s="104">
        <f t="shared" si="71"/>
        <v>3.1</v>
      </c>
      <c r="I399" s="100">
        <f>+I398+0.01</f>
        <v>4.3766669999999994</v>
      </c>
      <c r="J399" s="335">
        <f>7/12</f>
        <v>0.58333333333333337</v>
      </c>
    </row>
    <row r="400" spans="1:10" ht="16" x14ac:dyDescent="0.2">
      <c r="A400" s="345"/>
      <c r="B400" s="98">
        <f t="shared" si="69"/>
        <v>5</v>
      </c>
      <c r="C400" s="98">
        <f t="shared" si="69"/>
        <v>5</v>
      </c>
      <c r="D400" s="98" t="str">
        <f t="shared" si="68"/>
        <v>Petite Gâterie 5</v>
      </c>
      <c r="E400" s="102">
        <f t="shared" si="68"/>
        <v>1.24</v>
      </c>
      <c r="F400" s="102">
        <f t="shared" si="68"/>
        <v>4.5999999999999996</v>
      </c>
      <c r="G400" s="103">
        <f t="shared" si="70"/>
        <v>0.26956521739130435</v>
      </c>
      <c r="H400" s="104">
        <f t="shared" si="71"/>
        <v>3.3599999999999994</v>
      </c>
      <c r="I400" s="100"/>
      <c r="J400" s="336"/>
    </row>
    <row r="401" spans="1:10" ht="16" x14ac:dyDescent="0.2">
      <c r="A401" s="345"/>
      <c r="B401" s="98">
        <f t="shared" si="69"/>
        <v>6</v>
      </c>
      <c r="C401" s="98">
        <f t="shared" si="69"/>
        <v>6</v>
      </c>
      <c r="D401" s="98" t="str">
        <f t="shared" si="68"/>
        <v>Petite Gâterie 6</v>
      </c>
      <c r="E401" s="102">
        <f t="shared" si="68"/>
        <v>1.39</v>
      </c>
      <c r="F401" s="102">
        <f t="shared" si="68"/>
        <v>4.7</v>
      </c>
      <c r="G401" s="103">
        <f t="shared" si="70"/>
        <v>0.29574468085106381</v>
      </c>
      <c r="H401" s="104">
        <f t="shared" si="71"/>
        <v>3.3100000000000005</v>
      </c>
      <c r="I401" s="100"/>
      <c r="J401" s="336"/>
    </row>
    <row r="402" spans="1:10" ht="16" x14ac:dyDescent="0.2">
      <c r="A402" s="345"/>
      <c r="B402" s="98">
        <f t="shared" si="69"/>
        <v>7</v>
      </c>
      <c r="C402" s="98">
        <f t="shared" si="69"/>
        <v>7</v>
      </c>
      <c r="D402" s="98" t="str">
        <f t="shared" si="68"/>
        <v>Petite Gâterie 7</v>
      </c>
      <c r="E402" s="102">
        <f t="shared" si="68"/>
        <v>1.51</v>
      </c>
      <c r="F402" s="102">
        <f t="shared" si="68"/>
        <v>4.8</v>
      </c>
      <c r="G402" s="103">
        <f t="shared" si="70"/>
        <v>0.31458333333333333</v>
      </c>
      <c r="H402" s="104">
        <f t="shared" si="71"/>
        <v>3.29</v>
      </c>
      <c r="I402" s="100"/>
      <c r="J402" s="336"/>
    </row>
    <row r="403" spans="1:10" ht="16" x14ac:dyDescent="0.2">
      <c r="A403" s="345"/>
      <c r="B403" s="98">
        <f t="shared" si="69"/>
        <v>8</v>
      </c>
      <c r="C403" s="98">
        <f t="shared" si="69"/>
        <v>8</v>
      </c>
      <c r="D403" s="98" t="str">
        <f t="shared" si="68"/>
        <v>Petite Gâterie 8</v>
      </c>
      <c r="E403" s="102">
        <f t="shared" si="68"/>
        <v>1.53</v>
      </c>
      <c r="F403" s="102">
        <f t="shared" si="68"/>
        <v>4.9000000000000004</v>
      </c>
      <c r="G403" s="103">
        <f t="shared" si="70"/>
        <v>0.31224489795918364</v>
      </c>
      <c r="H403" s="104">
        <f t="shared" si="71"/>
        <v>3.37</v>
      </c>
      <c r="I403" s="100"/>
      <c r="J403" s="336"/>
    </row>
    <row r="404" spans="1:10" ht="16" x14ac:dyDescent="0.2">
      <c r="A404" s="345"/>
      <c r="B404" s="98">
        <f t="shared" si="69"/>
        <v>9</v>
      </c>
      <c r="C404" s="98">
        <f t="shared" si="69"/>
        <v>9</v>
      </c>
      <c r="D404" s="98" t="str">
        <f t="shared" si="68"/>
        <v>Petite Gâterie 9</v>
      </c>
      <c r="E404" s="102">
        <f t="shared" si="68"/>
        <v>1.55</v>
      </c>
      <c r="F404" s="102">
        <f t="shared" si="68"/>
        <v>5</v>
      </c>
      <c r="G404" s="103">
        <f t="shared" si="70"/>
        <v>0.31</v>
      </c>
      <c r="H404" s="104">
        <f t="shared" si="71"/>
        <v>3.45</v>
      </c>
      <c r="I404" s="100"/>
      <c r="J404" s="336"/>
    </row>
    <row r="405" spans="1:10" ht="17" thickBot="1" x14ac:dyDescent="0.25">
      <c r="A405" s="345"/>
      <c r="B405" s="105">
        <f t="shared" si="69"/>
        <v>10</v>
      </c>
      <c r="C405" s="105">
        <f t="shared" si="69"/>
        <v>10</v>
      </c>
      <c r="D405" s="105" t="str">
        <f t="shared" si="68"/>
        <v>Petite Gâterie 10</v>
      </c>
      <c r="E405" s="106">
        <f t="shared" si="68"/>
        <v>1.59</v>
      </c>
      <c r="F405" s="106">
        <f t="shared" si="68"/>
        <v>5.2</v>
      </c>
      <c r="G405" s="107">
        <f t="shared" si="70"/>
        <v>0.30576923076923079</v>
      </c>
      <c r="H405" s="108">
        <f t="shared" si="71"/>
        <v>3.6100000000000003</v>
      </c>
      <c r="I405" s="109">
        <f>+I398+1.066667</f>
        <v>5.4333339999999994</v>
      </c>
      <c r="J405" s="338"/>
    </row>
    <row r="406" spans="1:10" ht="16" x14ac:dyDescent="0.2">
      <c r="A406" s="345"/>
      <c r="B406" s="98">
        <f t="shared" si="69"/>
        <v>11</v>
      </c>
      <c r="C406" s="98">
        <f t="shared" si="69"/>
        <v>11</v>
      </c>
      <c r="D406" s="98" t="str">
        <f t="shared" si="68"/>
        <v>Petite Gâterie 11</v>
      </c>
      <c r="E406" s="102">
        <f t="shared" si="68"/>
        <v>1.83</v>
      </c>
      <c r="F406" s="102">
        <f t="shared" si="68"/>
        <v>6.4</v>
      </c>
      <c r="G406" s="103">
        <f t="shared" si="70"/>
        <v>0.28593750000000001</v>
      </c>
      <c r="H406" s="104">
        <f t="shared" si="71"/>
        <v>4.57</v>
      </c>
      <c r="I406" s="100">
        <f>+I405+0.01</f>
        <v>5.4433339999999992</v>
      </c>
      <c r="J406" s="335">
        <f>2/12</f>
        <v>0.16666666666666666</v>
      </c>
    </row>
    <row r="407" spans="1:10" ht="16" x14ac:dyDescent="0.2">
      <c r="A407" s="345"/>
      <c r="B407" s="98">
        <f t="shared" si="69"/>
        <v>12</v>
      </c>
      <c r="C407" s="98">
        <f t="shared" si="69"/>
        <v>12</v>
      </c>
      <c r="D407" s="98" t="str">
        <f t="shared" si="68"/>
        <v>Petite Gâterie 12</v>
      </c>
      <c r="E407" s="102">
        <f t="shared" si="68"/>
        <v>1.87</v>
      </c>
      <c r="F407" s="102">
        <f t="shared" si="68"/>
        <v>6.6</v>
      </c>
      <c r="G407" s="103">
        <f t="shared" si="70"/>
        <v>0.28333333333333338</v>
      </c>
      <c r="H407" s="104">
        <f t="shared" si="71"/>
        <v>4.7299999999999995</v>
      </c>
      <c r="I407" s="100">
        <f>F407</f>
        <v>6.6</v>
      </c>
      <c r="J407" s="336"/>
    </row>
    <row r="408" spans="1:10" ht="19" x14ac:dyDescent="0.35">
      <c r="A408" s="345"/>
      <c r="B408" s="98"/>
      <c r="C408" s="98"/>
      <c r="D408" s="99" t="str">
        <f t="shared" si="68"/>
        <v>CmO—PmO—Food Cost—BmO</v>
      </c>
      <c r="E408" s="110">
        <f>SUM(E396:E407)/C407</f>
        <v>1.4816666666666667</v>
      </c>
      <c r="F408" s="111">
        <f>SUM(F396:F407)/C407</f>
        <v>4.8166666666666673</v>
      </c>
      <c r="G408" s="112">
        <f t="shared" si="70"/>
        <v>0.30761245674740478</v>
      </c>
      <c r="H408" s="113">
        <f t="shared" si="71"/>
        <v>3.3350000000000009</v>
      </c>
      <c r="I408" s="114"/>
      <c r="J408" s="98"/>
    </row>
    <row r="409" spans="1:10" ht="16" x14ac:dyDescent="0.2">
      <c r="A409" s="345"/>
      <c r="B409" s="98" t="s">
        <v>0</v>
      </c>
      <c r="C409" s="98"/>
      <c r="D409" s="98"/>
      <c r="E409" s="102"/>
      <c r="F409" s="102"/>
      <c r="G409" s="103"/>
      <c r="H409" s="115"/>
      <c r="I409" s="100"/>
      <c r="J409" s="98"/>
    </row>
    <row r="410" spans="1:10" ht="16" x14ac:dyDescent="0.2">
      <c r="A410" s="345"/>
      <c r="B410" s="98"/>
      <c r="C410" s="98"/>
      <c r="D410" s="99" t="str">
        <f t="shared" ref="D410:F423" si="72">D367</f>
        <v>Les Boissons  Gâteries</v>
      </c>
      <c r="E410" s="102"/>
      <c r="F410" s="102"/>
      <c r="G410" s="103"/>
      <c r="H410" s="115"/>
      <c r="I410" s="100"/>
      <c r="J410" s="98"/>
    </row>
    <row r="411" spans="1:10" ht="16" x14ac:dyDescent="0.2">
      <c r="A411" s="345"/>
      <c r="B411" s="98">
        <f t="shared" ref="B411:C422" si="73">B368</f>
        <v>13</v>
      </c>
      <c r="C411" s="98">
        <f t="shared" si="73"/>
        <v>1</v>
      </c>
      <c r="D411" s="98" t="str">
        <f t="shared" si="72"/>
        <v>Boisson spéciale numéro 1</v>
      </c>
      <c r="E411" s="102">
        <f t="shared" si="72"/>
        <v>2.2799999999999998</v>
      </c>
      <c r="F411" s="145">
        <f>F368</f>
        <v>6.6</v>
      </c>
      <c r="G411" s="103">
        <f>E411/F411</f>
        <v>0.34545454545454546</v>
      </c>
      <c r="H411" s="104">
        <f>F411-E411</f>
        <v>4.32</v>
      </c>
      <c r="I411" s="100">
        <f>F411</f>
        <v>6.6</v>
      </c>
      <c r="J411" s="337">
        <f>3/12</f>
        <v>0.25</v>
      </c>
    </row>
    <row r="412" spans="1:10" ht="16" x14ac:dyDescent="0.2">
      <c r="A412" s="345"/>
      <c r="B412" s="98">
        <f t="shared" si="73"/>
        <v>14</v>
      </c>
      <c r="C412" s="98">
        <f t="shared" si="73"/>
        <v>2</v>
      </c>
      <c r="D412" s="98" t="str">
        <f t="shared" si="72"/>
        <v>Boisson spéciale numéro 2</v>
      </c>
      <c r="E412" s="102">
        <f t="shared" si="72"/>
        <v>2.66</v>
      </c>
      <c r="F412" s="102">
        <f t="shared" si="72"/>
        <v>7.6</v>
      </c>
      <c r="G412" s="103">
        <f>E412/F412</f>
        <v>0.35000000000000003</v>
      </c>
      <c r="H412" s="104">
        <f>F412-E412</f>
        <v>4.9399999999999995</v>
      </c>
      <c r="I412" s="100"/>
      <c r="J412" s="336"/>
    </row>
    <row r="413" spans="1:10" ht="17" thickBot="1" x14ac:dyDescent="0.25">
      <c r="A413" s="345"/>
      <c r="B413" s="105">
        <f t="shared" si="73"/>
        <v>15</v>
      </c>
      <c r="C413" s="105">
        <f t="shared" si="73"/>
        <v>3</v>
      </c>
      <c r="D413" s="105" t="str">
        <f t="shared" si="72"/>
        <v>Boisson spéciale numéro 3</v>
      </c>
      <c r="E413" s="106">
        <f t="shared" si="72"/>
        <v>2.74</v>
      </c>
      <c r="F413" s="106">
        <f t="shared" si="72"/>
        <v>8</v>
      </c>
      <c r="G413" s="107">
        <f>E413/F413</f>
        <v>0.34250000000000003</v>
      </c>
      <c r="H413" s="108">
        <f>F413-E413</f>
        <v>5.26</v>
      </c>
      <c r="I413" s="109">
        <f>+I411+2.1</f>
        <v>8.6999999999999993</v>
      </c>
      <c r="J413" s="338"/>
    </row>
    <row r="414" spans="1:10" ht="16" x14ac:dyDescent="0.2">
      <c r="A414" s="345"/>
      <c r="B414" s="98">
        <f t="shared" si="73"/>
        <v>16</v>
      </c>
      <c r="C414" s="98">
        <f t="shared" si="73"/>
        <v>4</v>
      </c>
      <c r="D414" s="98" t="str">
        <f t="shared" si="72"/>
        <v>Boisson spéciale numéro 4</v>
      </c>
      <c r="E414" s="102">
        <f t="shared" si="72"/>
        <v>2.72</v>
      </c>
      <c r="F414" s="145">
        <f>F371</f>
        <v>9</v>
      </c>
      <c r="G414" s="103">
        <f t="shared" ref="G414:G421" si="74">E414/F414</f>
        <v>0.30222222222222223</v>
      </c>
      <c r="H414" s="104">
        <f t="shared" ref="H414:H421" si="75">F414-E414</f>
        <v>6.2799999999999994</v>
      </c>
      <c r="I414" s="100">
        <f>+I413+0.01</f>
        <v>8.7099999999999991</v>
      </c>
      <c r="J414" s="337">
        <f>7/12</f>
        <v>0.58333333333333337</v>
      </c>
    </row>
    <row r="415" spans="1:10" ht="16" x14ac:dyDescent="0.2">
      <c r="A415" s="345"/>
      <c r="B415" s="98">
        <f t="shared" si="73"/>
        <v>17</v>
      </c>
      <c r="C415" s="98">
        <f t="shared" si="73"/>
        <v>5</v>
      </c>
      <c r="D415" s="98" t="str">
        <f t="shared" si="72"/>
        <v>Boisson spéciale numéro 5</v>
      </c>
      <c r="E415" s="102">
        <f t="shared" si="72"/>
        <v>2.76</v>
      </c>
      <c r="F415" s="102">
        <f t="shared" si="72"/>
        <v>9.1999999999999993</v>
      </c>
      <c r="G415" s="103">
        <f t="shared" si="74"/>
        <v>0.3</v>
      </c>
      <c r="H415" s="104">
        <f t="shared" si="75"/>
        <v>6.4399999999999995</v>
      </c>
      <c r="I415" s="100"/>
      <c r="J415" s="336"/>
    </row>
    <row r="416" spans="1:10" ht="16" x14ac:dyDescent="0.2">
      <c r="A416" s="345"/>
      <c r="B416" s="98">
        <f t="shared" si="73"/>
        <v>18</v>
      </c>
      <c r="C416" s="98">
        <f t="shared" si="73"/>
        <v>6</v>
      </c>
      <c r="D416" s="98" t="str">
        <f t="shared" si="72"/>
        <v>Boisson spéciale numéro 6</v>
      </c>
      <c r="E416" s="102">
        <f t="shared" si="72"/>
        <v>2.8</v>
      </c>
      <c r="F416" s="102">
        <f t="shared" si="72"/>
        <v>9.4</v>
      </c>
      <c r="G416" s="103">
        <f t="shared" si="74"/>
        <v>0.2978723404255319</v>
      </c>
      <c r="H416" s="104">
        <f t="shared" si="75"/>
        <v>6.6000000000000005</v>
      </c>
      <c r="I416" s="100"/>
      <c r="J416" s="336"/>
    </row>
    <row r="417" spans="1:10" ht="16" x14ac:dyDescent="0.2">
      <c r="A417" s="345"/>
      <c r="B417" s="98">
        <f t="shared" si="73"/>
        <v>19</v>
      </c>
      <c r="C417" s="98">
        <f t="shared" si="73"/>
        <v>7</v>
      </c>
      <c r="D417" s="98" t="str">
        <f t="shared" si="72"/>
        <v>Boisson spéciale numéro 7</v>
      </c>
      <c r="E417" s="102">
        <f t="shared" si="72"/>
        <v>2.82</v>
      </c>
      <c r="F417" s="102">
        <f t="shared" si="72"/>
        <v>9.6</v>
      </c>
      <c r="G417" s="103">
        <f t="shared" si="74"/>
        <v>0.29375000000000001</v>
      </c>
      <c r="H417" s="104">
        <f t="shared" si="75"/>
        <v>6.7799999999999994</v>
      </c>
      <c r="I417" s="100"/>
      <c r="J417" s="336"/>
    </row>
    <row r="418" spans="1:10" ht="16" x14ac:dyDescent="0.2">
      <c r="A418" s="345"/>
      <c r="B418" s="98">
        <f t="shared" si="73"/>
        <v>20</v>
      </c>
      <c r="C418" s="98">
        <f t="shared" si="73"/>
        <v>8</v>
      </c>
      <c r="D418" s="98" t="str">
        <f t="shared" si="72"/>
        <v>Boisson spéciale numéro 8</v>
      </c>
      <c r="E418" s="102">
        <f t="shared" si="72"/>
        <v>2.86</v>
      </c>
      <c r="F418" s="102">
        <f t="shared" si="72"/>
        <v>9.8000000000000007</v>
      </c>
      <c r="G418" s="103">
        <f t="shared" si="74"/>
        <v>0.2918367346938775</v>
      </c>
      <c r="H418" s="104">
        <f t="shared" si="75"/>
        <v>6.9400000000000013</v>
      </c>
      <c r="I418" s="100"/>
      <c r="J418" s="336"/>
    </row>
    <row r="419" spans="1:10" ht="16" x14ac:dyDescent="0.2">
      <c r="A419" s="345"/>
      <c r="B419" s="98">
        <f t="shared" si="73"/>
        <v>21</v>
      </c>
      <c r="C419" s="98">
        <f t="shared" si="73"/>
        <v>9</v>
      </c>
      <c r="D419" s="98" t="str">
        <f t="shared" si="72"/>
        <v>Boisson spéciale numéro 9</v>
      </c>
      <c r="E419" s="102">
        <f t="shared" si="72"/>
        <v>2.9</v>
      </c>
      <c r="F419" s="102">
        <f t="shared" si="72"/>
        <v>10</v>
      </c>
      <c r="G419" s="103">
        <f t="shared" si="74"/>
        <v>0.28999999999999998</v>
      </c>
      <c r="H419" s="104">
        <f t="shared" si="75"/>
        <v>7.1</v>
      </c>
      <c r="I419" s="100"/>
      <c r="J419" s="336"/>
    </row>
    <row r="420" spans="1:10" ht="17" thickBot="1" x14ac:dyDescent="0.25">
      <c r="A420" s="345"/>
      <c r="B420" s="105">
        <f t="shared" si="73"/>
        <v>22</v>
      </c>
      <c r="C420" s="105">
        <f t="shared" si="73"/>
        <v>10</v>
      </c>
      <c r="D420" s="105" t="str">
        <f t="shared" si="72"/>
        <v>Boisson spéciale numéro 10</v>
      </c>
      <c r="E420" s="106">
        <f t="shared" si="72"/>
        <v>2.98</v>
      </c>
      <c r="F420" s="106">
        <f t="shared" si="72"/>
        <v>10.4</v>
      </c>
      <c r="G420" s="107">
        <f t="shared" si="74"/>
        <v>0.28653846153846152</v>
      </c>
      <c r="H420" s="108">
        <f t="shared" si="75"/>
        <v>7.42</v>
      </c>
      <c r="I420" s="109">
        <f>+I413+2.1</f>
        <v>10.799999999999999</v>
      </c>
      <c r="J420" s="338"/>
    </row>
    <row r="421" spans="1:10" ht="16" x14ac:dyDescent="0.2">
      <c r="A421" s="345"/>
      <c r="B421" s="98">
        <f t="shared" si="73"/>
        <v>23</v>
      </c>
      <c r="C421" s="98">
        <f t="shared" si="73"/>
        <v>11</v>
      </c>
      <c r="D421" s="98" t="str">
        <f t="shared" si="72"/>
        <v>Boisson spéciale numéro 11</v>
      </c>
      <c r="E421" s="102">
        <f t="shared" si="72"/>
        <v>3.18</v>
      </c>
      <c r="F421" s="102">
        <f t="shared" si="72"/>
        <v>11.6</v>
      </c>
      <c r="G421" s="103">
        <f t="shared" si="74"/>
        <v>0.27413793103448281</v>
      </c>
      <c r="H421" s="104">
        <f t="shared" si="75"/>
        <v>8.42</v>
      </c>
      <c r="I421" s="100">
        <f>+I420+0.01</f>
        <v>10.809999999999999</v>
      </c>
      <c r="J421" s="335">
        <f>2/12</f>
        <v>0.16666666666666666</v>
      </c>
    </row>
    <row r="422" spans="1:10" ht="16" x14ac:dyDescent="0.2">
      <c r="A422" s="345"/>
      <c r="B422" s="98">
        <f t="shared" si="73"/>
        <v>24</v>
      </c>
      <c r="C422" s="98">
        <f t="shared" si="73"/>
        <v>12</v>
      </c>
      <c r="D422" s="98" t="str">
        <f t="shared" si="72"/>
        <v>Boisson spéciale numéro 12</v>
      </c>
      <c r="E422" s="102">
        <f t="shared" si="72"/>
        <v>3.48</v>
      </c>
      <c r="F422" s="102">
        <f t="shared" si="72"/>
        <v>13.2</v>
      </c>
      <c r="G422" s="103">
        <f>E422/F422</f>
        <v>0.26363636363636367</v>
      </c>
      <c r="H422" s="104">
        <f>F422-E422</f>
        <v>9.7199999999999989</v>
      </c>
      <c r="I422" s="100">
        <f>F422</f>
        <v>13.2</v>
      </c>
      <c r="J422" s="336"/>
    </row>
    <row r="423" spans="1:10" ht="19" x14ac:dyDescent="0.35">
      <c r="A423" s="345"/>
      <c r="B423" s="98"/>
      <c r="C423" s="98"/>
      <c r="D423" s="99" t="str">
        <f t="shared" si="72"/>
        <v>CmO—PmO—Beverage Cost—Marge brute</v>
      </c>
      <c r="E423" s="110">
        <f>SUM(E411:E422)/C422</f>
        <v>2.8483333333333332</v>
      </c>
      <c r="F423" s="111">
        <f>SUM(F411:F422)/C422</f>
        <v>9.5333333333333332</v>
      </c>
      <c r="G423" s="116">
        <f>E423/F423</f>
        <v>0.29877622377622376</v>
      </c>
      <c r="H423" s="113">
        <f>F423-E423</f>
        <v>6.6850000000000005</v>
      </c>
      <c r="I423" s="114"/>
      <c r="J423" s="98"/>
    </row>
    <row r="424" spans="1:10" ht="17" thickBot="1" x14ac:dyDescent="0.25">
      <c r="A424" s="345"/>
      <c r="B424" s="98"/>
      <c r="C424" s="98"/>
      <c r="D424" s="98"/>
      <c r="E424" s="102"/>
      <c r="F424" s="102"/>
      <c r="G424" s="101"/>
      <c r="H424" s="115"/>
      <c r="I424" s="98"/>
      <c r="J424" s="98"/>
    </row>
    <row r="425" spans="1:10" ht="21" thickTop="1" thickBot="1" x14ac:dyDescent="0.4">
      <c r="A425" s="345"/>
      <c r="B425" s="98"/>
      <c r="C425" s="117"/>
      <c r="D425" s="118"/>
      <c r="E425" s="119"/>
      <c r="F425" s="119"/>
      <c r="G425" s="120"/>
      <c r="H425" s="121"/>
      <c r="I425" s="122"/>
      <c r="J425" s="98"/>
    </row>
    <row r="426" spans="1:10" ht="18" thickTop="1" thickBot="1" x14ac:dyDescent="0.25">
      <c r="A426" s="345"/>
      <c r="B426" s="98"/>
      <c r="C426" s="123"/>
      <c r="D426" s="99"/>
      <c r="E426" s="124" t="str">
        <f>E383</f>
        <v>CmO</v>
      </c>
      <c r="F426" s="124" t="str">
        <f>F383</f>
        <v>PmO</v>
      </c>
      <c r="G426" s="125" t="str">
        <f>G383</f>
        <v>F&amp;BCmO</v>
      </c>
      <c r="H426" s="126" t="str">
        <f>H383</f>
        <v>BmO</v>
      </c>
      <c r="I426" s="127"/>
      <c r="J426" s="98"/>
    </row>
    <row r="427" spans="1:10" ht="17" thickTop="1" x14ac:dyDescent="0.2">
      <c r="A427" s="345"/>
      <c r="B427" s="98"/>
      <c r="C427" s="123"/>
      <c r="D427" s="128" t="str">
        <f>D384</f>
        <v>OFFRE TOTALE AVEC LES GÂTERIES ET LES CAFÉS GÂTERIES</v>
      </c>
      <c r="E427" s="102"/>
      <c r="F427" s="102"/>
      <c r="G427" s="101"/>
      <c r="H427" s="115"/>
      <c r="I427" s="129"/>
      <c r="J427" s="98"/>
    </row>
    <row r="428" spans="1:10" ht="19" x14ac:dyDescent="0.35">
      <c r="A428" s="345"/>
      <c r="B428" s="98"/>
      <c r="C428" s="123"/>
      <c r="D428" s="99" t="str">
        <f>D385</f>
        <v>CmO—PmO—F&amp;B cost moyen offert—Marge brute</v>
      </c>
      <c r="E428" s="111">
        <f>+(E396+E397+E398+E399+E400+E401+E402+E403+E404+E405+E406+E407+E411+E412+E413+E414+E415+E416+E417+E418+E419+E420+E421+E422)/B422</f>
        <v>2.1649999999999996</v>
      </c>
      <c r="F428" s="111">
        <f>+(F396+F397+F398+F399+F400+F401+F402+F403+F404+F405+F406+F407+F411+F412+F413+F414+F415+F416+F417+F418+F419+F420+F421+F422)/B422</f>
        <v>7.1749999999999998</v>
      </c>
      <c r="G428" s="130">
        <f>E428/F428</f>
        <v>0.30174216027874562</v>
      </c>
      <c r="H428" s="131">
        <f>F428-E428</f>
        <v>5.01</v>
      </c>
      <c r="I428" s="132"/>
      <c r="J428" s="98"/>
    </row>
    <row r="429" spans="1:10" ht="16" x14ac:dyDescent="0.2">
      <c r="A429" s="345"/>
      <c r="B429" s="98"/>
      <c r="C429" s="123"/>
      <c r="D429" s="98"/>
      <c r="E429" s="133"/>
      <c r="F429" s="133"/>
      <c r="G429" s="134"/>
      <c r="H429" s="135"/>
      <c r="I429" s="136"/>
      <c r="J429" s="98"/>
    </row>
    <row r="430" spans="1:10" ht="17" thickBot="1" x14ac:dyDescent="0.25">
      <c r="A430" s="345"/>
      <c r="B430" s="98"/>
      <c r="C430" s="137"/>
      <c r="D430" s="138"/>
      <c r="E430" s="139"/>
      <c r="F430" s="139"/>
      <c r="G430" s="140"/>
      <c r="H430" s="141"/>
      <c r="I430" s="142"/>
      <c r="J430" s="98"/>
    </row>
    <row r="431" spans="1:10" ht="14" thickTop="1" x14ac:dyDescent="0.15">
      <c r="A431" s="345"/>
    </row>
    <row r="432" spans="1:10" ht="22" x14ac:dyDescent="0.25">
      <c r="A432" s="345"/>
      <c r="D432" s="92" t="s">
        <v>105</v>
      </c>
      <c r="F432" s="93"/>
    </row>
    <row r="433" spans="1:10" ht="23" thickBot="1" x14ac:dyDescent="0.3">
      <c r="A433" s="345"/>
      <c r="D433" s="94"/>
    </row>
    <row r="434" spans="1:10" ht="23" customHeight="1" thickTop="1" x14ac:dyDescent="0.25">
      <c r="A434" s="345"/>
      <c r="D434" s="94"/>
      <c r="E434" s="339" t="str">
        <f>E391</f>
        <v>Coûts des ressources alimentaires pour chaque produit offert (voir recettes standardisées)</v>
      </c>
      <c r="F434" s="339" t="str">
        <f>F391</f>
        <v>Prix de vente par produit offert</v>
      </c>
      <c r="G434" s="339" t="str">
        <f>G391</f>
        <v xml:space="preserve">« Food &amp; Beverage Cost » </v>
      </c>
      <c r="H434" s="339" t="str">
        <f>H391</f>
        <v>Marge brute gagnée sur la vente de chaque produit offert</v>
      </c>
      <c r="I434" s="95"/>
    </row>
    <row r="435" spans="1:10" ht="22" x14ac:dyDescent="0.25">
      <c r="A435" s="345"/>
      <c r="D435" s="94"/>
      <c r="E435" s="340"/>
      <c r="F435" s="342"/>
      <c r="G435" s="342"/>
      <c r="H435" s="342"/>
      <c r="I435" s="96"/>
    </row>
    <row r="436" spans="1:10" ht="14" customHeight="1" thickBot="1" x14ac:dyDescent="0.2">
      <c r="A436" s="345"/>
      <c r="E436" s="341"/>
      <c r="F436" s="343"/>
      <c r="G436" s="343"/>
      <c r="H436" s="343"/>
      <c r="I436" s="96"/>
    </row>
    <row r="437" spans="1:10" ht="14" thickTop="1" x14ac:dyDescent="0.15">
      <c r="A437" s="345"/>
      <c r="B437" s="90" t="s">
        <v>0</v>
      </c>
      <c r="E437" s="93"/>
      <c r="F437" s="93"/>
      <c r="G437" s="97"/>
    </row>
    <row r="438" spans="1:10" ht="16" x14ac:dyDescent="0.2">
      <c r="A438" s="345"/>
      <c r="B438" s="98"/>
      <c r="C438" s="98"/>
      <c r="D438" s="99" t="str">
        <f t="shared" ref="D438:F451" si="76">D395</f>
        <v>Les Petites Gâteries</v>
      </c>
      <c r="E438" s="100"/>
      <c r="F438" s="100"/>
      <c r="G438" s="101"/>
      <c r="H438" s="98"/>
      <c r="I438" s="98"/>
      <c r="J438" s="98"/>
    </row>
    <row r="439" spans="1:10" ht="16" x14ac:dyDescent="0.2">
      <c r="A439" s="345"/>
      <c r="B439" s="98">
        <f t="shared" ref="B439:C450" si="77">B396</f>
        <v>1</v>
      </c>
      <c r="C439" s="98">
        <f t="shared" si="77"/>
        <v>1</v>
      </c>
      <c r="D439" s="98" t="str">
        <f t="shared" si="76"/>
        <v>Petite Gâterie 1</v>
      </c>
      <c r="E439" s="102">
        <f t="shared" si="76"/>
        <v>1.21</v>
      </c>
      <c r="F439" s="102">
        <f t="shared" si="76"/>
        <v>3.3</v>
      </c>
      <c r="G439" s="103">
        <f t="shared" ref="G439:G451" si="78">E439/F439</f>
        <v>0.3666666666666667</v>
      </c>
      <c r="H439" s="104">
        <f t="shared" ref="H439:H451" si="79">F439-E439</f>
        <v>2.09</v>
      </c>
      <c r="I439" s="100">
        <f>F439</f>
        <v>3.3</v>
      </c>
      <c r="J439" s="337">
        <f>3/12</f>
        <v>0.25</v>
      </c>
    </row>
    <row r="440" spans="1:10" ht="16" x14ac:dyDescent="0.2">
      <c r="A440" s="345"/>
      <c r="B440" s="98">
        <f t="shared" si="77"/>
        <v>2</v>
      </c>
      <c r="C440" s="98">
        <f t="shared" si="77"/>
        <v>2</v>
      </c>
      <c r="D440" s="98" t="str">
        <f t="shared" si="76"/>
        <v>Petite Gâterie 2</v>
      </c>
      <c r="E440" s="102">
        <f t="shared" si="76"/>
        <v>1.31</v>
      </c>
      <c r="F440" s="102">
        <f t="shared" si="76"/>
        <v>3.8</v>
      </c>
      <c r="G440" s="103">
        <f t="shared" si="78"/>
        <v>0.34473684210526317</v>
      </c>
      <c r="H440" s="104">
        <f t="shared" si="79"/>
        <v>2.4899999999999998</v>
      </c>
      <c r="I440" s="100"/>
      <c r="J440" s="336"/>
    </row>
    <row r="441" spans="1:10" ht="17" thickBot="1" x14ac:dyDescent="0.25">
      <c r="A441" s="345"/>
      <c r="B441" s="98">
        <f t="shared" si="77"/>
        <v>3</v>
      </c>
      <c r="C441" s="98">
        <f t="shared" si="77"/>
        <v>3</v>
      </c>
      <c r="D441" s="98" t="str">
        <f t="shared" si="76"/>
        <v>Petite Gâterie 3</v>
      </c>
      <c r="E441" s="102">
        <f t="shared" si="76"/>
        <v>1.35</v>
      </c>
      <c r="F441" s="102">
        <f t="shared" si="76"/>
        <v>4</v>
      </c>
      <c r="G441" s="103">
        <f t="shared" si="78"/>
        <v>0.33750000000000002</v>
      </c>
      <c r="H441" s="104">
        <f t="shared" si="79"/>
        <v>2.65</v>
      </c>
      <c r="I441" s="109">
        <f>+I439+1.1</f>
        <v>4.4000000000000004</v>
      </c>
      <c r="J441" s="338"/>
    </row>
    <row r="442" spans="1:10" ht="16" x14ac:dyDescent="0.2">
      <c r="A442" s="345"/>
      <c r="B442" s="98">
        <f t="shared" si="77"/>
        <v>4</v>
      </c>
      <c r="C442" s="98">
        <f t="shared" si="77"/>
        <v>4</v>
      </c>
      <c r="D442" s="98" t="str">
        <f t="shared" si="76"/>
        <v>Petite Gâterie 4</v>
      </c>
      <c r="E442" s="102">
        <f t="shared" si="76"/>
        <v>1.4</v>
      </c>
      <c r="F442" s="102">
        <f t="shared" si="76"/>
        <v>4.5</v>
      </c>
      <c r="G442" s="103">
        <f t="shared" si="78"/>
        <v>0.31111111111111112</v>
      </c>
      <c r="H442" s="104">
        <f t="shared" si="79"/>
        <v>3.1</v>
      </c>
      <c r="I442" s="100">
        <f>+I441+0.01</f>
        <v>4.41</v>
      </c>
      <c r="J442" s="335">
        <f>7/12</f>
        <v>0.58333333333333337</v>
      </c>
    </row>
    <row r="443" spans="1:10" ht="16" x14ac:dyDescent="0.2">
      <c r="A443" s="345"/>
      <c r="B443" s="98">
        <f t="shared" si="77"/>
        <v>5</v>
      </c>
      <c r="C443" s="98">
        <f t="shared" si="77"/>
        <v>5</v>
      </c>
      <c r="D443" s="98" t="str">
        <f t="shared" si="76"/>
        <v>Petite Gâterie 5</v>
      </c>
      <c r="E443" s="102">
        <f t="shared" si="76"/>
        <v>1.24</v>
      </c>
      <c r="F443" s="102">
        <f t="shared" si="76"/>
        <v>4.5999999999999996</v>
      </c>
      <c r="G443" s="103">
        <f t="shared" si="78"/>
        <v>0.26956521739130435</v>
      </c>
      <c r="H443" s="104">
        <f t="shared" si="79"/>
        <v>3.3599999999999994</v>
      </c>
      <c r="I443" s="100"/>
      <c r="J443" s="336"/>
    </row>
    <row r="444" spans="1:10" ht="16" x14ac:dyDescent="0.2">
      <c r="A444" s="345"/>
      <c r="B444" s="98">
        <f t="shared" si="77"/>
        <v>6</v>
      </c>
      <c r="C444" s="98">
        <f t="shared" si="77"/>
        <v>6</v>
      </c>
      <c r="D444" s="98" t="str">
        <f t="shared" si="76"/>
        <v>Petite Gâterie 6</v>
      </c>
      <c r="E444" s="102">
        <f t="shared" si="76"/>
        <v>1.39</v>
      </c>
      <c r="F444" s="102">
        <f t="shared" si="76"/>
        <v>4.7</v>
      </c>
      <c r="G444" s="103">
        <f t="shared" si="78"/>
        <v>0.29574468085106381</v>
      </c>
      <c r="H444" s="104">
        <f t="shared" si="79"/>
        <v>3.3100000000000005</v>
      </c>
      <c r="I444" s="100"/>
      <c r="J444" s="336"/>
    </row>
    <row r="445" spans="1:10" ht="16" x14ac:dyDescent="0.2">
      <c r="A445" s="345"/>
      <c r="B445" s="98">
        <f t="shared" si="77"/>
        <v>7</v>
      </c>
      <c r="C445" s="98">
        <f t="shared" si="77"/>
        <v>7</v>
      </c>
      <c r="D445" s="98" t="str">
        <f t="shared" si="76"/>
        <v>Petite Gâterie 7</v>
      </c>
      <c r="E445" s="102">
        <f t="shared" si="76"/>
        <v>1.51</v>
      </c>
      <c r="F445" s="102">
        <f t="shared" si="76"/>
        <v>4.8</v>
      </c>
      <c r="G445" s="103">
        <f t="shared" si="78"/>
        <v>0.31458333333333333</v>
      </c>
      <c r="H445" s="104">
        <f t="shared" si="79"/>
        <v>3.29</v>
      </c>
      <c r="I445" s="100"/>
      <c r="J445" s="336"/>
    </row>
    <row r="446" spans="1:10" ht="16" x14ac:dyDescent="0.2">
      <c r="A446" s="345"/>
      <c r="B446" s="98">
        <f t="shared" si="77"/>
        <v>8</v>
      </c>
      <c r="C446" s="98">
        <f t="shared" si="77"/>
        <v>8</v>
      </c>
      <c r="D446" s="98" t="str">
        <f t="shared" si="76"/>
        <v>Petite Gâterie 8</v>
      </c>
      <c r="E446" s="102">
        <f t="shared" si="76"/>
        <v>1.53</v>
      </c>
      <c r="F446" s="102">
        <f t="shared" si="76"/>
        <v>4.9000000000000004</v>
      </c>
      <c r="G446" s="103">
        <f t="shared" si="78"/>
        <v>0.31224489795918364</v>
      </c>
      <c r="H446" s="104">
        <f t="shared" si="79"/>
        <v>3.37</v>
      </c>
      <c r="I446" s="100"/>
      <c r="J446" s="336"/>
    </row>
    <row r="447" spans="1:10" ht="16" x14ac:dyDescent="0.2">
      <c r="A447" s="345"/>
      <c r="B447" s="98">
        <f t="shared" si="77"/>
        <v>9</v>
      </c>
      <c r="C447" s="98">
        <f t="shared" si="77"/>
        <v>9</v>
      </c>
      <c r="D447" s="98" t="str">
        <f t="shared" si="76"/>
        <v>Petite Gâterie 9</v>
      </c>
      <c r="E447" s="102">
        <f t="shared" si="76"/>
        <v>1.55</v>
      </c>
      <c r="F447" s="102">
        <f t="shared" si="76"/>
        <v>5</v>
      </c>
      <c r="G447" s="103">
        <f t="shared" si="78"/>
        <v>0.31</v>
      </c>
      <c r="H447" s="104">
        <f t="shared" si="79"/>
        <v>3.45</v>
      </c>
      <c r="I447" s="100"/>
      <c r="J447" s="336"/>
    </row>
    <row r="448" spans="1:10" ht="17" thickBot="1" x14ac:dyDescent="0.25">
      <c r="A448" s="345"/>
      <c r="B448" s="98">
        <f t="shared" si="77"/>
        <v>10</v>
      </c>
      <c r="C448" s="98">
        <f t="shared" si="77"/>
        <v>10</v>
      </c>
      <c r="D448" s="98" t="str">
        <f t="shared" si="76"/>
        <v>Petite Gâterie 10</v>
      </c>
      <c r="E448" s="102">
        <f t="shared" si="76"/>
        <v>1.59</v>
      </c>
      <c r="F448" s="102">
        <f t="shared" si="76"/>
        <v>5.2</v>
      </c>
      <c r="G448" s="103">
        <f t="shared" si="78"/>
        <v>0.30576923076923079</v>
      </c>
      <c r="H448" s="104">
        <f t="shared" si="79"/>
        <v>3.6100000000000003</v>
      </c>
      <c r="I448" s="109">
        <f>+I441+1.1</f>
        <v>5.5</v>
      </c>
      <c r="J448" s="338"/>
    </row>
    <row r="449" spans="1:10" ht="16" x14ac:dyDescent="0.2">
      <c r="A449" s="345"/>
      <c r="B449" s="98">
        <f t="shared" si="77"/>
        <v>11</v>
      </c>
      <c r="C449" s="98">
        <f t="shared" si="77"/>
        <v>11</v>
      </c>
      <c r="D449" s="98" t="str">
        <f t="shared" si="76"/>
        <v>Petite Gâterie 11</v>
      </c>
      <c r="E449" s="102">
        <f t="shared" si="76"/>
        <v>1.83</v>
      </c>
      <c r="F449" s="102">
        <f t="shared" si="76"/>
        <v>6.4</v>
      </c>
      <c r="G449" s="103">
        <f t="shared" si="78"/>
        <v>0.28593750000000001</v>
      </c>
      <c r="H449" s="104">
        <f t="shared" si="79"/>
        <v>4.57</v>
      </c>
      <c r="I449" s="100">
        <f>+I448+0.01</f>
        <v>5.51</v>
      </c>
      <c r="J449" s="335">
        <f>2/12</f>
        <v>0.16666666666666666</v>
      </c>
    </row>
    <row r="450" spans="1:10" ht="16" x14ac:dyDescent="0.2">
      <c r="A450" s="345"/>
      <c r="B450" s="98">
        <f t="shared" si="77"/>
        <v>12</v>
      </c>
      <c r="C450" s="98">
        <f t="shared" si="77"/>
        <v>12</v>
      </c>
      <c r="D450" s="98" t="str">
        <f t="shared" si="76"/>
        <v>Petite Gâterie 12</v>
      </c>
      <c r="E450" s="102">
        <f t="shared" si="76"/>
        <v>1.87</v>
      </c>
      <c r="F450" s="102">
        <f t="shared" si="76"/>
        <v>6.6</v>
      </c>
      <c r="G450" s="103">
        <f t="shared" si="78"/>
        <v>0.28333333333333338</v>
      </c>
      <c r="H450" s="104">
        <f t="shared" si="79"/>
        <v>4.7299999999999995</v>
      </c>
      <c r="I450" s="100">
        <f>F450</f>
        <v>6.6</v>
      </c>
      <c r="J450" s="336"/>
    </row>
    <row r="451" spans="1:10" ht="19" x14ac:dyDescent="0.35">
      <c r="A451" s="345"/>
      <c r="B451" s="98"/>
      <c r="C451" s="98"/>
      <c r="D451" s="99" t="str">
        <f t="shared" si="76"/>
        <v>CmO—PmO—Food Cost—BmO</v>
      </c>
      <c r="E451" s="110">
        <f>SUM(E439:E450)/C450</f>
        <v>1.4816666666666667</v>
      </c>
      <c r="F451" s="111">
        <f>SUM(F439:F450)/C450</f>
        <v>4.8166666666666673</v>
      </c>
      <c r="G451" s="112">
        <f t="shared" si="78"/>
        <v>0.30761245674740478</v>
      </c>
      <c r="H451" s="113">
        <f t="shared" si="79"/>
        <v>3.3350000000000009</v>
      </c>
      <c r="I451" s="114"/>
      <c r="J451" s="98"/>
    </row>
    <row r="452" spans="1:10" ht="16" x14ac:dyDescent="0.2">
      <c r="A452" s="345"/>
      <c r="B452" s="98" t="s">
        <v>0</v>
      </c>
      <c r="C452" s="98"/>
      <c r="D452" s="98"/>
      <c r="E452" s="102"/>
      <c r="F452" s="102"/>
      <c r="G452" s="103"/>
      <c r="H452" s="115"/>
      <c r="I452" s="100"/>
      <c r="J452" s="98"/>
    </row>
    <row r="453" spans="1:10" ht="16" x14ac:dyDescent="0.2">
      <c r="A453" s="345"/>
      <c r="B453" s="98"/>
      <c r="C453" s="98"/>
      <c r="D453" s="99" t="str">
        <f t="shared" ref="D453:F466" si="80">D410</f>
        <v>Les Boissons  Gâteries</v>
      </c>
      <c r="E453" s="102"/>
      <c r="F453" s="102"/>
      <c r="G453" s="103"/>
      <c r="H453" s="115"/>
      <c r="I453" s="100"/>
      <c r="J453" s="98"/>
    </row>
    <row r="454" spans="1:10" ht="16" x14ac:dyDescent="0.2">
      <c r="A454" s="345"/>
      <c r="B454" s="98">
        <f t="shared" ref="B454:C465" si="81">B411</f>
        <v>13</v>
      </c>
      <c r="C454" s="98">
        <f t="shared" si="81"/>
        <v>1</v>
      </c>
      <c r="D454" s="98" t="str">
        <f t="shared" si="80"/>
        <v>Boisson spéciale numéro 1</v>
      </c>
      <c r="E454" s="102">
        <f t="shared" si="80"/>
        <v>2.2799999999999998</v>
      </c>
      <c r="F454" s="102">
        <f t="shared" si="80"/>
        <v>6.6</v>
      </c>
      <c r="G454" s="103">
        <f>E454/F454</f>
        <v>0.34545454545454546</v>
      </c>
      <c r="H454" s="104">
        <f>F454-E454</f>
        <v>4.32</v>
      </c>
      <c r="I454" s="100">
        <f>F454</f>
        <v>6.6</v>
      </c>
      <c r="J454" s="337">
        <f>3/12</f>
        <v>0.25</v>
      </c>
    </row>
    <row r="455" spans="1:10" ht="16" x14ac:dyDescent="0.2">
      <c r="A455" s="345"/>
      <c r="B455" s="98">
        <f t="shared" si="81"/>
        <v>14</v>
      </c>
      <c r="C455" s="98">
        <f t="shared" si="81"/>
        <v>2</v>
      </c>
      <c r="D455" s="98" t="str">
        <f t="shared" si="80"/>
        <v>Boisson spéciale numéro 2</v>
      </c>
      <c r="E455" s="102">
        <f t="shared" si="80"/>
        <v>2.66</v>
      </c>
      <c r="F455" s="102">
        <f t="shared" si="80"/>
        <v>7.6</v>
      </c>
      <c r="G455" s="103">
        <f>E455/F455</f>
        <v>0.35000000000000003</v>
      </c>
      <c r="H455" s="104">
        <f>F455-E455</f>
        <v>4.9399999999999995</v>
      </c>
      <c r="I455" s="100"/>
      <c r="J455" s="336"/>
    </row>
    <row r="456" spans="1:10" ht="17" thickBot="1" x14ac:dyDescent="0.25">
      <c r="A456" s="345"/>
      <c r="B456" s="98">
        <f t="shared" si="81"/>
        <v>15</v>
      </c>
      <c r="C456" s="98">
        <f t="shared" si="81"/>
        <v>3</v>
      </c>
      <c r="D456" s="98" t="str">
        <f t="shared" si="80"/>
        <v>Boisson spéciale numéro 3</v>
      </c>
      <c r="E456" s="102">
        <f t="shared" si="80"/>
        <v>2.74</v>
      </c>
      <c r="F456" s="102">
        <f t="shared" si="80"/>
        <v>8</v>
      </c>
      <c r="G456" s="103">
        <f>E456/F456</f>
        <v>0.34250000000000003</v>
      </c>
      <c r="H456" s="104">
        <f>F456-E456</f>
        <v>5.26</v>
      </c>
      <c r="I456" s="109">
        <f>+I454+2.2</f>
        <v>8.8000000000000007</v>
      </c>
      <c r="J456" s="338"/>
    </row>
    <row r="457" spans="1:10" ht="16" x14ac:dyDescent="0.2">
      <c r="A457" s="345"/>
      <c r="B457" s="98">
        <f t="shared" si="81"/>
        <v>16</v>
      </c>
      <c r="C457" s="98">
        <f t="shared" si="81"/>
        <v>4</v>
      </c>
      <c r="D457" s="98" t="str">
        <f t="shared" si="80"/>
        <v>Boisson spéciale numéro 4</v>
      </c>
      <c r="E457" s="102">
        <f t="shared" si="80"/>
        <v>2.72</v>
      </c>
      <c r="F457" s="102">
        <f t="shared" si="80"/>
        <v>9</v>
      </c>
      <c r="G457" s="103">
        <f t="shared" ref="G457:G464" si="82">E457/F457</f>
        <v>0.30222222222222223</v>
      </c>
      <c r="H457" s="104">
        <f t="shared" ref="H457:H464" si="83">F457-E457</f>
        <v>6.2799999999999994</v>
      </c>
      <c r="I457" s="100">
        <f>+I456+0.01</f>
        <v>8.81</v>
      </c>
      <c r="J457" s="335">
        <f>7/12</f>
        <v>0.58333333333333337</v>
      </c>
    </row>
    <row r="458" spans="1:10" ht="16" x14ac:dyDescent="0.2">
      <c r="A458" s="345"/>
      <c r="B458" s="98">
        <f t="shared" si="81"/>
        <v>17</v>
      </c>
      <c r="C458" s="98">
        <f t="shared" si="81"/>
        <v>5</v>
      </c>
      <c r="D458" s="98" t="str">
        <f t="shared" si="80"/>
        <v>Boisson spéciale numéro 5</v>
      </c>
      <c r="E458" s="102">
        <f t="shared" si="80"/>
        <v>2.76</v>
      </c>
      <c r="F458" s="102">
        <f t="shared" si="80"/>
        <v>9.1999999999999993</v>
      </c>
      <c r="G458" s="103">
        <f t="shared" si="82"/>
        <v>0.3</v>
      </c>
      <c r="H458" s="104">
        <f t="shared" si="83"/>
        <v>6.4399999999999995</v>
      </c>
      <c r="I458" s="100"/>
      <c r="J458" s="336"/>
    </row>
    <row r="459" spans="1:10" ht="16" x14ac:dyDescent="0.2">
      <c r="A459" s="345"/>
      <c r="B459" s="98">
        <f t="shared" si="81"/>
        <v>18</v>
      </c>
      <c r="C459" s="98">
        <f t="shared" si="81"/>
        <v>6</v>
      </c>
      <c r="D459" s="98" t="str">
        <f t="shared" si="80"/>
        <v>Boisson spéciale numéro 6</v>
      </c>
      <c r="E459" s="102">
        <f t="shared" si="80"/>
        <v>2.8</v>
      </c>
      <c r="F459" s="102">
        <f t="shared" si="80"/>
        <v>9.4</v>
      </c>
      <c r="G459" s="103">
        <f t="shared" si="82"/>
        <v>0.2978723404255319</v>
      </c>
      <c r="H459" s="104">
        <f t="shared" si="83"/>
        <v>6.6000000000000005</v>
      </c>
      <c r="I459" s="100"/>
      <c r="J459" s="336"/>
    </row>
    <row r="460" spans="1:10" ht="16" x14ac:dyDescent="0.2">
      <c r="A460" s="345"/>
      <c r="B460" s="98">
        <f t="shared" si="81"/>
        <v>19</v>
      </c>
      <c r="C460" s="98">
        <f t="shared" si="81"/>
        <v>7</v>
      </c>
      <c r="D460" s="98" t="str">
        <f t="shared" si="80"/>
        <v>Boisson spéciale numéro 7</v>
      </c>
      <c r="E460" s="102">
        <f t="shared" si="80"/>
        <v>2.82</v>
      </c>
      <c r="F460" s="102">
        <f t="shared" si="80"/>
        <v>9.6</v>
      </c>
      <c r="G460" s="103">
        <f t="shared" si="82"/>
        <v>0.29375000000000001</v>
      </c>
      <c r="H460" s="104">
        <f t="shared" si="83"/>
        <v>6.7799999999999994</v>
      </c>
      <c r="I460" s="100"/>
      <c r="J460" s="336"/>
    </row>
    <row r="461" spans="1:10" ht="16" x14ac:dyDescent="0.2">
      <c r="A461" s="345"/>
      <c r="B461" s="98">
        <f t="shared" si="81"/>
        <v>20</v>
      </c>
      <c r="C461" s="98">
        <f t="shared" si="81"/>
        <v>8</v>
      </c>
      <c r="D461" s="98" t="str">
        <f t="shared" si="80"/>
        <v>Boisson spéciale numéro 8</v>
      </c>
      <c r="E461" s="102">
        <f t="shared" si="80"/>
        <v>2.86</v>
      </c>
      <c r="F461" s="102">
        <f t="shared" si="80"/>
        <v>9.8000000000000007</v>
      </c>
      <c r="G461" s="103">
        <f t="shared" si="82"/>
        <v>0.2918367346938775</v>
      </c>
      <c r="H461" s="104">
        <f t="shared" si="83"/>
        <v>6.9400000000000013</v>
      </c>
      <c r="I461" s="100"/>
      <c r="J461" s="336"/>
    </row>
    <row r="462" spans="1:10" ht="16" x14ac:dyDescent="0.2">
      <c r="A462" s="345"/>
      <c r="B462" s="98">
        <f t="shared" si="81"/>
        <v>21</v>
      </c>
      <c r="C462" s="98">
        <f t="shared" si="81"/>
        <v>9</v>
      </c>
      <c r="D462" s="98" t="str">
        <f t="shared" si="80"/>
        <v>Boisson spéciale numéro 9</v>
      </c>
      <c r="E462" s="102">
        <f t="shared" si="80"/>
        <v>2.9</v>
      </c>
      <c r="F462" s="102">
        <f t="shared" si="80"/>
        <v>10</v>
      </c>
      <c r="G462" s="103">
        <f t="shared" si="82"/>
        <v>0.28999999999999998</v>
      </c>
      <c r="H462" s="104">
        <f t="shared" si="83"/>
        <v>7.1</v>
      </c>
      <c r="I462" s="100"/>
      <c r="J462" s="336"/>
    </row>
    <row r="463" spans="1:10" ht="17" thickBot="1" x14ac:dyDescent="0.25">
      <c r="A463" s="345"/>
      <c r="B463" s="98">
        <f t="shared" si="81"/>
        <v>22</v>
      </c>
      <c r="C463" s="98">
        <f t="shared" si="81"/>
        <v>10</v>
      </c>
      <c r="D463" s="98" t="str">
        <f t="shared" si="80"/>
        <v>Boisson spéciale numéro 10</v>
      </c>
      <c r="E463" s="102">
        <f t="shared" si="80"/>
        <v>2.98</v>
      </c>
      <c r="F463" s="102">
        <f t="shared" si="80"/>
        <v>10.4</v>
      </c>
      <c r="G463" s="103">
        <f t="shared" si="82"/>
        <v>0.28653846153846152</v>
      </c>
      <c r="H463" s="104">
        <f t="shared" si="83"/>
        <v>7.42</v>
      </c>
      <c r="I463" s="109">
        <f>+I456+2.2</f>
        <v>11</v>
      </c>
      <c r="J463" s="338"/>
    </row>
    <row r="464" spans="1:10" ht="16" x14ac:dyDescent="0.2">
      <c r="A464" s="345"/>
      <c r="B464" s="98">
        <f t="shared" si="81"/>
        <v>23</v>
      </c>
      <c r="C464" s="98">
        <f t="shared" si="81"/>
        <v>11</v>
      </c>
      <c r="D464" s="98" t="str">
        <f t="shared" si="80"/>
        <v>Boisson spéciale numéro 11</v>
      </c>
      <c r="E464" s="102">
        <f t="shared" si="80"/>
        <v>3.18</v>
      </c>
      <c r="F464" s="102">
        <f t="shared" si="80"/>
        <v>11.6</v>
      </c>
      <c r="G464" s="103">
        <f t="shared" si="82"/>
        <v>0.27413793103448281</v>
      </c>
      <c r="H464" s="104">
        <f t="shared" si="83"/>
        <v>8.42</v>
      </c>
      <c r="I464" s="100">
        <f>+I463+0.01</f>
        <v>11.01</v>
      </c>
      <c r="J464" s="335">
        <f>2/12</f>
        <v>0.16666666666666666</v>
      </c>
    </row>
    <row r="465" spans="1:10" ht="16" x14ac:dyDescent="0.2">
      <c r="A465" s="345"/>
      <c r="B465" s="98">
        <f t="shared" si="81"/>
        <v>24</v>
      </c>
      <c r="C465" s="98">
        <f t="shared" si="81"/>
        <v>12</v>
      </c>
      <c r="D465" s="98" t="str">
        <f t="shared" si="80"/>
        <v>Boisson spéciale numéro 12</v>
      </c>
      <c r="E465" s="102">
        <f t="shared" si="80"/>
        <v>3.48</v>
      </c>
      <c r="F465" s="102">
        <f t="shared" si="80"/>
        <v>13.2</v>
      </c>
      <c r="G465" s="103">
        <f>E465/F465</f>
        <v>0.26363636363636367</v>
      </c>
      <c r="H465" s="104">
        <f>F465-E465</f>
        <v>9.7199999999999989</v>
      </c>
      <c r="I465" s="100">
        <f>F465</f>
        <v>13.2</v>
      </c>
      <c r="J465" s="336"/>
    </row>
    <row r="466" spans="1:10" ht="19" x14ac:dyDescent="0.35">
      <c r="A466" s="345"/>
      <c r="B466" s="98"/>
      <c r="C466" s="98"/>
      <c r="D466" s="99" t="str">
        <f t="shared" si="80"/>
        <v>CmO—PmO—Beverage Cost—Marge brute</v>
      </c>
      <c r="E466" s="110">
        <f>SUM(E454:E465)/C465</f>
        <v>2.8483333333333332</v>
      </c>
      <c r="F466" s="111">
        <f>SUM(F454:F465)/C465</f>
        <v>9.5333333333333332</v>
      </c>
      <c r="G466" s="116">
        <f>E466/F466</f>
        <v>0.29877622377622376</v>
      </c>
      <c r="H466" s="113">
        <f>F466-E466</f>
        <v>6.6850000000000005</v>
      </c>
      <c r="I466" s="114"/>
      <c r="J466" s="98"/>
    </row>
    <row r="467" spans="1:10" ht="17" thickBot="1" x14ac:dyDescent="0.25">
      <c r="A467" s="345"/>
      <c r="B467" s="98"/>
      <c r="C467" s="98"/>
      <c r="D467" s="98"/>
      <c r="E467" s="102"/>
      <c r="F467" s="102"/>
      <c r="G467" s="101"/>
      <c r="H467" s="115"/>
      <c r="I467" s="98"/>
      <c r="J467" s="98"/>
    </row>
    <row r="468" spans="1:10" ht="21" thickTop="1" thickBot="1" x14ac:dyDescent="0.4">
      <c r="A468" s="345"/>
      <c r="B468" s="98"/>
      <c r="C468" s="117"/>
      <c r="D468" s="118"/>
      <c r="E468" s="119"/>
      <c r="F468" s="119"/>
      <c r="G468" s="120"/>
      <c r="H468" s="121"/>
      <c r="I468" s="122"/>
      <c r="J468" s="98"/>
    </row>
    <row r="469" spans="1:10" ht="18" thickTop="1" thickBot="1" x14ac:dyDescent="0.25">
      <c r="A469" s="345"/>
      <c r="B469" s="98"/>
      <c r="C469" s="123"/>
      <c r="D469" s="99"/>
      <c r="E469" s="124" t="str">
        <f>E426</f>
        <v>CmO</v>
      </c>
      <c r="F469" s="124" t="str">
        <f>F426</f>
        <v>PmO</v>
      </c>
      <c r="G469" s="125" t="str">
        <f>G426</f>
        <v>F&amp;BCmO</v>
      </c>
      <c r="H469" s="126" t="str">
        <f>H426</f>
        <v>BmO</v>
      </c>
      <c r="I469" s="127"/>
      <c r="J469" s="98"/>
    </row>
    <row r="470" spans="1:10" ht="17" thickTop="1" x14ac:dyDescent="0.2">
      <c r="A470" s="345"/>
      <c r="B470" s="98"/>
      <c r="C470" s="123"/>
      <c r="D470" s="128" t="str">
        <f>D427</f>
        <v>OFFRE TOTALE AVEC LES GÂTERIES ET LES CAFÉS GÂTERIES</v>
      </c>
      <c r="E470" s="102"/>
      <c r="F470" s="102"/>
      <c r="G470" s="101"/>
      <c r="H470" s="115"/>
      <c r="I470" s="129"/>
      <c r="J470" s="98"/>
    </row>
    <row r="471" spans="1:10" ht="19" x14ac:dyDescent="0.35">
      <c r="A471" s="345"/>
      <c r="B471" s="98"/>
      <c r="C471" s="123"/>
      <c r="D471" s="99" t="str">
        <f>D428</f>
        <v>CmO—PmO—F&amp;B cost moyen offert—Marge brute</v>
      </c>
      <c r="E471" s="111">
        <f>+(E439+E440+E441+E442+E443+E444+E445+E446+E447+E448+E449+E450+E454+E455+E456+E457+E458+E459+E460+E461+E462+E463+E464+E465)/B465</f>
        <v>2.1649999999999996</v>
      </c>
      <c r="F471" s="111">
        <f>+(F439+F440+F441+F442+F443+F444+F445+F446+F447+F448+F449+F450+F454+F455+F456+F457+F458+F459+F460+F461+F462+F463+F464+F465)/B465</f>
        <v>7.1749999999999998</v>
      </c>
      <c r="G471" s="130">
        <f>E471/F471</f>
        <v>0.30174216027874562</v>
      </c>
      <c r="H471" s="111">
        <f>F471-E471</f>
        <v>5.01</v>
      </c>
      <c r="I471" s="132"/>
      <c r="J471" s="98"/>
    </row>
    <row r="472" spans="1:10" ht="16" x14ac:dyDescent="0.2">
      <c r="A472" s="345"/>
      <c r="B472" s="98"/>
      <c r="C472" s="123"/>
      <c r="D472" s="98"/>
      <c r="E472" s="133"/>
      <c r="F472" s="133"/>
      <c r="G472" s="134"/>
      <c r="H472" s="135"/>
      <c r="I472" s="136"/>
      <c r="J472" s="98"/>
    </row>
    <row r="473" spans="1:10" ht="17" thickBot="1" x14ac:dyDescent="0.25">
      <c r="A473" s="345"/>
      <c r="B473" s="98"/>
      <c r="C473" s="137"/>
      <c r="D473" s="138"/>
      <c r="E473" s="139"/>
      <c r="F473" s="139"/>
      <c r="G473" s="140"/>
      <c r="H473" s="141"/>
      <c r="I473" s="142"/>
      <c r="J473" s="98"/>
    </row>
    <row r="474" spans="1:10" ht="14" thickTop="1" x14ac:dyDescent="0.15">
      <c r="A474" s="345"/>
    </row>
    <row r="475" spans="1:10" ht="22" x14ac:dyDescent="0.25">
      <c r="A475" s="345"/>
      <c r="D475" s="92" t="s">
        <v>106</v>
      </c>
      <c r="F475" s="93"/>
    </row>
    <row r="476" spans="1:10" ht="23" thickBot="1" x14ac:dyDescent="0.3">
      <c r="A476" s="345"/>
      <c r="D476" s="94"/>
    </row>
    <row r="477" spans="1:10" ht="23" customHeight="1" thickTop="1" x14ac:dyDescent="0.25">
      <c r="A477" s="345"/>
      <c r="D477" s="94"/>
      <c r="E477" s="339" t="str">
        <f>E434</f>
        <v>Coûts des ressources alimentaires pour chaque produit offert (voir recettes standardisées)</v>
      </c>
      <c r="F477" s="339" t="str">
        <f>F434</f>
        <v>Prix de vente par produit offert</v>
      </c>
      <c r="G477" s="339" t="str">
        <f>G434</f>
        <v xml:space="preserve">« Food &amp; Beverage Cost » </v>
      </c>
      <c r="H477" s="339" t="str">
        <f>H434</f>
        <v>Marge brute gagnée sur la vente de chaque produit offert</v>
      </c>
      <c r="I477" s="95"/>
    </row>
    <row r="478" spans="1:10" ht="22" x14ac:dyDescent="0.25">
      <c r="A478" s="345"/>
      <c r="D478" s="94"/>
      <c r="E478" s="340"/>
      <c r="F478" s="342"/>
      <c r="G478" s="342"/>
      <c r="H478" s="342"/>
      <c r="I478" s="96"/>
    </row>
    <row r="479" spans="1:10" ht="14" customHeight="1" thickBot="1" x14ac:dyDescent="0.2">
      <c r="A479" s="345"/>
      <c r="E479" s="341"/>
      <c r="F479" s="343"/>
      <c r="G479" s="343"/>
      <c r="H479" s="343"/>
      <c r="I479" s="96"/>
    </row>
    <row r="480" spans="1:10" ht="14" thickTop="1" x14ac:dyDescent="0.15">
      <c r="A480" s="345"/>
      <c r="B480" s="90" t="s">
        <v>0</v>
      </c>
      <c r="E480" s="93"/>
      <c r="F480" s="93"/>
      <c r="G480" s="97"/>
    </row>
    <row r="481" spans="1:10" ht="16" x14ac:dyDescent="0.2">
      <c r="A481" s="345"/>
      <c r="B481" s="98"/>
      <c r="C481" s="98"/>
      <c r="D481" s="99" t="str">
        <f t="shared" ref="D481:F494" si="84">D438</f>
        <v>Les Petites Gâteries</v>
      </c>
      <c r="E481" s="100"/>
      <c r="F481" s="100"/>
      <c r="G481" s="101"/>
      <c r="H481" s="98"/>
      <c r="I481" s="98"/>
      <c r="J481" s="98"/>
    </row>
    <row r="482" spans="1:10" ht="16" x14ac:dyDescent="0.2">
      <c r="A482" s="345"/>
      <c r="B482" s="98">
        <f t="shared" ref="B482:C493" si="85">B439</f>
        <v>1</v>
      </c>
      <c r="C482" s="98">
        <f t="shared" si="85"/>
        <v>1</v>
      </c>
      <c r="D482" s="98" t="str">
        <f t="shared" si="84"/>
        <v>Petite Gâterie 1</v>
      </c>
      <c r="E482" s="102">
        <f>E439</f>
        <v>1.21</v>
      </c>
      <c r="F482" s="102">
        <f>F439</f>
        <v>3.3</v>
      </c>
      <c r="G482" s="103">
        <f t="shared" ref="G482:G494" si="86">E482/F482</f>
        <v>0.3666666666666667</v>
      </c>
      <c r="H482" s="104">
        <f t="shared" ref="H482:H494" si="87">F482-E482</f>
        <v>2.09</v>
      </c>
      <c r="I482" s="100">
        <f>F482</f>
        <v>3.3</v>
      </c>
      <c r="J482" s="337">
        <f>3/12</f>
        <v>0.25</v>
      </c>
    </row>
    <row r="483" spans="1:10" ht="16" x14ac:dyDescent="0.2">
      <c r="A483" s="345"/>
      <c r="B483" s="98">
        <f t="shared" si="85"/>
        <v>2</v>
      </c>
      <c r="C483" s="98">
        <f t="shared" si="85"/>
        <v>2</v>
      </c>
      <c r="D483" s="98" t="str">
        <f t="shared" si="84"/>
        <v>Petite Gâterie 2</v>
      </c>
      <c r="E483" s="102">
        <f t="shared" si="84"/>
        <v>1.31</v>
      </c>
      <c r="F483" s="102">
        <f t="shared" si="84"/>
        <v>3.8</v>
      </c>
      <c r="G483" s="103">
        <f t="shared" si="86"/>
        <v>0.34473684210526317</v>
      </c>
      <c r="H483" s="104">
        <f t="shared" si="87"/>
        <v>2.4899999999999998</v>
      </c>
      <c r="I483" s="100"/>
      <c r="J483" s="336"/>
    </row>
    <row r="484" spans="1:10" ht="17" thickBot="1" x14ac:dyDescent="0.25">
      <c r="A484" s="345"/>
      <c r="B484" s="98">
        <f t="shared" si="85"/>
        <v>3</v>
      </c>
      <c r="C484" s="98">
        <f t="shared" si="85"/>
        <v>3</v>
      </c>
      <c r="D484" s="98" t="str">
        <f t="shared" si="84"/>
        <v>Petite Gâterie 3</v>
      </c>
      <c r="E484" s="102">
        <f t="shared" si="84"/>
        <v>1.35</v>
      </c>
      <c r="F484" s="102">
        <f t="shared" si="84"/>
        <v>4</v>
      </c>
      <c r="G484" s="103">
        <f t="shared" si="86"/>
        <v>0.33750000000000002</v>
      </c>
      <c r="H484" s="104">
        <f t="shared" si="87"/>
        <v>2.65</v>
      </c>
      <c r="I484" s="109">
        <f>+I482+1.1</f>
        <v>4.4000000000000004</v>
      </c>
      <c r="J484" s="338"/>
    </row>
    <row r="485" spans="1:10" ht="16" x14ac:dyDescent="0.2">
      <c r="A485" s="345"/>
      <c r="B485" s="98">
        <f t="shared" si="85"/>
        <v>4</v>
      </c>
      <c r="C485" s="98">
        <f t="shared" si="85"/>
        <v>4</v>
      </c>
      <c r="D485" s="98" t="str">
        <f t="shared" si="84"/>
        <v>Petite Gâterie 4</v>
      </c>
      <c r="E485" s="102">
        <f t="shared" si="84"/>
        <v>1.4</v>
      </c>
      <c r="F485" s="102">
        <f t="shared" si="84"/>
        <v>4.5</v>
      </c>
      <c r="G485" s="103">
        <f t="shared" si="86"/>
        <v>0.31111111111111112</v>
      </c>
      <c r="H485" s="104">
        <f t="shared" si="87"/>
        <v>3.1</v>
      </c>
      <c r="I485" s="100">
        <f>+I484+0.01</f>
        <v>4.41</v>
      </c>
      <c r="J485" s="335">
        <f>7/12</f>
        <v>0.58333333333333337</v>
      </c>
    </row>
    <row r="486" spans="1:10" ht="16" x14ac:dyDescent="0.2">
      <c r="A486" s="345"/>
      <c r="B486" s="98">
        <f t="shared" si="85"/>
        <v>5</v>
      </c>
      <c r="C486" s="98">
        <f t="shared" si="85"/>
        <v>5</v>
      </c>
      <c r="D486" s="98" t="str">
        <f t="shared" si="84"/>
        <v>Petite Gâterie 5</v>
      </c>
      <c r="E486" s="102">
        <f t="shared" si="84"/>
        <v>1.24</v>
      </c>
      <c r="F486" s="102">
        <f t="shared" si="84"/>
        <v>4.5999999999999996</v>
      </c>
      <c r="G486" s="103">
        <f t="shared" si="86"/>
        <v>0.26956521739130435</v>
      </c>
      <c r="H486" s="104">
        <f t="shared" si="87"/>
        <v>3.3599999999999994</v>
      </c>
      <c r="I486" s="100"/>
      <c r="J486" s="336"/>
    </row>
    <row r="487" spans="1:10" ht="16" x14ac:dyDescent="0.2">
      <c r="A487" s="345"/>
      <c r="B487" s="98">
        <f t="shared" si="85"/>
        <v>6</v>
      </c>
      <c r="C487" s="98">
        <f t="shared" si="85"/>
        <v>6</v>
      </c>
      <c r="D487" s="98" t="str">
        <f t="shared" si="84"/>
        <v>Petite Gâterie 6</v>
      </c>
      <c r="E487" s="102">
        <f t="shared" si="84"/>
        <v>1.39</v>
      </c>
      <c r="F487" s="102">
        <f t="shared" si="84"/>
        <v>4.7</v>
      </c>
      <c r="G487" s="103">
        <f t="shared" si="86"/>
        <v>0.29574468085106381</v>
      </c>
      <c r="H487" s="104">
        <f t="shared" si="87"/>
        <v>3.3100000000000005</v>
      </c>
      <c r="I487" s="100"/>
      <c r="J487" s="336"/>
    </row>
    <row r="488" spans="1:10" ht="16" x14ac:dyDescent="0.2">
      <c r="A488" s="345"/>
      <c r="B488" s="98">
        <f t="shared" si="85"/>
        <v>7</v>
      </c>
      <c r="C488" s="98">
        <f t="shared" si="85"/>
        <v>7</v>
      </c>
      <c r="D488" s="98" t="str">
        <f t="shared" si="84"/>
        <v>Petite Gâterie 7</v>
      </c>
      <c r="E488" s="102">
        <f t="shared" si="84"/>
        <v>1.51</v>
      </c>
      <c r="F488" s="102">
        <f t="shared" si="84"/>
        <v>4.8</v>
      </c>
      <c r="G488" s="103">
        <f t="shared" si="86"/>
        <v>0.31458333333333333</v>
      </c>
      <c r="H488" s="104">
        <f t="shared" si="87"/>
        <v>3.29</v>
      </c>
      <c r="I488" s="100"/>
      <c r="J488" s="336"/>
    </row>
    <row r="489" spans="1:10" ht="16" x14ac:dyDescent="0.2">
      <c r="A489" s="345"/>
      <c r="B489" s="98">
        <f t="shared" si="85"/>
        <v>8</v>
      </c>
      <c r="C489" s="98">
        <f t="shared" si="85"/>
        <v>8</v>
      </c>
      <c r="D489" s="98" t="str">
        <f t="shared" si="84"/>
        <v>Petite Gâterie 8</v>
      </c>
      <c r="E489" s="102">
        <f t="shared" si="84"/>
        <v>1.53</v>
      </c>
      <c r="F489" s="102">
        <f t="shared" si="84"/>
        <v>4.9000000000000004</v>
      </c>
      <c r="G489" s="103">
        <f t="shared" si="86"/>
        <v>0.31224489795918364</v>
      </c>
      <c r="H489" s="104">
        <f t="shared" si="87"/>
        <v>3.37</v>
      </c>
      <c r="I489" s="100"/>
      <c r="J489" s="336"/>
    </row>
    <row r="490" spans="1:10" ht="16" x14ac:dyDescent="0.2">
      <c r="A490" s="345"/>
      <c r="B490" s="98">
        <f t="shared" si="85"/>
        <v>9</v>
      </c>
      <c r="C490" s="98">
        <f t="shared" si="85"/>
        <v>9</v>
      </c>
      <c r="D490" s="98" t="str">
        <f t="shared" si="84"/>
        <v>Petite Gâterie 9</v>
      </c>
      <c r="E490" s="102">
        <f t="shared" si="84"/>
        <v>1.55</v>
      </c>
      <c r="F490" s="102">
        <f t="shared" si="84"/>
        <v>5</v>
      </c>
      <c r="G490" s="103">
        <f t="shared" si="86"/>
        <v>0.31</v>
      </c>
      <c r="H490" s="104">
        <f t="shared" si="87"/>
        <v>3.45</v>
      </c>
      <c r="I490" s="100"/>
      <c r="J490" s="336"/>
    </row>
    <row r="491" spans="1:10" ht="17" thickBot="1" x14ac:dyDescent="0.25">
      <c r="A491" s="345"/>
      <c r="B491" s="98">
        <f t="shared" si="85"/>
        <v>10</v>
      </c>
      <c r="C491" s="98">
        <f t="shared" si="85"/>
        <v>10</v>
      </c>
      <c r="D491" s="98" t="str">
        <f t="shared" si="84"/>
        <v>Petite Gâterie 10</v>
      </c>
      <c r="E491" s="102">
        <f t="shared" si="84"/>
        <v>1.59</v>
      </c>
      <c r="F491" s="102">
        <f t="shared" si="84"/>
        <v>5.2</v>
      </c>
      <c r="G491" s="103">
        <f t="shared" si="86"/>
        <v>0.30576923076923079</v>
      </c>
      <c r="H491" s="104">
        <f t="shared" si="87"/>
        <v>3.6100000000000003</v>
      </c>
      <c r="I491" s="109">
        <f>+I484+1.1</f>
        <v>5.5</v>
      </c>
      <c r="J491" s="338"/>
    </row>
    <row r="492" spans="1:10" ht="16" x14ac:dyDescent="0.2">
      <c r="A492" s="345"/>
      <c r="B492" s="98">
        <f t="shared" si="85"/>
        <v>11</v>
      </c>
      <c r="C492" s="98">
        <f t="shared" si="85"/>
        <v>11</v>
      </c>
      <c r="D492" s="98" t="str">
        <f t="shared" si="84"/>
        <v>Petite Gâterie 11</v>
      </c>
      <c r="E492" s="102">
        <f t="shared" si="84"/>
        <v>1.83</v>
      </c>
      <c r="F492" s="102">
        <f t="shared" si="84"/>
        <v>6.4</v>
      </c>
      <c r="G492" s="103">
        <f t="shared" si="86"/>
        <v>0.28593750000000001</v>
      </c>
      <c r="H492" s="104">
        <f t="shared" si="87"/>
        <v>4.57</v>
      </c>
      <c r="I492" s="100">
        <f>+I491+0.01</f>
        <v>5.51</v>
      </c>
      <c r="J492" s="335">
        <f>2/12</f>
        <v>0.16666666666666666</v>
      </c>
    </row>
    <row r="493" spans="1:10" ht="16" x14ac:dyDescent="0.2">
      <c r="A493" s="345"/>
      <c r="B493" s="98">
        <f t="shared" si="85"/>
        <v>12</v>
      </c>
      <c r="C493" s="98">
        <f t="shared" si="85"/>
        <v>12</v>
      </c>
      <c r="D493" s="98" t="str">
        <f t="shared" si="84"/>
        <v>Petite Gâterie 12</v>
      </c>
      <c r="E493" s="102">
        <f>E450</f>
        <v>1.87</v>
      </c>
      <c r="F493" s="102">
        <f t="shared" si="84"/>
        <v>6.6</v>
      </c>
      <c r="G493" s="103">
        <f t="shared" si="86"/>
        <v>0.28333333333333338</v>
      </c>
      <c r="H493" s="104">
        <f t="shared" si="87"/>
        <v>4.7299999999999995</v>
      </c>
      <c r="I493" s="100">
        <f>F493</f>
        <v>6.6</v>
      </c>
      <c r="J493" s="336"/>
    </row>
    <row r="494" spans="1:10" ht="19" x14ac:dyDescent="0.35">
      <c r="A494" s="345"/>
      <c r="B494" s="98"/>
      <c r="C494" s="98"/>
      <c r="D494" s="99" t="str">
        <f t="shared" si="84"/>
        <v>CmO—PmO—Food Cost—BmO</v>
      </c>
      <c r="E494" s="110">
        <f>SUM(E482:E493)/C493</f>
        <v>1.4816666666666667</v>
      </c>
      <c r="F494" s="111">
        <f>SUM(F482:F493)/C493</f>
        <v>4.8166666666666673</v>
      </c>
      <c r="G494" s="112">
        <f t="shared" si="86"/>
        <v>0.30761245674740478</v>
      </c>
      <c r="H494" s="113">
        <f t="shared" si="87"/>
        <v>3.3350000000000009</v>
      </c>
      <c r="I494" s="114"/>
      <c r="J494" s="98"/>
    </row>
    <row r="495" spans="1:10" ht="16" x14ac:dyDescent="0.2">
      <c r="A495" s="345"/>
      <c r="B495" s="98" t="s">
        <v>0</v>
      </c>
      <c r="C495" s="98"/>
      <c r="D495" s="98"/>
      <c r="E495" s="102"/>
      <c r="F495" s="102"/>
      <c r="G495" s="103"/>
      <c r="H495" s="115"/>
      <c r="I495" s="100"/>
      <c r="J495" s="98"/>
    </row>
    <row r="496" spans="1:10" ht="16" x14ac:dyDescent="0.2">
      <c r="A496" s="345"/>
      <c r="B496" s="98"/>
      <c r="C496" s="98"/>
      <c r="D496" s="99" t="str">
        <f t="shared" ref="D496:F509" si="88">D453</f>
        <v>Les Boissons  Gâteries</v>
      </c>
      <c r="E496" s="102"/>
      <c r="F496" s="102"/>
      <c r="G496" s="103"/>
      <c r="H496" s="115"/>
      <c r="I496" s="100"/>
      <c r="J496" s="98"/>
    </row>
    <row r="497" spans="1:10" ht="16" x14ac:dyDescent="0.2">
      <c r="A497" s="345"/>
      <c r="B497" s="98">
        <f t="shared" ref="B497:C508" si="89">B454</f>
        <v>13</v>
      </c>
      <c r="C497" s="98">
        <f t="shared" si="89"/>
        <v>1</v>
      </c>
      <c r="D497" s="98" t="str">
        <f t="shared" si="88"/>
        <v>Boisson spéciale numéro 1</v>
      </c>
      <c r="E497" s="102">
        <f t="shared" si="88"/>
        <v>2.2799999999999998</v>
      </c>
      <c r="F497" s="102">
        <f t="shared" si="88"/>
        <v>6.6</v>
      </c>
      <c r="G497" s="103">
        <f>E497/F497</f>
        <v>0.34545454545454546</v>
      </c>
      <c r="H497" s="104">
        <f>F497-E497</f>
        <v>4.32</v>
      </c>
      <c r="I497" s="100">
        <f>F497</f>
        <v>6.6</v>
      </c>
      <c r="J497" s="337">
        <f>3/12</f>
        <v>0.25</v>
      </c>
    </row>
    <row r="498" spans="1:10" ht="16" x14ac:dyDescent="0.2">
      <c r="A498" s="345"/>
      <c r="B498" s="98">
        <f t="shared" si="89"/>
        <v>14</v>
      </c>
      <c r="C498" s="98">
        <f t="shared" si="89"/>
        <v>2</v>
      </c>
      <c r="D498" s="98" t="str">
        <f t="shared" si="88"/>
        <v>Boisson spéciale numéro 2</v>
      </c>
      <c r="E498" s="102">
        <f t="shared" si="88"/>
        <v>2.66</v>
      </c>
      <c r="F498" s="102">
        <f t="shared" si="88"/>
        <v>7.6</v>
      </c>
      <c r="G498" s="103">
        <f>E498/F498</f>
        <v>0.35000000000000003</v>
      </c>
      <c r="H498" s="104">
        <f>F498-E498</f>
        <v>4.9399999999999995</v>
      </c>
      <c r="I498" s="100"/>
      <c r="J498" s="336"/>
    </row>
    <row r="499" spans="1:10" ht="17" thickBot="1" x14ac:dyDescent="0.25">
      <c r="A499" s="345"/>
      <c r="B499" s="98">
        <f t="shared" si="89"/>
        <v>15</v>
      </c>
      <c r="C499" s="98">
        <f t="shared" si="89"/>
        <v>3</v>
      </c>
      <c r="D499" s="98" t="str">
        <f t="shared" si="88"/>
        <v>Boisson spéciale numéro 3</v>
      </c>
      <c r="E499" s="102">
        <f t="shared" si="88"/>
        <v>2.74</v>
      </c>
      <c r="F499" s="102">
        <f t="shared" si="88"/>
        <v>8</v>
      </c>
      <c r="G499" s="103">
        <f>E499/F499</f>
        <v>0.34250000000000003</v>
      </c>
      <c r="H499" s="104">
        <f>F499-E499</f>
        <v>5.26</v>
      </c>
      <c r="I499" s="109">
        <f>+I497+2.2</f>
        <v>8.8000000000000007</v>
      </c>
      <c r="J499" s="338"/>
    </row>
    <row r="500" spans="1:10" ht="16" x14ac:dyDescent="0.2">
      <c r="A500" s="345"/>
      <c r="B500" s="98">
        <f t="shared" si="89"/>
        <v>16</v>
      </c>
      <c r="C500" s="98">
        <f t="shared" si="89"/>
        <v>4</v>
      </c>
      <c r="D500" s="98" t="str">
        <f t="shared" si="88"/>
        <v>Boisson spéciale numéro 4</v>
      </c>
      <c r="E500" s="102">
        <f t="shared" si="88"/>
        <v>2.72</v>
      </c>
      <c r="F500" s="102">
        <f t="shared" si="88"/>
        <v>9</v>
      </c>
      <c r="G500" s="103">
        <f t="shared" ref="G500:G507" si="90">E500/F500</f>
        <v>0.30222222222222223</v>
      </c>
      <c r="H500" s="104">
        <f t="shared" ref="H500:H507" si="91">F500-E500</f>
        <v>6.2799999999999994</v>
      </c>
      <c r="I500" s="100">
        <f>+I499+0.01</f>
        <v>8.81</v>
      </c>
      <c r="J500" s="335">
        <f>7/12</f>
        <v>0.58333333333333337</v>
      </c>
    </row>
    <row r="501" spans="1:10" ht="16" x14ac:dyDescent="0.2">
      <c r="A501" s="345"/>
      <c r="B501" s="98">
        <f t="shared" si="89"/>
        <v>17</v>
      </c>
      <c r="C501" s="98">
        <f t="shared" si="89"/>
        <v>5</v>
      </c>
      <c r="D501" s="98" t="str">
        <f t="shared" si="88"/>
        <v>Boisson spéciale numéro 5</v>
      </c>
      <c r="E501" s="102">
        <f t="shared" si="88"/>
        <v>2.76</v>
      </c>
      <c r="F501" s="102">
        <f t="shared" si="88"/>
        <v>9.1999999999999993</v>
      </c>
      <c r="G501" s="103">
        <f t="shared" si="90"/>
        <v>0.3</v>
      </c>
      <c r="H501" s="104">
        <f t="shared" si="91"/>
        <v>6.4399999999999995</v>
      </c>
      <c r="I501" s="100"/>
      <c r="J501" s="336"/>
    </row>
    <row r="502" spans="1:10" ht="16" x14ac:dyDescent="0.2">
      <c r="A502" s="345"/>
      <c r="B502" s="98">
        <f t="shared" si="89"/>
        <v>18</v>
      </c>
      <c r="C502" s="98">
        <f t="shared" si="89"/>
        <v>6</v>
      </c>
      <c r="D502" s="98" t="str">
        <f t="shared" si="88"/>
        <v>Boisson spéciale numéro 6</v>
      </c>
      <c r="E502" s="102">
        <f t="shared" si="88"/>
        <v>2.8</v>
      </c>
      <c r="F502" s="102">
        <f t="shared" si="88"/>
        <v>9.4</v>
      </c>
      <c r="G502" s="103">
        <f t="shared" si="90"/>
        <v>0.2978723404255319</v>
      </c>
      <c r="H502" s="104">
        <f t="shared" si="91"/>
        <v>6.6000000000000005</v>
      </c>
      <c r="I502" s="100"/>
      <c r="J502" s="336"/>
    </row>
    <row r="503" spans="1:10" ht="16" x14ac:dyDescent="0.2">
      <c r="A503" s="345"/>
      <c r="B503" s="98">
        <f t="shared" si="89"/>
        <v>19</v>
      </c>
      <c r="C503" s="98">
        <f t="shared" si="89"/>
        <v>7</v>
      </c>
      <c r="D503" s="98" t="str">
        <f t="shared" si="88"/>
        <v>Boisson spéciale numéro 7</v>
      </c>
      <c r="E503" s="102">
        <f t="shared" si="88"/>
        <v>2.82</v>
      </c>
      <c r="F503" s="102">
        <f t="shared" si="88"/>
        <v>9.6</v>
      </c>
      <c r="G503" s="103">
        <f t="shared" si="90"/>
        <v>0.29375000000000001</v>
      </c>
      <c r="H503" s="104">
        <f t="shared" si="91"/>
        <v>6.7799999999999994</v>
      </c>
      <c r="I503" s="100"/>
      <c r="J503" s="336"/>
    </row>
    <row r="504" spans="1:10" ht="16" x14ac:dyDescent="0.2">
      <c r="A504" s="345"/>
      <c r="B504" s="98">
        <f t="shared" si="89"/>
        <v>20</v>
      </c>
      <c r="C504" s="98">
        <f t="shared" si="89"/>
        <v>8</v>
      </c>
      <c r="D504" s="98" t="str">
        <f t="shared" si="88"/>
        <v>Boisson spéciale numéro 8</v>
      </c>
      <c r="E504" s="102">
        <f t="shared" si="88"/>
        <v>2.86</v>
      </c>
      <c r="F504" s="102">
        <f t="shared" si="88"/>
        <v>9.8000000000000007</v>
      </c>
      <c r="G504" s="103">
        <f t="shared" si="90"/>
        <v>0.2918367346938775</v>
      </c>
      <c r="H504" s="104">
        <f t="shared" si="91"/>
        <v>6.9400000000000013</v>
      </c>
      <c r="I504" s="100"/>
      <c r="J504" s="336"/>
    </row>
    <row r="505" spans="1:10" ht="16" x14ac:dyDescent="0.2">
      <c r="A505" s="345"/>
      <c r="B505" s="98">
        <f t="shared" si="89"/>
        <v>21</v>
      </c>
      <c r="C505" s="98">
        <f t="shared" si="89"/>
        <v>9</v>
      </c>
      <c r="D505" s="98" t="str">
        <f t="shared" si="88"/>
        <v>Boisson spéciale numéro 9</v>
      </c>
      <c r="E505" s="102">
        <f t="shared" si="88"/>
        <v>2.9</v>
      </c>
      <c r="F505" s="102">
        <f t="shared" si="88"/>
        <v>10</v>
      </c>
      <c r="G505" s="103">
        <f t="shared" si="90"/>
        <v>0.28999999999999998</v>
      </c>
      <c r="H505" s="104">
        <f t="shared" si="91"/>
        <v>7.1</v>
      </c>
      <c r="I505" s="100"/>
      <c r="J505" s="336"/>
    </row>
    <row r="506" spans="1:10" ht="17" thickBot="1" x14ac:dyDescent="0.25">
      <c r="A506" s="345"/>
      <c r="B506" s="98">
        <f t="shared" si="89"/>
        <v>22</v>
      </c>
      <c r="C506" s="98">
        <f t="shared" si="89"/>
        <v>10</v>
      </c>
      <c r="D506" s="98" t="str">
        <f t="shared" si="88"/>
        <v>Boisson spéciale numéro 10</v>
      </c>
      <c r="E506" s="102">
        <f t="shared" si="88"/>
        <v>2.98</v>
      </c>
      <c r="F506" s="102">
        <f t="shared" si="88"/>
        <v>10.4</v>
      </c>
      <c r="G506" s="103">
        <f t="shared" si="90"/>
        <v>0.28653846153846152</v>
      </c>
      <c r="H506" s="104">
        <f t="shared" si="91"/>
        <v>7.42</v>
      </c>
      <c r="I506" s="109">
        <f>+I499+2.2</f>
        <v>11</v>
      </c>
      <c r="J506" s="338"/>
    </row>
    <row r="507" spans="1:10" ht="16" x14ac:dyDescent="0.2">
      <c r="A507" s="345"/>
      <c r="B507" s="98">
        <f t="shared" si="89"/>
        <v>23</v>
      </c>
      <c r="C507" s="98">
        <f t="shared" si="89"/>
        <v>11</v>
      </c>
      <c r="D507" s="98" t="str">
        <f t="shared" si="88"/>
        <v>Boisson spéciale numéro 11</v>
      </c>
      <c r="E507" s="102">
        <f t="shared" si="88"/>
        <v>3.18</v>
      </c>
      <c r="F507" s="102">
        <f t="shared" si="88"/>
        <v>11.6</v>
      </c>
      <c r="G507" s="103">
        <f t="shared" si="90"/>
        <v>0.27413793103448281</v>
      </c>
      <c r="H507" s="104">
        <f t="shared" si="91"/>
        <v>8.42</v>
      </c>
      <c r="I507" s="100">
        <f>+I506+0.01</f>
        <v>11.01</v>
      </c>
      <c r="J507" s="335">
        <f>2/12</f>
        <v>0.16666666666666666</v>
      </c>
    </row>
    <row r="508" spans="1:10" ht="16" x14ac:dyDescent="0.2">
      <c r="A508" s="345"/>
      <c r="B508" s="98">
        <f t="shared" si="89"/>
        <v>24</v>
      </c>
      <c r="C508" s="98">
        <f t="shared" si="89"/>
        <v>12</v>
      </c>
      <c r="D508" s="98" t="str">
        <f t="shared" si="88"/>
        <v>Boisson spéciale numéro 12</v>
      </c>
      <c r="E508" s="102">
        <f t="shared" si="88"/>
        <v>3.48</v>
      </c>
      <c r="F508" s="102">
        <f t="shared" si="88"/>
        <v>13.2</v>
      </c>
      <c r="G508" s="103">
        <f>E508/F508</f>
        <v>0.26363636363636367</v>
      </c>
      <c r="H508" s="104">
        <f>F508-E508</f>
        <v>9.7199999999999989</v>
      </c>
      <c r="I508" s="100">
        <f>F508</f>
        <v>13.2</v>
      </c>
      <c r="J508" s="336"/>
    </row>
    <row r="509" spans="1:10" ht="19" x14ac:dyDescent="0.35">
      <c r="A509" s="345"/>
      <c r="B509" s="98"/>
      <c r="C509" s="98"/>
      <c r="D509" s="99" t="str">
        <f t="shared" si="88"/>
        <v>CmO—PmO—Beverage Cost—Marge brute</v>
      </c>
      <c r="E509" s="110">
        <f>SUM(E497:E508)/C508</f>
        <v>2.8483333333333332</v>
      </c>
      <c r="F509" s="111">
        <f>SUM(F497:F508)/C508</f>
        <v>9.5333333333333332</v>
      </c>
      <c r="G509" s="116">
        <f>E509/F509</f>
        <v>0.29877622377622376</v>
      </c>
      <c r="H509" s="113">
        <f>F509-E509</f>
        <v>6.6850000000000005</v>
      </c>
      <c r="I509" s="114"/>
      <c r="J509" s="98"/>
    </row>
    <row r="510" spans="1:10" ht="17" thickBot="1" x14ac:dyDescent="0.25">
      <c r="A510" s="345"/>
      <c r="B510" s="98"/>
      <c r="C510" s="98"/>
      <c r="D510" s="98"/>
      <c r="E510" s="102"/>
      <c r="F510" s="102"/>
      <c r="G510" s="101"/>
      <c r="H510" s="115"/>
      <c r="I510" s="98"/>
      <c r="J510" s="98"/>
    </row>
    <row r="511" spans="1:10" ht="21" thickTop="1" thickBot="1" x14ac:dyDescent="0.4">
      <c r="A511" s="345"/>
      <c r="B511" s="98"/>
      <c r="C511" s="117"/>
      <c r="D511" s="118"/>
      <c r="E511" s="119"/>
      <c r="F511" s="119"/>
      <c r="G511" s="120"/>
      <c r="H511" s="121"/>
      <c r="I511" s="122"/>
      <c r="J511" s="98"/>
    </row>
    <row r="512" spans="1:10" ht="18" thickTop="1" thickBot="1" x14ac:dyDescent="0.25">
      <c r="A512" s="345"/>
      <c r="B512" s="98"/>
      <c r="C512" s="123"/>
      <c r="D512" s="99"/>
      <c r="E512" s="124" t="str">
        <f>E469</f>
        <v>CmO</v>
      </c>
      <c r="F512" s="124" t="str">
        <f>F469</f>
        <v>PmO</v>
      </c>
      <c r="G512" s="125" t="str">
        <f>G469</f>
        <v>F&amp;BCmO</v>
      </c>
      <c r="H512" s="126" t="str">
        <f>H469</f>
        <v>BmO</v>
      </c>
      <c r="I512" s="127"/>
      <c r="J512" s="98"/>
    </row>
    <row r="513" spans="1:10" ht="17" thickTop="1" x14ac:dyDescent="0.2">
      <c r="A513" s="345"/>
      <c r="B513" s="98"/>
      <c r="C513" s="123"/>
      <c r="D513" s="128" t="str">
        <f>D470</f>
        <v>OFFRE TOTALE AVEC LES GÂTERIES ET LES CAFÉS GÂTERIES</v>
      </c>
      <c r="E513" s="102"/>
      <c r="F513" s="102"/>
      <c r="G513" s="101"/>
      <c r="H513" s="115"/>
      <c r="I513" s="129"/>
      <c r="J513" s="98"/>
    </row>
    <row r="514" spans="1:10" ht="19" x14ac:dyDescent="0.35">
      <c r="A514" s="345"/>
      <c r="B514" s="98"/>
      <c r="C514" s="123"/>
      <c r="D514" s="99" t="str">
        <f>D471</f>
        <v>CmO—PmO—F&amp;B cost moyen offert—Marge brute</v>
      </c>
      <c r="E514" s="111">
        <f>+(E482+E483+E484+E485+E486+E487+E488+E489+E490+E491+E492+E493+E497+E498+E499+E500+E501+E502+E503+E504+E505+E506+E507+E508)/B508</f>
        <v>2.1649999999999996</v>
      </c>
      <c r="F514" s="111">
        <f>+(F482+F483+F484+F485+F486+F487+F488+F489+F490+F491+F492+F493+F497+F498+F499+F500+F501+F502+F503+F504+F505+F506+F507+F508)/B508</f>
        <v>7.1749999999999998</v>
      </c>
      <c r="G514" s="130">
        <f>E514/F514</f>
        <v>0.30174216027874562</v>
      </c>
      <c r="H514" s="131">
        <f>F514-E514</f>
        <v>5.01</v>
      </c>
      <c r="I514" s="132"/>
      <c r="J514" s="98"/>
    </row>
    <row r="515" spans="1:10" ht="16" x14ac:dyDescent="0.2">
      <c r="A515" s="345"/>
      <c r="B515" s="98"/>
      <c r="C515" s="123"/>
      <c r="D515" s="98"/>
      <c r="E515" s="133"/>
      <c r="F515" s="133"/>
      <c r="G515" s="134"/>
      <c r="H515" s="135"/>
      <c r="I515" s="136"/>
      <c r="J515" s="98"/>
    </row>
    <row r="516" spans="1:10" ht="17" thickBot="1" x14ac:dyDescent="0.25">
      <c r="A516" s="346"/>
      <c r="B516" s="98"/>
      <c r="C516" s="137"/>
      <c r="D516" s="138"/>
      <c r="E516" s="139"/>
      <c r="F516" s="139"/>
      <c r="G516" s="140"/>
      <c r="H516" s="141"/>
      <c r="I516" s="142"/>
      <c r="J516" s="98"/>
    </row>
    <row r="517" spans="1:10" ht="14" thickTop="1" x14ac:dyDescent="0.15"/>
    <row r="518" spans="1:10" ht="22" x14ac:dyDescent="0.25">
      <c r="D518" s="92" t="s">
        <v>107</v>
      </c>
      <c r="F518" s="93"/>
    </row>
    <row r="519" spans="1:10" ht="23" thickBot="1" x14ac:dyDescent="0.3">
      <c r="D519" s="94"/>
    </row>
    <row r="520" spans="1:10" ht="23" customHeight="1" thickTop="1" x14ac:dyDescent="0.25">
      <c r="D520" s="94"/>
      <c r="E520" s="339" t="str">
        <f>E477</f>
        <v>Coûts des ressources alimentaires pour chaque produit offert (voir recettes standardisées)</v>
      </c>
      <c r="F520" s="339" t="str">
        <f>F477</f>
        <v>Prix de vente par produit offert</v>
      </c>
      <c r="G520" s="339" t="str">
        <f>G477</f>
        <v xml:space="preserve">« Food &amp; Beverage Cost » </v>
      </c>
      <c r="H520" s="339" t="str">
        <f>H477</f>
        <v>Marge brute gagnée sur la vente de chaque produit offert</v>
      </c>
      <c r="I520" s="95"/>
    </row>
    <row r="521" spans="1:10" ht="22" x14ac:dyDescent="0.25">
      <c r="D521" s="94"/>
      <c r="E521" s="340"/>
      <c r="F521" s="342"/>
      <c r="G521" s="342"/>
      <c r="H521" s="342"/>
      <c r="I521" s="96"/>
    </row>
    <row r="522" spans="1:10" ht="14" customHeight="1" thickBot="1" x14ac:dyDescent="0.2">
      <c r="E522" s="341"/>
      <c r="F522" s="343"/>
      <c r="G522" s="343"/>
      <c r="H522" s="343"/>
      <c r="I522" s="96"/>
    </row>
    <row r="523" spans="1:10" ht="14" thickTop="1" x14ac:dyDescent="0.15">
      <c r="B523" s="90" t="s">
        <v>0</v>
      </c>
      <c r="E523" s="93"/>
      <c r="F523" s="93"/>
      <c r="G523" s="97"/>
    </row>
    <row r="524" spans="1:10" ht="16" x14ac:dyDescent="0.2">
      <c r="B524" s="98"/>
      <c r="C524" s="98"/>
      <c r="D524" s="99" t="str">
        <f t="shared" ref="D524:D537" si="92">D481</f>
        <v>Les Petites Gâteries</v>
      </c>
      <c r="E524" s="100"/>
      <c r="F524" s="100"/>
      <c r="G524" s="101"/>
      <c r="H524" s="98"/>
      <c r="I524" s="98"/>
      <c r="J524" s="98"/>
    </row>
    <row r="525" spans="1:10" ht="16" x14ac:dyDescent="0.2">
      <c r="B525" s="98">
        <f t="shared" ref="B525:C536" si="93">B482</f>
        <v>1</v>
      </c>
      <c r="C525" s="98">
        <f t="shared" si="93"/>
        <v>1</v>
      </c>
      <c r="D525" s="98" t="str">
        <f t="shared" si="92"/>
        <v>Petite Gâterie 1</v>
      </c>
      <c r="E525" s="102">
        <f>(E9+E52+E95+E138+E181+E224+E267+E310+E353+E396+E439+E482)/12</f>
        <v>1.2100000000000002</v>
      </c>
      <c r="F525" s="145">
        <f>(F9+F52+F95+F138+F181+F224+F267+F310+F353+F396+F439+F482)/12</f>
        <v>3.2999999999999994</v>
      </c>
      <c r="G525" s="103">
        <f t="shared" ref="G525:G537" si="94">E525/F525</f>
        <v>0.36666666666666681</v>
      </c>
      <c r="H525" s="104">
        <f t="shared" ref="H525:H537" si="95">F525-E525</f>
        <v>2.089999999999999</v>
      </c>
      <c r="I525" s="100">
        <f>F525</f>
        <v>3.2999999999999994</v>
      </c>
      <c r="J525" s="337">
        <f>3/12</f>
        <v>0.25</v>
      </c>
    </row>
    <row r="526" spans="1:10" ht="16" x14ac:dyDescent="0.2">
      <c r="B526" s="98">
        <f t="shared" si="93"/>
        <v>2</v>
      </c>
      <c r="C526" s="98">
        <f t="shared" si="93"/>
        <v>2</v>
      </c>
      <c r="D526" s="98" t="str">
        <f t="shared" si="92"/>
        <v>Petite Gâterie 2</v>
      </c>
      <c r="E526" s="102">
        <f t="shared" ref="E526:F536" si="96">(E10+E53+E96+E139+E182+E225+E268+E311+E354+E397+E440+E483)/12</f>
        <v>1.3100000000000003</v>
      </c>
      <c r="F526" s="102">
        <f>(F10+F53+F96+F139+F182+F225+F268+F311+F354+F397+F440+F483)/12</f>
        <v>3.7999999999999994</v>
      </c>
      <c r="G526" s="103">
        <f t="shared" si="94"/>
        <v>0.34473684210526329</v>
      </c>
      <c r="H526" s="104">
        <f t="shared" si="95"/>
        <v>2.4899999999999993</v>
      </c>
      <c r="I526" s="100"/>
      <c r="J526" s="336"/>
    </row>
    <row r="527" spans="1:10" ht="17" thickBot="1" x14ac:dyDescent="0.25">
      <c r="B527" s="105">
        <f t="shared" si="93"/>
        <v>3</v>
      </c>
      <c r="C527" s="105">
        <f t="shared" si="93"/>
        <v>3</v>
      </c>
      <c r="D527" s="105" t="str">
        <f t="shared" si="92"/>
        <v>Petite Gâterie 3</v>
      </c>
      <c r="E527" s="106">
        <f t="shared" si="96"/>
        <v>1.3499999999999999</v>
      </c>
      <c r="F527" s="106">
        <f t="shared" si="96"/>
        <v>4</v>
      </c>
      <c r="G527" s="107">
        <f t="shared" si="94"/>
        <v>0.33749999999999997</v>
      </c>
      <c r="H527" s="108">
        <f t="shared" si="95"/>
        <v>2.6500000000000004</v>
      </c>
      <c r="I527" s="109">
        <f>+I525+1.073333</f>
        <v>4.3733329999999997</v>
      </c>
      <c r="J527" s="338"/>
    </row>
    <row r="528" spans="1:10" ht="16" x14ac:dyDescent="0.2">
      <c r="B528" s="98">
        <f t="shared" si="93"/>
        <v>4</v>
      </c>
      <c r="C528" s="98">
        <f t="shared" si="93"/>
        <v>4</v>
      </c>
      <c r="D528" s="98" t="str">
        <f t="shared" si="92"/>
        <v>Petite Gâterie 4</v>
      </c>
      <c r="E528" s="102">
        <f t="shared" si="96"/>
        <v>1.4000000000000001</v>
      </c>
      <c r="F528" s="102">
        <f t="shared" si="96"/>
        <v>4.5</v>
      </c>
      <c r="G528" s="103">
        <f t="shared" si="94"/>
        <v>0.31111111111111112</v>
      </c>
      <c r="H528" s="104">
        <f t="shared" si="95"/>
        <v>3.0999999999999996</v>
      </c>
      <c r="I528" s="100">
        <f>+I527+0.01</f>
        <v>4.3833329999999995</v>
      </c>
      <c r="J528" s="335">
        <f>7/12</f>
        <v>0.58333333333333337</v>
      </c>
    </row>
    <row r="529" spans="2:10" ht="16" x14ac:dyDescent="0.2">
      <c r="B529" s="98">
        <f t="shared" si="93"/>
        <v>5</v>
      </c>
      <c r="C529" s="98">
        <f t="shared" si="93"/>
        <v>5</v>
      </c>
      <c r="D529" s="98" t="str">
        <f t="shared" si="92"/>
        <v>Petite Gâterie 5</v>
      </c>
      <c r="E529" s="102">
        <f t="shared" si="96"/>
        <v>1.24</v>
      </c>
      <c r="F529" s="102">
        <f t="shared" si="96"/>
        <v>4.6000000000000005</v>
      </c>
      <c r="G529" s="103">
        <f t="shared" si="94"/>
        <v>0.26956521739130429</v>
      </c>
      <c r="H529" s="104">
        <f t="shared" si="95"/>
        <v>3.3600000000000003</v>
      </c>
      <c r="I529" s="100"/>
      <c r="J529" s="336"/>
    </row>
    <row r="530" spans="2:10" ht="16" x14ac:dyDescent="0.2">
      <c r="B530" s="98">
        <f t="shared" si="93"/>
        <v>6</v>
      </c>
      <c r="C530" s="98">
        <f t="shared" si="93"/>
        <v>6</v>
      </c>
      <c r="D530" s="98" t="str">
        <f t="shared" si="92"/>
        <v>Petite Gâterie 6</v>
      </c>
      <c r="E530" s="102">
        <f t="shared" si="96"/>
        <v>1.3900000000000003</v>
      </c>
      <c r="F530" s="102">
        <f t="shared" si="96"/>
        <v>4.7000000000000011</v>
      </c>
      <c r="G530" s="103">
        <f t="shared" si="94"/>
        <v>0.29574468085106381</v>
      </c>
      <c r="H530" s="104">
        <f t="shared" si="95"/>
        <v>3.3100000000000005</v>
      </c>
      <c r="I530" s="100"/>
      <c r="J530" s="336"/>
    </row>
    <row r="531" spans="2:10" ht="16" x14ac:dyDescent="0.2">
      <c r="B531" s="98">
        <f t="shared" si="93"/>
        <v>7</v>
      </c>
      <c r="C531" s="98">
        <f t="shared" si="93"/>
        <v>7</v>
      </c>
      <c r="D531" s="98" t="str">
        <f t="shared" si="92"/>
        <v>Petite Gâterie 7</v>
      </c>
      <c r="E531" s="102">
        <f t="shared" si="96"/>
        <v>1.51</v>
      </c>
      <c r="F531" s="102">
        <f t="shared" si="96"/>
        <v>4.7999999999999989</v>
      </c>
      <c r="G531" s="103">
        <f t="shared" si="94"/>
        <v>0.31458333333333338</v>
      </c>
      <c r="H531" s="104">
        <f t="shared" si="95"/>
        <v>3.2899999999999991</v>
      </c>
      <c r="I531" s="100"/>
      <c r="J531" s="336"/>
    </row>
    <row r="532" spans="2:10" ht="16" x14ac:dyDescent="0.2">
      <c r="B532" s="98">
        <f t="shared" si="93"/>
        <v>8</v>
      </c>
      <c r="C532" s="98">
        <f t="shared" si="93"/>
        <v>8</v>
      </c>
      <c r="D532" s="98" t="str">
        <f t="shared" si="92"/>
        <v>Petite Gâterie 8</v>
      </c>
      <c r="E532" s="102">
        <f t="shared" si="96"/>
        <v>1.53</v>
      </c>
      <c r="F532" s="102">
        <f t="shared" si="96"/>
        <v>4.8999999999999995</v>
      </c>
      <c r="G532" s="103">
        <f t="shared" si="94"/>
        <v>0.3122448979591837</v>
      </c>
      <c r="H532" s="104">
        <f t="shared" si="95"/>
        <v>3.3699999999999992</v>
      </c>
      <c r="I532" s="100"/>
      <c r="J532" s="336"/>
    </row>
    <row r="533" spans="2:10" ht="16" x14ac:dyDescent="0.2">
      <c r="B533" s="98">
        <f t="shared" si="93"/>
        <v>9</v>
      </c>
      <c r="C533" s="98">
        <f t="shared" si="93"/>
        <v>9</v>
      </c>
      <c r="D533" s="98" t="str">
        <f t="shared" si="92"/>
        <v>Petite Gâterie 9</v>
      </c>
      <c r="E533" s="102">
        <f t="shared" si="96"/>
        <v>1.5500000000000005</v>
      </c>
      <c r="F533" s="102">
        <f t="shared" si="96"/>
        <v>5</v>
      </c>
      <c r="G533" s="103">
        <f t="shared" si="94"/>
        <v>0.31000000000000011</v>
      </c>
      <c r="H533" s="104">
        <f t="shared" si="95"/>
        <v>3.4499999999999993</v>
      </c>
      <c r="I533" s="100"/>
      <c r="J533" s="336"/>
    </row>
    <row r="534" spans="2:10" ht="17" thickBot="1" x14ac:dyDescent="0.25">
      <c r="B534" s="105">
        <f t="shared" si="93"/>
        <v>10</v>
      </c>
      <c r="C534" s="105">
        <f t="shared" si="93"/>
        <v>10</v>
      </c>
      <c r="D534" s="105" t="str">
        <f t="shared" si="92"/>
        <v>Petite Gâterie 10</v>
      </c>
      <c r="E534" s="106">
        <f t="shared" si="96"/>
        <v>1.59</v>
      </c>
      <c r="F534" s="106">
        <f t="shared" si="96"/>
        <v>5.2000000000000011</v>
      </c>
      <c r="G534" s="107">
        <f t="shared" si="94"/>
        <v>0.30576923076923074</v>
      </c>
      <c r="H534" s="108">
        <f t="shared" si="95"/>
        <v>3.6100000000000012</v>
      </c>
      <c r="I534" s="109">
        <f>+I527+1.073333</f>
        <v>5.4466659999999996</v>
      </c>
      <c r="J534" s="338"/>
    </row>
    <row r="535" spans="2:10" ht="16" x14ac:dyDescent="0.2">
      <c r="B535" s="98">
        <f t="shared" si="93"/>
        <v>11</v>
      </c>
      <c r="C535" s="98">
        <f t="shared" si="93"/>
        <v>11</v>
      </c>
      <c r="D535" s="98" t="str">
        <f t="shared" si="92"/>
        <v>Petite Gâterie 11</v>
      </c>
      <c r="E535" s="102">
        <f t="shared" si="96"/>
        <v>1.8299999999999994</v>
      </c>
      <c r="F535" s="102">
        <f t="shared" si="96"/>
        <v>6.3999999999999995</v>
      </c>
      <c r="G535" s="103">
        <f t="shared" si="94"/>
        <v>0.28593749999999996</v>
      </c>
      <c r="H535" s="104">
        <f t="shared" si="95"/>
        <v>4.57</v>
      </c>
      <c r="I535" s="100">
        <f>+I534+0.01</f>
        <v>5.4566659999999994</v>
      </c>
      <c r="J535" s="335">
        <f>2/12</f>
        <v>0.16666666666666666</v>
      </c>
    </row>
    <row r="536" spans="2:10" ht="16" x14ac:dyDescent="0.2">
      <c r="B536" s="98">
        <f t="shared" si="93"/>
        <v>12</v>
      </c>
      <c r="C536" s="98">
        <f t="shared" si="93"/>
        <v>12</v>
      </c>
      <c r="D536" s="98" t="str">
        <f t="shared" si="92"/>
        <v>Petite Gâterie 12</v>
      </c>
      <c r="E536" s="102">
        <f t="shared" si="96"/>
        <v>1.8700000000000008</v>
      </c>
      <c r="F536" s="102">
        <f t="shared" si="96"/>
        <v>6.5999999999999988</v>
      </c>
      <c r="G536" s="103">
        <f t="shared" si="94"/>
        <v>0.28333333333333349</v>
      </c>
      <c r="H536" s="104">
        <f t="shared" si="95"/>
        <v>4.7299999999999978</v>
      </c>
      <c r="I536" s="100">
        <f>F536</f>
        <v>6.5999999999999988</v>
      </c>
      <c r="J536" s="336"/>
    </row>
    <row r="537" spans="2:10" ht="19" x14ac:dyDescent="0.35">
      <c r="B537" s="98"/>
      <c r="C537" s="98"/>
      <c r="D537" s="99" t="str">
        <f t="shared" si="92"/>
        <v>CmO—PmO—Food Cost—BmO</v>
      </c>
      <c r="E537" s="110">
        <f>SUM(E525:E536)/C536</f>
        <v>1.4816666666666667</v>
      </c>
      <c r="F537" s="111">
        <f>SUM(F525:F536)/C536</f>
        <v>4.8166666666666664</v>
      </c>
      <c r="G537" s="112">
        <f t="shared" si="94"/>
        <v>0.30761245674740484</v>
      </c>
      <c r="H537" s="113">
        <f t="shared" si="95"/>
        <v>3.335</v>
      </c>
      <c r="I537" s="114"/>
      <c r="J537" s="98"/>
    </row>
    <row r="538" spans="2:10" ht="16" x14ac:dyDescent="0.2">
      <c r="B538" s="98" t="s">
        <v>0</v>
      </c>
      <c r="C538" s="98"/>
      <c r="D538" s="98"/>
      <c r="E538" s="102"/>
      <c r="F538" s="102"/>
      <c r="G538" s="103"/>
      <c r="H538" s="115"/>
      <c r="I538" s="100"/>
      <c r="J538" s="98"/>
    </row>
    <row r="539" spans="2:10" ht="16" x14ac:dyDescent="0.2">
      <c r="B539" s="98"/>
      <c r="C539" s="98"/>
      <c r="D539" s="99" t="str">
        <f t="shared" ref="D539:D552" si="97">D496</f>
        <v>Les Boissons  Gâteries</v>
      </c>
      <c r="E539" s="102"/>
      <c r="F539" s="102"/>
      <c r="G539" s="103"/>
      <c r="H539" s="115"/>
      <c r="I539" s="100"/>
      <c r="J539" s="98"/>
    </row>
    <row r="540" spans="2:10" ht="16" x14ac:dyDescent="0.2">
      <c r="B540" s="98">
        <f t="shared" ref="B540:C551" si="98">B497</f>
        <v>13</v>
      </c>
      <c r="C540" s="98">
        <f t="shared" si="98"/>
        <v>1</v>
      </c>
      <c r="D540" s="98" t="str">
        <f t="shared" si="97"/>
        <v>Boisson spéciale numéro 1</v>
      </c>
      <c r="E540" s="102">
        <f>(E24+E67+E110+E153+E196+E239+E282+E325+E368+E411+E454+E497)/12</f>
        <v>2.2800000000000002</v>
      </c>
      <c r="F540" s="145">
        <f t="shared" ref="F540:F551" si="99">(F24+F67+F110+F153+F196+F239+F282+F325+F368+F411+F454+F497)/12</f>
        <v>6.5999999999999988</v>
      </c>
      <c r="G540" s="103">
        <f>E540/F540</f>
        <v>0.34545454545454557</v>
      </c>
      <c r="H540" s="104">
        <f>F540-E540</f>
        <v>4.3199999999999985</v>
      </c>
      <c r="I540" s="100">
        <f>F540</f>
        <v>6.5999999999999988</v>
      </c>
      <c r="J540" s="337">
        <f>3/12</f>
        <v>0.25</v>
      </c>
    </row>
    <row r="541" spans="2:10" ht="16" x14ac:dyDescent="0.2">
      <c r="B541" s="98">
        <f t="shared" si="98"/>
        <v>14</v>
      </c>
      <c r="C541" s="98">
        <f t="shared" si="98"/>
        <v>2</v>
      </c>
      <c r="D541" s="98" t="str">
        <f t="shared" si="97"/>
        <v>Boisson spéciale numéro 2</v>
      </c>
      <c r="E541" s="102">
        <f t="shared" ref="E541:E551" si="100">(E25+E68+E111+E154+E197+E240+E283+E326+E369+E412+E455+E498)/12</f>
        <v>2.66</v>
      </c>
      <c r="F541" s="102">
        <f t="shared" si="99"/>
        <v>7.5999999999999988</v>
      </c>
      <c r="G541" s="103">
        <f>E541/F541</f>
        <v>0.35000000000000009</v>
      </c>
      <c r="H541" s="104">
        <f>F541-E541</f>
        <v>4.9399999999999986</v>
      </c>
      <c r="I541" s="100"/>
      <c r="J541" s="336"/>
    </row>
    <row r="542" spans="2:10" ht="17" thickBot="1" x14ac:dyDescent="0.25">
      <c r="B542" s="105">
        <f t="shared" si="98"/>
        <v>15</v>
      </c>
      <c r="C542" s="105">
        <f t="shared" si="98"/>
        <v>3</v>
      </c>
      <c r="D542" s="105" t="str">
        <f t="shared" si="97"/>
        <v>Boisson spéciale numéro 3</v>
      </c>
      <c r="E542" s="106">
        <f t="shared" si="100"/>
        <v>2.7400000000000007</v>
      </c>
      <c r="F542" s="106">
        <f t="shared" si="99"/>
        <v>8</v>
      </c>
      <c r="G542" s="107">
        <f>E542/F542</f>
        <v>0.34250000000000008</v>
      </c>
      <c r="H542" s="108">
        <f>F542-E542</f>
        <v>5.26</v>
      </c>
      <c r="I542" s="109">
        <f>+I540+2.15</f>
        <v>8.7499999999999982</v>
      </c>
      <c r="J542" s="338"/>
    </row>
    <row r="543" spans="2:10" ht="16" x14ac:dyDescent="0.2">
      <c r="B543" s="98">
        <f t="shared" si="98"/>
        <v>16</v>
      </c>
      <c r="C543" s="98">
        <f t="shared" si="98"/>
        <v>4</v>
      </c>
      <c r="D543" s="98" t="str">
        <f t="shared" si="97"/>
        <v>Boisson spéciale numéro 4</v>
      </c>
      <c r="E543" s="102">
        <f t="shared" si="100"/>
        <v>2.7199999999999993</v>
      </c>
      <c r="F543" s="145">
        <f t="shared" si="99"/>
        <v>9</v>
      </c>
      <c r="G543" s="103">
        <f t="shared" ref="G543:G550" si="101">E543/F543</f>
        <v>0.30222222222222217</v>
      </c>
      <c r="H543" s="104">
        <f t="shared" ref="H543:H550" si="102">F543-E543</f>
        <v>6.2800000000000011</v>
      </c>
      <c r="I543" s="100">
        <f>+I542+0.01</f>
        <v>8.759999999999998</v>
      </c>
      <c r="J543" s="337">
        <f>7/12</f>
        <v>0.58333333333333337</v>
      </c>
    </row>
    <row r="544" spans="2:10" ht="16" x14ac:dyDescent="0.2">
      <c r="B544" s="98">
        <f t="shared" si="98"/>
        <v>17</v>
      </c>
      <c r="C544" s="98">
        <f t="shared" si="98"/>
        <v>5</v>
      </c>
      <c r="D544" s="98" t="str">
        <f t="shared" si="97"/>
        <v>Boisson spéciale numéro 5</v>
      </c>
      <c r="E544" s="102">
        <f t="shared" si="100"/>
        <v>2.7599999999999993</v>
      </c>
      <c r="F544" s="102">
        <f t="shared" si="99"/>
        <v>9.2000000000000011</v>
      </c>
      <c r="G544" s="103">
        <f t="shared" si="101"/>
        <v>0.29999999999999988</v>
      </c>
      <c r="H544" s="104">
        <f t="shared" si="102"/>
        <v>6.4400000000000013</v>
      </c>
      <c r="I544" s="100"/>
      <c r="J544" s="336"/>
    </row>
    <row r="545" spans="2:10" ht="16" x14ac:dyDescent="0.2">
      <c r="B545" s="98">
        <f t="shared" si="98"/>
        <v>18</v>
      </c>
      <c r="C545" s="98">
        <f t="shared" si="98"/>
        <v>6</v>
      </c>
      <c r="D545" s="98" t="str">
        <f t="shared" si="97"/>
        <v>Boisson spéciale numéro 6</v>
      </c>
      <c r="E545" s="102">
        <f t="shared" si="100"/>
        <v>2.8000000000000003</v>
      </c>
      <c r="F545" s="102">
        <f t="shared" si="99"/>
        <v>9.4000000000000021</v>
      </c>
      <c r="G545" s="103">
        <f t="shared" si="101"/>
        <v>0.2978723404255319</v>
      </c>
      <c r="H545" s="104">
        <f t="shared" si="102"/>
        <v>6.6000000000000014</v>
      </c>
      <c r="I545" s="100"/>
      <c r="J545" s="336"/>
    </row>
    <row r="546" spans="2:10" ht="16" x14ac:dyDescent="0.2">
      <c r="B546" s="98">
        <f t="shared" si="98"/>
        <v>19</v>
      </c>
      <c r="C546" s="98">
        <f t="shared" si="98"/>
        <v>7</v>
      </c>
      <c r="D546" s="98" t="str">
        <f t="shared" si="97"/>
        <v>Boisson spéciale numéro 7</v>
      </c>
      <c r="E546" s="102">
        <f t="shared" si="100"/>
        <v>2.82</v>
      </c>
      <c r="F546" s="102">
        <f t="shared" si="99"/>
        <v>9.5999999999999979</v>
      </c>
      <c r="G546" s="103">
        <f t="shared" si="101"/>
        <v>0.29375000000000007</v>
      </c>
      <c r="H546" s="104">
        <f t="shared" si="102"/>
        <v>6.7799999999999976</v>
      </c>
      <c r="I546" s="100"/>
      <c r="J546" s="336"/>
    </row>
    <row r="547" spans="2:10" ht="16" x14ac:dyDescent="0.2">
      <c r="B547" s="98">
        <f t="shared" si="98"/>
        <v>20</v>
      </c>
      <c r="C547" s="98">
        <f t="shared" si="98"/>
        <v>8</v>
      </c>
      <c r="D547" s="98" t="str">
        <f t="shared" si="97"/>
        <v>Boisson spéciale numéro 8</v>
      </c>
      <c r="E547" s="102">
        <f t="shared" si="100"/>
        <v>2.86</v>
      </c>
      <c r="F547" s="102">
        <f t="shared" si="99"/>
        <v>9.7999999999999989</v>
      </c>
      <c r="G547" s="103">
        <f t="shared" si="101"/>
        <v>0.29183673469387755</v>
      </c>
      <c r="H547" s="104">
        <f t="shared" si="102"/>
        <v>6.9399999999999995</v>
      </c>
      <c r="I547" s="100"/>
      <c r="J547" s="336"/>
    </row>
    <row r="548" spans="2:10" ht="16" x14ac:dyDescent="0.2">
      <c r="B548" s="98">
        <f t="shared" si="98"/>
        <v>21</v>
      </c>
      <c r="C548" s="98">
        <f t="shared" si="98"/>
        <v>9</v>
      </c>
      <c r="D548" s="98" t="str">
        <f t="shared" si="97"/>
        <v>Boisson spéciale numéro 9</v>
      </c>
      <c r="E548" s="102">
        <f t="shared" si="100"/>
        <v>2.899999999999999</v>
      </c>
      <c r="F548" s="102">
        <f t="shared" si="99"/>
        <v>10</v>
      </c>
      <c r="G548" s="103">
        <f t="shared" si="101"/>
        <v>0.28999999999999992</v>
      </c>
      <c r="H548" s="104">
        <f t="shared" si="102"/>
        <v>7.1000000000000014</v>
      </c>
      <c r="I548" s="100"/>
      <c r="J548" s="336"/>
    </row>
    <row r="549" spans="2:10" ht="17" thickBot="1" x14ac:dyDescent="0.25">
      <c r="B549" s="105">
        <f t="shared" si="98"/>
        <v>22</v>
      </c>
      <c r="C549" s="105">
        <f t="shared" si="98"/>
        <v>10</v>
      </c>
      <c r="D549" s="105" t="str">
        <f t="shared" si="97"/>
        <v>Boisson spéciale numéro 10</v>
      </c>
      <c r="E549" s="106">
        <f t="shared" si="100"/>
        <v>2.98</v>
      </c>
      <c r="F549" s="106">
        <f t="shared" si="99"/>
        <v>10.400000000000002</v>
      </c>
      <c r="G549" s="107">
        <f t="shared" si="101"/>
        <v>0.28653846153846146</v>
      </c>
      <c r="H549" s="108">
        <f t="shared" si="102"/>
        <v>7.4200000000000017</v>
      </c>
      <c r="I549" s="109">
        <f>+I542+2.15</f>
        <v>10.899999999999999</v>
      </c>
      <c r="J549" s="338"/>
    </row>
    <row r="550" spans="2:10" ht="16" x14ac:dyDescent="0.2">
      <c r="B550" s="98">
        <f t="shared" si="98"/>
        <v>23</v>
      </c>
      <c r="C550" s="98">
        <f t="shared" si="98"/>
        <v>11</v>
      </c>
      <c r="D550" s="98" t="str">
        <f t="shared" si="97"/>
        <v>Boisson spéciale numéro 11</v>
      </c>
      <c r="E550" s="102">
        <f t="shared" si="100"/>
        <v>3.18</v>
      </c>
      <c r="F550" s="102">
        <f t="shared" si="99"/>
        <v>11.599999999999996</v>
      </c>
      <c r="G550" s="103">
        <f t="shared" si="101"/>
        <v>0.27413793103448286</v>
      </c>
      <c r="H550" s="104">
        <f t="shared" si="102"/>
        <v>8.4199999999999964</v>
      </c>
      <c r="I550" s="100">
        <f>+I549+0.01</f>
        <v>10.909999999999998</v>
      </c>
      <c r="J550" s="335">
        <f>2/12</f>
        <v>0.16666666666666666</v>
      </c>
    </row>
    <row r="551" spans="2:10" ht="16" x14ac:dyDescent="0.2">
      <c r="B551" s="98">
        <f t="shared" si="98"/>
        <v>24</v>
      </c>
      <c r="C551" s="98">
        <f t="shared" si="98"/>
        <v>12</v>
      </c>
      <c r="D551" s="98" t="str">
        <f t="shared" si="97"/>
        <v>Boisson spéciale numéro 12</v>
      </c>
      <c r="E551" s="102">
        <f t="shared" si="100"/>
        <v>3.4799999999999991</v>
      </c>
      <c r="F551" s="102">
        <f t="shared" si="99"/>
        <v>13.199999999999998</v>
      </c>
      <c r="G551" s="103">
        <f>E551/F551</f>
        <v>0.26363636363636361</v>
      </c>
      <c r="H551" s="104">
        <f>F551-E551</f>
        <v>9.7199999999999989</v>
      </c>
      <c r="I551" s="100">
        <f>F551</f>
        <v>13.199999999999998</v>
      </c>
      <c r="J551" s="336"/>
    </row>
    <row r="552" spans="2:10" ht="19" x14ac:dyDescent="0.35">
      <c r="B552" s="98"/>
      <c r="C552" s="98"/>
      <c r="D552" s="99" t="str">
        <f t="shared" si="97"/>
        <v>CmO—PmO—Beverage Cost—Marge brute</v>
      </c>
      <c r="E552" s="110">
        <f>SUM(E540:E551)/C551</f>
        <v>2.8483333333333332</v>
      </c>
      <c r="F552" s="111">
        <f>SUM(F540:F551)/C551</f>
        <v>9.5333333333333332</v>
      </c>
      <c r="G552" s="116">
        <f>E552/F552</f>
        <v>0.29877622377622376</v>
      </c>
      <c r="H552" s="113">
        <f>F552-E552</f>
        <v>6.6850000000000005</v>
      </c>
      <c r="I552" s="114"/>
      <c r="J552" s="98"/>
    </row>
    <row r="553" spans="2:10" ht="17" thickBot="1" x14ac:dyDescent="0.25">
      <c r="B553" s="98"/>
      <c r="C553" s="98"/>
      <c r="D553" s="98"/>
      <c r="E553" s="102"/>
      <c r="F553" s="102"/>
      <c r="G553" s="101"/>
      <c r="H553" s="115"/>
      <c r="I553" s="98"/>
      <c r="J553" s="98"/>
    </row>
    <row r="554" spans="2:10" ht="21" thickTop="1" thickBot="1" x14ac:dyDescent="0.4">
      <c r="B554" s="98"/>
      <c r="C554" s="117"/>
      <c r="D554" s="118"/>
      <c r="E554" s="119"/>
      <c r="F554" s="119"/>
      <c r="G554" s="120"/>
      <c r="H554" s="121"/>
      <c r="I554" s="122"/>
      <c r="J554" s="98"/>
    </row>
    <row r="555" spans="2:10" ht="18" thickTop="1" thickBot="1" x14ac:dyDescent="0.25">
      <c r="B555" s="98"/>
      <c r="C555" s="123"/>
      <c r="D555" s="99"/>
      <c r="E555" s="124" t="str">
        <f>E512</f>
        <v>CmO</v>
      </c>
      <c r="F555" s="124" t="str">
        <f>F512</f>
        <v>PmO</v>
      </c>
      <c r="G555" s="125" t="str">
        <f>G512</f>
        <v>F&amp;BCmO</v>
      </c>
      <c r="H555" s="126" t="str">
        <f>H512</f>
        <v>BmO</v>
      </c>
      <c r="I555" s="127"/>
      <c r="J555" s="98"/>
    </row>
    <row r="556" spans="2:10" ht="17" thickTop="1" x14ac:dyDescent="0.2">
      <c r="B556" s="98"/>
      <c r="C556" s="123"/>
      <c r="D556" s="128" t="str">
        <f>D513</f>
        <v>OFFRE TOTALE AVEC LES GÂTERIES ET LES CAFÉS GÂTERIES</v>
      </c>
      <c r="E556" s="102"/>
      <c r="F556" s="102"/>
      <c r="G556" s="101"/>
      <c r="H556" s="115"/>
      <c r="I556" s="129"/>
      <c r="J556" s="98"/>
    </row>
    <row r="557" spans="2:10" ht="19" x14ac:dyDescent="0.35">
      <c r="B557" s="98"/>
      <c r="C557" s="123"/>
      <c r="D557" s="99" t="str">
        <f>D514</f>
        <v>CmO—PmO—F&amp;B cost moyen offert—Marge brute</v>
      </c>
      <c r="E557" s="111">
        <f>+(E525+E526+E527+E528+E529+E530+E531+E532+E533+E534+E535+E536+E540+E541+E542+E543+E544+E545+E546+E547+E548+E549+E550+E551)/B551</f>
        <v>2.1649999999999996</v>
      </c>
      <c r="F557" s="111">
        <f>+(F525+F526+F527+F528+F529+F530+F531+F532+F533+F534+F535+F536+F540+F541+F542+F543+F544+F545+F546+F547+F548+F549+F550+F551)/B551</f>
        <v>7.1749999999999998</v>
      </c>
      <c r="G557" s="130">
        <f>E557/F557</f>
        <v>0.30174216027874562</v>
      </c>
      <c r="H557" s="131">
        <f>F557-E557</f>
        <v>5.01</v>
      </c>
      <c r="I557" s="132"/>
      <c r="J557" s="98"/>
    </row>
    <row r="558" spans="2:10" ht="16" x14ac:dyDescent="0.2">
      <c r="B558" s="98"/>
      <c r="C558" s="123"/>
      <c r="D558" s="98"/>
      <c r="E558" s="133"/>
      <c r="F558" s="133"/>
      <c r="G558" s="134"/>
      <c r="H558" s="135"/>
      <c r="I558" s="136"/>
      <c r="J558" s="98"/>
    </row>
    <row r="559" spans="2:10" ht="17" thickBot="1" x14ac:dyDescent="0.25">
      <c r="B559" s="98"/>
      <c r="C559" s="137"/>
      <c r="D559" s="138"/>
      <c r="E559" s="139"/>
      <c r="F559" s="139"/>
      <c r="G559" s="140"/>
      <c r="H559" s="141"/>
      <c r="I559" s="142"/>
      <c r="J559" s="98"/>
    </row>
    <row r="560" spans="2:10" ht="14" thickTop="1" x14ac:dyDescent="0.15"/>
    <row r="563" spans="3:8" x14ac:dyDescent="0.15">
      <c r="C563" s="91"/>
      <c r="D563" s="91"/>
      <c r="E563" s="91"/>
      <c r="F563" s="91"/>
      <c r="G563" s="91"/>
      <c r="H563" s="91"/>
    </row>
    <row r="564" spans="3:8" ht="12" customHeight="1" x14ac:dyDescent="0.15">
      <c r="C564" s="91"/>
      <c r="D564" s="91"/>
      <c r="E564" s="91"/>
      <c r="F564" s="91"/>
      <c r="G564" s="91"/>
      <c r="H564" s="91"/>
    </row>
    <row r="565" spans="3:8" x14ac:dyDescent="0.15">
      <c r="C565" s="91"/>
      <c r="D565" s="91"/>
      <c r="E565" s="91"/>
      <c r="F565" s="91"/>
      <c r="G565" s="91"/>
      <c r="H565" s="91"/>
    </row>
    <row r="566" spans="3:8" x14ac:dyDescent="0.15">
      <c r="C566" s="91"/>
      <c r="D566" s="91"/>
      <c r="E566" s="91"/>
      <c r="F566" s="91"/>
      <c r="G566" s="91"/>
      <c r="H566" s="91"/>
    </row>
    <row r="567" spans="3:8" x14ac:dyDescent="0.15">
      <c r="C567" s="91"/>
      <c r="D567" s="91"/>
      <c r="E567" s="91"/>
      <c r="F567" s="91"/>
      <c r="G567" s="91"/>
      <c r="H567" s="91"/>
    </row>
    <row r="568" spans="3:8" x14ac:dyDescent="0.15">
      <c r="C568" s="91"/>
      <c r="D568" s="91"/>
      <c r="E568" s="91"/>
      <c r="F568" s="91"/>
      <c r="G568" s="91"/>
      <c r="H568" s="91"/>
    </row>
    <row r="569" spans="3:8" x14ac:dyDescent="0.15">
      <c r="C569" s="91"/>
      <c r="D569" s="91"/>
      <c r="E569" s="91"/>
      <c r="F569" s="91"/>
      <c r="G569" s="91"/>
      <c r="H569" s="91"/>
    </row>
    <row r="570" spans="3:8" x14ac:dyDescent="0.15">
      <c r="C570" s="91"/>
      <c r="D570" s="91"/>
      <c r="E570" s="91"/>
      <c r="F570" s="91"/>
      <c r="G570" s="91"/>
      <c r="H570" s="91"/>
    </row>
    <row r="571" spans="3:8" x14ac:dyDescent="0.15">
      <c r="C571" s="91"/>
      <c r="D571" s="91"/>
      <c r="E571" s="91"/>
      <c r="F571" s="91"/>
      <c r="G571" s="91"/>
      <c r="H571" s="91"/>
    </row>
    <row r="572" spans="3:8" x14ac:dyDescent="0.15">
      <c r="C572" s="91"/>
      <c r="D572" s="91"/>
      <c r="E572" s="91"/>
      <c r="F572" s="91"/>
      <c r="G572" s="91"/>
      <c r="H572" s="91"/>
    </row>
    <row r="573" spans="3:8" x14ac:dyDescent="0.15">
      <c r="C573" s="91"/>
      <c r="D573" s="91"/>
      <c r="E573" s="91"/>
      <c r="F573" s="91"/>
      <c r="G573" s="91"/>
      <c r="H573" s="91"/>
    </row>
    <row r="574" spans="3:8" x14ac:dyDescent="0.15">
      <c r="C574" s="91"/>
      <c r="D574" s="91"/>
      <c r="E574" s="91"/>
      <c r="F574" s="91"/>
      <c r="G574" s="91"/>
      <c r="H574" s="91"/>
    </row>
    <row r="575" spans="3:8" x14ac:dyDescent="0.15">
      <c r="C575" s="91"/>
      <c r="D575" s="91"/>
      <c r="E575" s="91"/>
      <c r="F575" s="91"/>
      <c r="G575" s="91"/>
      <c r="H575" s="91"/>
    </row>
    <row r="576" spans="3:8" x14ac:dyDescent="0.15">
      <c r="C576" s="91"/>
      <c r="D576" s="91"/>
      <c r="E576" s="91"/>
      <c r="F576" s="91"/>
      <c r="G576" s="91"/>
      <c r="H576" s="91"/>
    </row>
    <row r="577" spans="3:8" x14ac:dyDescent="0.15">
      <c r="C577" s="91"/>
      <c r="D577" s="91"/>
      <c r="E577" s="91"/>
      <c r="F577" s="91"/>
      <c r="G577" s="91"/>
      <c r="H577" s="91"/>
    </row>
    <row r="578" spans="3:8" x14ac:dyDescent="0.15">
      <c r="C578" s="91"/>
      <c r="D578" s="91"/>
      <c r="E578" s="91"/>
      <c r="F578" s="91"/>
      <c r="G578" s="91"/>
      <c r="H578" s="91"/>
    </row>
    <row r="579" spans="3:8" x14ac:dyDescent="0.15">
      <c r="C579" s="91"/>
      <c r="D579" s="91"/>
      <c r="E579" s="91"/>
      <c r="F579" s="91"/>
      <c r="G579" s="91"/>
      <c r="H579" s="91"/>
    </row>
    <row r="580" spans="3:8" x14ac:dyDescent="0.15">
      <c r="C580" s="91"/>
      <c r="D580" s="91"/>
      <c r="E580" s="91"/>
      <c r="F580" s="91"/>
      <c r="G580" s="91"/>
      <c r="H580" s="91"/>
    </row>
    <row r="581" spans="3:8" x14ac:dyDescent="0.15">
      <c r="C581" s="91"/>
      <c r="D581" s="91"/>
      <c r="E581" s="91"/>
      <c r="F581" s="91"/>
      <c r="G581" s="91"/>
      <c r="H581" s="91"/>
    </row>
    <row r="582" spans="3:8" x14ac:dyDescent="0.15">
      <c r="D582" s="91"/>
      <c r="E582" s="91"/>
      <c r="F582" s="91"/>
      <c r="G582" s="91"/>
    </row>
  </sheetData>
  <mergeCells count="132">
    <mergeCell ref="E90:E92"/>
    <mergeCell ref="F90:F92"/>
    <mergeCell ref="G90:G92"/>
    <mergeCell ref="H90:H92"/>
    <mergeCell ref="J34:J35"/>
    <mergeCell ref="E47:E49"/>
    <mergeCell ref="F47:F49"/>
    <mergeCell ref="G47:G49"/>
    <mergeCell ref="H47:H49"/>
    <mergeCell ref="J52:J54"/>
    <mergeCell ref="J95:J97"/>
    <mergeCell ref="J98:J104"/>
    <mergeCell ref="J105:J106"/>
    <mergeCell ref="J110:J112"/>
    <mergeCell ref="J113:J119"/>
    <mergeCell ref="J120:J121"/>
    <mergeCell ref="J55:J61"/>
    <mergeCell ref="J62:J63"/>
    <mergeCell ref="J67:J69"/>
    <mergeCell ref="J70:J76"/>
    <mergeCell ref="J77:J78"/>
    <mergeCell ref="J148:J149"/>
    <mergeCell ref="J153:J155"/>
    <mergeCell ref="J156:J162"/>
    <mergeCell ref="J163:J164"/>
    <mergeCell ref="E176:E178"/>
    <mergeCell ref="F176:F178"/>
    <mergeCell ref="G176:G178"/>
    <mergeCell ref="H176:H178"/>
    <mergeCell ref="E133:E135"/>
    <mergeCell ref="F133:F135"/>
    <mergeCell ref="G133:G135"/>
    <mergeCell ref="H133:H135"/>
    <mergeCell ref="J138:J140"/>
    <mergeCell ref="J141:J147"/>
    <mergeCell ref="E219:E221"/>
    <mergeCell ref="F219:F221"/>
    <mergeCell ref="G219:G221"/>
    <mergeCell ref="H219:H221"/>
    <mergeCell ref="J224:J226"/>
    <mergeCell ref="J227:J233"/>
    <mergeCell ref="J181:J183"/>
    <mergeCell ref="J184:J190"/>
    <mergeCell ref="J191:J192"/>
    <mergeCell ref="J196:J198"/>
    <mergeCell ref="J199:J205"/>
    <mergeCell ref="J206:J207"/>
    <mergeCell ref="E305:E307"/>
    <mergeCell ref="F305:F307"/>
    <mergeCell ref="G305:G307"/>
    <mergeCell ref="H305:H307"/>
    <mergeCell ref="J234:J235"/>
    <mergeCell ref="J239:J241"/>
    <mergeCell ref="J242:J248"/>
    <mergeCell ref="J249:J250"/>
    <mergeCell ref="A260:A516"/>
    <mergeCell ref="E262:E264"/>
    <mergeCell ref="F262:F264"/>
    <mergeCell ref="G262:G264"/>
    <mergeCell ref="H262:H264"/>
    <mergeCell ref="J267:J269"/>
    <mergeCell ref="A1:A258"/>
    <mergeCell ref="E4:E6"/>
    <mergeCell ref="F4:F6"/>
    <mergeCell ref="G4:G6"/>
    <mergeCell ref="H4:H6"/>
    <mergeCell ref="J9:J11"/>
    <mergeCell ref="J12:J18"/>
    <mergeCell ref="J19:J20"/>
    <mergeCell ref="J24:J26"/>
    <mergeCell ref="J27:J33"/>
    <mergeCell ref="J310:J312"/>
    <mergeCell ref="J313:J319"/>
    <mergeCell ref="J320:J321"/>
    <mergeCell ref="J325:J327"/>
    <mergeCell ref="J328:J334"/>
    <mergeCell ref="J335:J336"/>
    <mergeCell ref="J270:J276"/>
    <mergeCell ref="J277:J278"/>
    <mergeCell ref="J282:J284"/>
    <mergeCell ref="J285:J291"/>
    <mergeCell ref="J292:J293"/>
    <mergeCell ref="E391:E393"/>
    <mergeCell ref="F391:F393"/>
    <mergeCell ref="G391:G393"/>
    <mergeCell ref="H391:H393"/>
    <mergeCell ref="E348:E350"/>
    <mergeCell ref="F348:F350"/>
    <mergeCell ref="G348:G350"/>
    <mergeCell ref="H348:H350"/>
    <mergeCell ref="J353:J355"/>
    <mergeCell ref="J356:J362"/>
    <mergeCell ref="J396:J398"/>
    <mergeCell ref="J399:J405"/>
    <mergeCell ref="J406:J407"/>
    <mergeCell ref="J411:J413"/>
    <mergeCell ref="J414:J420"/>
    <mergeCell ref="J421:J422"/>
    <mergeCell ref="J363:J364"/>
    <mergeCell ref="J368:J370"/>
    <mergeCell ref="J371:J377"/>
    <mergeCell ref="J378:J379"/>
    <mergeCell ref="E477:E479"/>
    <mergeCell ref="F477:F479"/>
    <mergeCell ref="G477:G479"/>
    <mergeCell ref="H477:H479"/>
    <mergeCell ref="E434:E436"/>
    <mergeCell ref="F434:F436"/>
    <mergeCell ref="G434:G436"/>
    <mergeCell ref="H434:H436"/>
    <mergeCell ref="J439:J441"/>
    <mergeCell ref="J442:J448"/>
    <mergeCell ref="J482:J484"/>
    <mergeCell ref="J485:J491"/>
    <mergeCell ref="J492:J493"/>
    <mergeCell ref="J497:J499"/>
    <mergeCell ref="J500:J506"/>
    <mergeCell ref="J507:J508"/>
    <mergeCell ref="J449:J450"/>
    <mergeCell ref="J454:J456"/>
    <mergeCell ref="J457:J463"/>
    <mergeCell ref="J464:J465"/>
    <mergeCell ref="J535:J536"/>
    <mergeCell ref="J540:J542"/>
    <mergeCell ref="J543:J549"/>
    <mergeCell ref="J550:J551"/>
    <mergeCell ref="E520:E522"/>
    <mergeCell ref="F520:F522"/>
    <mergeCell ref="G520:G522"/>
    <mergeCell ref="H520:H522"/>
    <mergeCell ref="J525:J527"/>
    <mergeCell ref="J528:J534"/>
  </mergeCells>
  <pageMargins left="0.78740157499999996" right="0.78740157499999996" top="0.984251969" bottom="0.984251969" header="0.5" footer="0.5"/>
  <pageSetup orientation="portrait" horizontalDpi="4294967292" verticalDpi="4294967292"/>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3</vt:i4>
      </vt:variant>
    </vt:vector>
  </HeadingPairs>
  <TitlesOfParts>
    <vt:vector size="3" baseType="lpstr">
      <vt:lpstr>À faire</vt:lpstr>
      <vt:lpstr>Factures</vt:lpstr>
      <vt:lpstr>Calcul CmO et PmO</vt:lpstr>
    </vt:vector>
  </TitlesOfParts>
  <Company>Sherpa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Sherpa</dc:creator>
  <cp:lastModifiedBy>Microsoft Office User</cp:lastModifiedBy>
  <cp:lastPrinted>2016-10-04T19:31:19Z</cp:lastPrinted>
  <dcterms:created xsi:type="dcterms:W3CDTF">2006-12-09T17:11:35Z</dcterms:created>
  <dcterms:modified xsi:type="dcterms:W3CDTF">2022-05-24T18:29:26Z</dcterms:modified>
</cp:coreProperties>
</file>